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omments1.xml" ContentType="application/vnd.openxmlformats-officedocument.spreadsheetml.comment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omments2.xml" ContentType="application/vnd.openxmlformats-officedocument.spreadsheetml.comments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omments3.xml" ContentType="application/vnd.openxmlformats-officedocument.spreadsheetml.comments+xml"/>
  <Override PartName="/xl/drawings/drawing22.xml" ContentType="application/vnd.openxmlformats-officedocument.drawing+xml"/>
  <Override PartName="/xl/comments4.xml" ContentType="application/vnd.openxmlformats-officedocument.spreadsheetml.comments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omments5.xml" ContentType="application/vnd.openxmlformats-officedocument.spreadsheetml.comments+xml"/>
  <Override PartName="/xl/drawings/drawing25.xml" ContentType="application/vnd.openxmlformats-officedocument.drawing+xml"/>
  <Override PartName="/xl/comments6.xml" ContentType="application/vnd.openxmlformats-officedocument.spreadsheetml.comments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omments7.xml" ContentType="application/vnd.openxmlformats-officedocument.spreadsheetml.comments+xml"/>
  <Override PartName="/xl/drawings/drawing29.xml" ContentType="application/vnd.openxmlformats-officedocument.drawing+xml"/>
  <Override PartName="/xl/comments8.xml" ContentType="application/vnd.openxmlformats-officedocument.spreadsheetml.comments+xml"/>
  <Override PartName="/xl/drawings/drawing30.xml" ContentType="application/vnd.openxmlformats-officedocument.drawing+xml"/>
  <Override PartName="/xl/comments9.xml" ContentType="application/vnd.openxmlformats-officedocument.spreadsheetml.comments+xml"/>
  <Override PartName="/xl/drawings/drawing31.xml" ContentType="application/vnd.openxmlformats-officedocument.drawing+xml"/>
  <Override PartName="/xl/comments10.xml" ContentType="application/vnd.openxmlformats-officedocument.spreadsheetml.comments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comments11.xml" ContentType="application/vnd.openxmlformats-officedocument.spreadsheetml.comments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G:\Drives compartilhados\03 CTN Projetos\2. Projetos em Andamento\Holze Construtora e Incorporadora\Sense 106\03. Custo\03.5 Custo - Determinação do orçamento\R01\Entrega\"/>
    </mc:Choice>
  </mc:AlternateContent>
  <xr:revisionPtr revIDLastSave="0" documentId="8_{633D159D-4011-46B1-9AC7-8B0A54C65C1F}" xr6:coauthVersionLast="47" xr6:coauthVersionMax="47" xr10:uidLastSave="{00000000-0000-0000-0000-000000000000}"/>
  <bookViews>
    <workbookView xWindow="-120" yWindow="-120" windowWidth="29040" windowHeight="15720" tabRatio="861" firstSheet="4" activeTab="4" xr2:uid="{00000000-000D-0000-FFFF-FFFF00000000}"/>
  </bookViews>
  <sheets>
    <sheet name="OBRA" sheetId="413" r:id="rId1"/>
    <sheet name="EPC's" sheetId="414" r:id="rId2"/>
    <sheet name="CANTEIRO" sheetId="415" r:id="rId3"/>
    <sheet name="CONTROLE_TEC" sheetId="416" r:id="rId4"/>
    <sheet name="ORÇAMENTO" sheetId="176" r:id="rId5"/>
    <sheet name="MO Infra" sheetId="393" state="hidden" r:id="rId6"/>
    <sheet name="Composições" sheetId="409" state="hidden" r:id="rId7"/>
    <sheet name="Preços" sheetId="404" r:id="rId8"/>
    <sheet name="Projeção torre" sheetId="395" r:id="rId9"/>
    <sheet name="Cotações" sheetId="359" state="hidden" r:id="rId10"/>
    <sheet name="Estacas" sheetId="344" r:id="rId11"/>
    <sheet name="Arm. Estacas" sheetId="360" r:id="rId12"/>
    <sheet name="Duto&amp;Cisterna" sheetId="407" r:id="rId13"/>
    <sheet name="Blocos" sheetId="186" r:id="rId14"/>
    <sheet name="Arm. Cortina" sheetId="363" state="hidden" r:id="rId15"/>
    <sheet name="Tabela de Aço" sheetId="361" state="hidden" r:id="rId16"/>
    <sheet name="Vigas Fundação" sheetId="179" r:id="rId17"/>
    <sheet name="Lajes Fundação" sheetId="181" r:id="rId18"/>
    <sheet name="Pilares enterrados" sheetId="408" r:id="rId19"/>
    <sheet name="Arm. Fund. Dir" sheetId="211" r:id="rId20"/>
    <sheet name="Vigas" sheetId="143" r:id="rId21"/>
    <sheet name="Pilares" sheetId="212" r:id="rId22"/>
    <sheet name="Lajes" sheetId="137" r:id="rId23"/>
    <sheet name="Rampas" sheetId="406" r:id="rId24"/>
    <sheet name="Escadas" sheetId="147" r:id="rId25"/>
    <sheet name="SUPRA" sheetId="392" r:id="rId26"/>
    <sheet name="ARQ." sheetId="400" r:id="rId27"/>
    <sheet name="IMPERM." sheetId="401" r:id="rId28"/>
    <sheet name="FACHADA" sheetId="405" r:id="rId29"/>
    <sheet name="ESQ. ALUM." sheetId="397" r:id="rId30"/>
    <sheet name="ESQ. MET E SERR" sheetId="403" r:id="rId31"/>
    <sheet name="ESQ. MAD. E PCF" sheetId="396" r:id="rId32"/>
    <sheet name="GC-CORRIMÃO" sheetId="398" r:id="rId33"/>
    <sheet name="INTERFONIA" sheetId="412" r:id="rId34"/>
    <sheet name="MOBILIARIO" sheetId="382" r:id="rId35"/>
    <sheet name="PISCINA" sheetId="410" r:id="rId36"/>
    <sheet name="LOUÇAS&amp;METAIS" sheetId="389" r:id="rId37"/>
    <sheet name="LOUÇAS&amp;METAIS RESUMO" sheetId="387" r:id="rId38"/>
  </sheets>
  <externalReferences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\0" localSheetId="2">#REF!</definedName>
    <definedName name="\0" localSheetId="12">#REF!</definedName>
    <definedName name="\0" localSheetId="1">#REF!</definedName>
    <definedName name="\0" localSheetId="30">#REF!</definedName>
    <definedName name="\0" localSheetId="28">#REF!</definedName>
    <definedName name="\0" localSheetId="27">#REF!</definedName>
    <definedName name="\0" localSheetId="0">#REF!</definedName>
    <definedName name="\0" localSheetId="21">#REF!</definedName>
    <definedName name="\0" localSheetId="18">#REF!</definedName>
    <definedName name="\0" localSheetId="7">#REF!</definedName>
    <definedName name="\0" localSheetId="23">#REF!</definedName>
    <definedName name="\0">#REF!</definedName>
    <definedName name="\1" localSheetId="12">#REF!</definedName>
    <definedName name="\1" localSheetId="30">#REF!</definedName>
    <definedName name="\1" localSheetId="28">#REF!</definedName>
    <definedName name="\1" localSheetId="27">#REF!</definedName>
    <definedName name="\1" localSheetId="21">#REF!</definedName>
    <definedName name="\1" localSheetId="18">#REF!</definedName>
    <definedName name="\1" localSheetId="7">#REF!</definedName>
    <definedName name="\1" localSheetId="23">#REF!</definedName>
    <definedName name="\1">#REF!</definedName>
    <definedName name="\a" localSheetId="12">#REF!</definedName>
    <definedName name="\a" localSheetId="1">#REF!</definedName>
    <definedName name="\a" localSheetId="30">#REF!</definedName>
    <definedName name="\a" localSheetId="28">#REF!</definedName>
    <definedName name="\a" localSheetId="27">#REF!</definedName>
    <definedName name="\a" localSheetId="0">#REF!</definedName>
    <definedName name="\a" localSheetId="21">#REF!</definedName>
    <definedName name="\a" localSheetId="18">#REF!</definedName>
    <definedName name="\a" localSheetId="7">#REF!</definedName>
    <definedName name="\a" localSheetId="23">#REF!</definedName>
    <definedName name="\a">#REF!</definedName>
    <definedName name="\b" localSheetId="12">#REF!</definedName>
    <definedName name="\b" localSheetId="30">#REF!</definedName>
    <definedName name="\b" localSheetId="28">#REF!</definedName>
    <definedName name="\b" localSheetId="27">#REF!</definedName>
    <definedName name="\b" localSheetId="18">#REF!</definedName>
    <definedName name="\b" localSheetId="7">#REF!</definedName>
    <definedName name="\b" localSheetId="23">#REF!</definedName>
    <definedName name="\b">#REF!</definedName>
    <definedName name="\c" localSheetId="12">#REF!</definedName>
    <definedName name="\c" localSheetId="30">#REF!</definedName>
    <definedName name="\c" localSheetId="28">#REF!</definedName>
    <definedName name="\c" localSheetId="27">#REF!</definedName>
    <definedName name="\c" localSheetId="18">#REF!</definedName>
    <definedName name="\c" localSheetId="7">#REF!</definedName>
    <definedName name="\c" localSheetId="23">#REF!</definedName>
    <definedName name="\c">#REF!</definedName>
    <definedName name="\d" localSheetId="12">#REF!</definedName>
    <definedName name="\d" localSheetId="30">#REF!</definedName>
    <definedName name="\d" localSheetId="28">#REF!</definedName>
    <definedName name="\d" localSheetId="27">#REF!</definedName>
    <definedName name="\d" localSheetId="18">#REF!</definedName>
    <definedName name="\d" localSheetId="7">#REF!</definedName>
    <definedName name="\d" localSheetId="23">#REF!</definedName>
    <definedName name="\d">#REF!</definedName>
    <definedName name="\e" localSheetId="12">#REF!</definedName>
    <definedName name="\e" localSheetId="30">#REF!</definedName>
    <definedName name="\e" localSheetId="28">#REF!</definedName>
    <definedName name="\e" localSheetId="27">#REF!</definedName>
    <definedName name="\e" localSheetId="18">#REF!</definedName>
    <definedName name="\e" localSheetId="7">#REF!</definedName>
    <definedName name="\e" localSheetId="23">#REF!</definedName>
    <definedName name="\e">#REF!</definedName>
    <definedName name="\i" localSheetId="12">#REF!</definedName>
    <definedName name="\i" localSheetId="30">#REF!</definedName>
    <definedName name="\i" localSheetId="28">#REF!</definedName>
    <definedName name="\i" localSheetId="27">#REF!</definedName>
    <definedName name="\i" localSheetId="18">#REF!</definedName>
    <definedName name="\i" localSheetId="7">#REF!</definedName>
    <definedName name="\i" localSheetId="23">#REF!</definedName>
    <definedName name="\i">#REF!</definedName>
    <definedName name="\J" localSheetId="12">#REF!</definedName>
    <definedName name="\J" localSheetId="30">#REF!</definedName>
    <definedName name="\J" localSheetId="28">#REF!</definedName>
    <definedName name="\J" localSheetId="27">#REF!</definedName>
    <definedName name="\J" localSheetId="18">#REF!</definedName>
    <definedName name="\J" localSheetId="7">#REF!</definedName>
    <definedName name="\J" localSheetId="23">#REF!</definedName>
    <definedName name="\J">#REF!</definedName>
    <definedName name="\k" localSheetId="12">#REF!</definedName>
    <definedName name="\k" localSheetId="30">#REF!</definedName>
    <definedName name="\k" localSheetId="28">#REF!</definedName>
    <definedName name="\k" localSheetId="27">#REF!</definedName>
    <definedName name="\k" localSheetId="21">#REF!</definedName>
    <definedName name="\k" localSheetId="18">#REF!</definedName>
    <definedName name="\k" localSheetId="7">#REF!</definedName>
    <definedName name="\k" localSheetId="23">#REF!</definedName>
    <definedName name="\k">#REF!</definedName>
    <definedName name="\l">#N/A</definedName>
    <definedName name="\m" localSheetId="12">#REF!</definedName>
    <definedName name="\m" localSheetId="1">#REF!</definedName>
    <definedName name="\m" localSheetId="30">#REF!</definedName>
    <definedName name="\m" localSheetId="28">#REF!</definedName>
    <definedName name="\m" localSheetId="27">#REF!</definedName>
    <definedName name="\m" localSheetId="0">#REF!</definedName>
    <definedName name="\m" localSheetId="21">#REF!</definedName>
    <definedName name="\m" localSheetId="18">#REF!</definedName>
    <definedName name="\m" localSheetId="7">#REF!</definedName>
    <definedName name="\m" localSheetId="23">#REF!</definedName>
    <definedName name="\m">#REF!</definedName>
    <definedName name="\o" localSheetId="12">#REF!</definedName>
    <definedName name="\o" localSheetId="30">#REF!</definedName>
    <definedName name="\o" localSheetId="28">#REF!</definedName>
    <definedName name="\o" localSheetId="27">#REF!</definedName>
    <definedName name="\o" localSheetId="18">#REF!</definedName>
    <definedName name="\o" localSheetId="7">#REF!</definedName>
    <definedName name="\o" localSheetId="23">#REF!</definedName>
    <definedName name="\o">#REF!</definedName>
    <definedName name="\p" localSheetId="12">#REF!</definedName>
    <definedName name="\p" localSheetId="30">#REF!</definedName>
    <definedName name="\p" localSheetId="28">#REF!</definedName>
    <definedName name="\p" localSheetId="27">#REF!</definedName>
    <definedName name="\p" localSheetId="18">#REF!</definedName>
    <definedName name="\p" localSheetId="7">#REF!</definedName>
    <definedName name="\p" localSheetId="23">#REF!</definedName>
    <definedName name="\p">#REF!</definedName>
    <definedName name="\r" localSheetId="12">#REF!</definedName>
    <definedName name="\r" localSheetId="30">#REF!</definedName>
    <definedName name="\r" localSheetId="28">#REF!</definedName>
    <definedName name="\r" localSheetId="27">#REF!</definedName>
    <definedName name="\r" localSheetId="18">#REF!</definedName>
    <definedName name="\r" localSheetId="7">#REF!</definedName>
    <definedName name="\r" localSheetId="23">#REF!</definedName>
    <definedName name="\r">#REF!</definedName>
    <definedName name="\T" localSheetId="12">#REF!</definedName>
    <definedName name="\T" localSheetId="30">#REF!</definedName>
    <definedName name="\T" localSheetId="28">#REF!</definedName>
    <definedName name="\T" localSheetId="27">#REF!</definedName>
    <definedName name="\T" localSheetId="18">#REF!</definedName>
    <definedName name="\T" localSheetId="7">#REF!</definedName>
    <definedName name="\T" localSheetId="23">#REF!</definedName>
    <definedName name="\T">#REF!</definedName>
    <definedName name="\xasd" localSheetId="3" hidden="1">{#N/A,#N/A,FALSE,"Plan1";#N/A,#N/A,FALSE,"Plan2"}</definedName>
    <definedName name="\xasd" localSheetId="33" hidden="1">{#N/A,#N/A,FALSE,"Plan1";#N/A,#N/A,FALSE,"Plan2"}</definedName>
    <definedName name="\xasd" localSheetId="35" hidden="1">{#N/A,#N/A,FALSE,"Plan1";#N/A,#N/A,FALSE,"Plan2"}</definedName>
    <definedName name="\xasd" hidden="1">{#N/A,#N/A,FALSE,"Plan1";#N/A,#N/A,FALSE,"Plan2"}</definedName>
    <definedName name="\z" localSheetId="12">#REF!</definedName>
    <definedName name="\z" localSheetId="30">#REF!</definedName>
    <definedName name="\z" localSheetId="28">#REF!</definedName>
    <definedName name="\z" localSheetId="27">#REF!</definedName>
    <definedName name="\z" localSheetId="21">#REF!</definedName>
    <definedName name="\z" localSheetId="18">#REF!</definedName>
    <definedName name="\z" localSheetId="7">#REF!</definedName>
    <definedName name="\z" localSheetId="23">#REF!</definedName>
    <definedName name="\z">#REF!</definedName>
    <definedName name="_" localSheetId="12" hidden="1">#REF!</definedName>
    <definedName name="_" localSheetId="30" hidden="1">#REF!</definedName>
    <definedName name="_" localSheetId="28" hidden="1">#REF!</definedName>
    <definedName name="_" localSheetId="27" hidden="1">#REF!</definedName>
    <definedName name="_" localSheetId="18" hidden="1">#REF!</definedName>
    <definedName name="_" localSheetId="7" hidden="1">#REF!</definedName>
    <definedName name="_" localSheetId="23" hidden="1">#REF!</definedName>
    <definedName name="_" hidden="1">#REF!</definedName>
    <definedName name="__" localSheetId="12" hidden="1">#REF!</definedName>
    <definedName name="__" localSheetId="30" hidden="1">#REF!</definedName>
    <definedName name="__" localSheetId="28" hidden="1">#REF!</definedName>
    <definedName name="__" localSheetId="27" hidden="1">#REF!</definedName>
    <definedName name="__" localSheetId="18" hidden="1">#REF!</definedName>
    <definedName name="__" localSheetId="7" hidden="1">#REF!</definedName>
    <definedName name="__" localSheetId="23" hidden="1">#REF!</definedName>
    <definedName name="__" hidden="1">#REF!</definedName>
    <definedName name="________________r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 localSheetId="12">#REF!</definedName>
    <definedName name="______ACR10" localSheetId="30">#REF!</definedName>
    <definedName name="______ACR10" localSheetId="28">#REF!</definedName>
    <definedName name="______ACR10" localSheetId="27">#REF!</definedName>
    <definedName name="______ACR10" localSheetId="18">#REF!</definedName>
    <definedName name="______ACR10" localSheetId="7">#REF!</definedName>
    <definedName name="______ACR10" localSheetId="23">#REF!</definedName>
    <definedName name="______ACR10">#REF!</definedName>
    <definedName name="______ACR15" localSheetId="12">#REF!</definedName>
    <definedName name="______ACR15" localSheetId="30">#REF!</definedName>
    <definedName name="______ACR15" localSheetId="28">#REF!</definedName>
    <definedName name="______ACR15" localSheetId="27">#REF!</definedName>
    <definedName name="______ACR15" localSheetId="18">#REF!</definedName>
    <definedName name="______ACR15" localSheetId="7">#REF!</definedName>
    <definedName name="______ACR15" localSheetId="23">#REF!</definedName>
    <definedName name="______ACR15">#REF!</definedName>
    <definedName name="______acr20" localSheetId="12">#REF!</definedName>
    <definedName name="______acr20" localSheetId="30">#REF!</definedName>
    <definedName name="______acr20" localSheetId="28">#REF!</definedName>
    <definedName name="______acr20" localSheetId="27">#REF!</definedName>
    <definedName name="______acr20" localSheetId="18">#REF!</definedName>
    <definedName name="______acr20" localSheetId="7">#REF!</definedName>
    <definedName name="______acr20" localSheetId="23">#REF!</definedName>
    <definedName name="______acr20">#REF!</definedName>
    <definedName name="______acr5" localSheetId="12">#REF!</definedName>
    <definedName name="______acr5" localSheetId="30">#REF!</definedName>
    <definedName name="______acr5" localSheetId="28">#REF!</definedName>
    <definedName name="______acr5" localSheetId="27">#REF!</definedName>
    <definedName name="______acr5" localSheetId="18">#REF!</definedName>
    <definedName name="______acr5" localSheetId="7">#REF!</definedName>
    <definedName name="______acr5" localSheetId="23">#REF!</definedName>
    <definedName name="______acr5">#REF!</definedName>
    <definedName name="______ARQ1" localSheetId="12">#REF!</definedName>
    <definedName name="______ARQ1" localSheetId="30">#REF!</definedName>
    <definedName name="______ARQ1" localSheetId="28">#REF!</definedName>
    <definedName name="______ARQ1" localSheetId="27">#REF!</definedName>
    <definedName name="______ARQ1" localSheetId="18">#REF!</definedName>
    <definedName name="______ARQ1" localSheetId="7">#REF!</definedName>
    <definedName name="______ARQ1" localSheetId="23">#REF!</definedName>
    <definedName name="______ARQ1">#REF!</definedName>
    <definedName name="______QT100" localSheetId="12">#REF!</definedName>
    <definedName name="______QT100" localSheetId="30">#REF!</definedName>
    <definedName name="______QT100" localSheetId="28">#REF!</definedName>
    <definedName name="______QT100" localSheetId="27">#REF!</definedName>
    <definedName name="______QT100" localSheetId="18">#REF!</definedName>
    <definedName name="______QT100" localSheetId="7">#REF!</definedName>
    <definedName name="______QT100" localSheetId="23">#REF!</definedName>
    <definedName name="______QT100">#REF!</definedName>
    <definedName name="______QT2" localSheetId="12">#REF!</definedName>
    <definedName name="______QT2" localSheetId="30">#REF!</definedName>
    <definedName name="______QT2" localSheetId="28">#REF!</definedName>
    <definedName name="______QT2" localSheetId="27">#REF!</definedName>
    <definedName name="______QT2" localSheetId="18">#REF!</definedName>
    <definedName name="______QT2" localSheetId="7">#REF!</definedName>
    <definedName name="______QT2" localSheetId="23">#REF!</definedName>
    <definedName name="______QT2">#REF!</definedName>
    <definedName name="______QT3" localSheetId="12">#REF!</definedName>
    <definedName name="______QT3" localSheetId="30">#REF!</definedName>
    <definedName name="______QT3" localSheetId="28">#REF!</definedName>
    <definedName name="______QT3" localSheetId="27">#REF!</definedName>
    <definedName name="______QT3" localSheetId="18">#REF!</definedName>
    <definedName name="______QT3" localSheetId="7">#REF!</definedName>
    <definedName name="______QT3" localSheetId="23">#REF!</definedName>
    <definedName name="______QT3">#REF!</definedName>
    <definedName name="______QT4" localSheetId="12">#REF!</definedName>
    <definedName name="______QT4" localSheetId="30">#REF!</definedName>
    <definedName name="______QT4" localSheetId="28">#REF!</definedName>
    <definedName name="______QT4" localSheetId="27">#REF!</definedName>
    <definedName name="______QT4" localSheetId="18">#REF!</definedName>
    <definedName name="______QT4" localSheetId="7">#REF!</definedName>
    <definedName name="______QT4" localSheetId="23">#REF!</definedName>
    <definedName name="______QT4">#REF!</definedName>
    <definedName name="______QT50" localSheetId="12">#REF!</definedName>
    <definedName name="______QT50" localSheetId="30">#REF!</definedName>
    <definedName name="______QT50" localSheetId="28">#REF!</definedName>
    <definedName name="______QT50" localSheetId="27">#REF!</definedName>
    <definedName name="______QT50" localSheetId="18">#REF!</definedName>
    <definedName name="______QT50" localSheetId="7">#REF!</definedName>
    <definedName name="______QT50" localSheetId="23">#REF!</definedName>
    <definedName name="______QT50">#REF!</definedName>
    <definedName name="______QT75" localSheetId="12">#REF!</definedName>
    <definedName name="______QT75" localSheetId="30">#REF!</definedName>
    <definedName name="______QT75" localSheetId="28">#REF!</definedName>
    <definedName name="______QT75" localSheetId="27">#REF!</definedName>
    <definedName name="______QT75" localSheetId="18">#REF!</definedName>
    <definedName name="______QT75" localSheetId="7">#REF!</definedName>
    <definedName name="______QT75" localSheetId="23">#REF!</definedName>
    <definedName name="______QT75">#REF!</definedName>
    <definedName name="______r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 localSheetId="12">#REF!</definedName>
    <definedName name="_____ACR10" localSheetId="30">#REF!</definedName>
    <definedName name="_____ACR10" localSheetId="28">#REF!</definedName>
    <definedName name="_____ACR10" localSheetId="27">#REF!</definedName>
    <definedName name="_____ACR10" localSheetId="18">#REF!</definedName>
    <definedName name="_____ACR10" localSheetId="7">#REF!</definedName>
    <definedName name="_____ACR10" localSheetId="23">#REF!</definedName>
    <definedName name="_____ACR10">#REF!</definedName>
    <definedName name="_____ACR15" localSheetId="12">#REF!</definedName>
    <definedName name="_____ACR15" localSheetId="30">#REF!</definedName>
    <definedName name="_____ACR15" localSheetId="28">#REF!</definedName>
    <definedName name="_____ACR15" localSheetId="27">#REF!</definedName>
    <definedName name="_____ACR15" localSheetId="18">#REF!</definedName>
    <definedName name="_____ACR15" localSheetId="7">#REF!</definedName>
    <definedName name="_____ACR15" localSheetId="23">#REF!</definedName>
    <definedName name="_____ACR15">#REF!</definedName>
    <definedName name="_____acr20" localSheetId="12">#REF!</definedName>
    <definedName name="_____acr20" localSheetId="30">#REF!</definedName>
    <definedName name="_____acr20" localSheetId="28">#REF!</definedName>
    <definedName name="_____acr20" localSheetId="27">#REF!</definedName>
    <definedName name="_____acr20" localSheetId="18">#REF!</definedName>
    <definedName name="_____acr20" localSheetId="7">#REF!</definedName>
    <definedName name="_____acr20" localSheetId="23">#REF!</definedName>
    <definedName name="_____acr20">#REF!</definedName>
    <definedName name="_____acr5" localSheetId="12">#REF!</definedName>
    <definedName name="_____acr5" localSheetId="30">#REF!</definedName>
    <definedName name="_____acr5" localSheetId="28">#REF!</definedName>
    <definedName name="_____acr5" localSheetId="27">#REF!</definedName>
    <definedName name="_____acr5" localSheetId="18">#REF!</definedName>
    <definedName name="_____acr5" localSheetId="7">#REF!</definedName>
    <definedName name="_____acr5" localSheetId="23">#REF!</definedName>
    <definedName name="_____acr5">#REF!</definedName>
    <definedName name="_____ARQ1" localSheetId="12">#REF!</definedName>
    <definedName name="_____ARQ1" localSheetId="30">#REF!</definedName>
    <definedName name="_____ARQ1" localSheetId="28">#REF!</definedName>
    <definedName name="_____ARQ1" localSheetId="27">#REF!</definedName>
    <definedName name="_____ARQ1" localSheetId="18">#REF!</definedName>
    <definedName name="_____ARQ1" localSheetId="7">#REF!</definedName>
    <definedName name="_____ARQ1" localSheetId="23">#REF!</definedName>
    <definedName name="_____ARQ1">#REF!</definedName>
    <definedName name="_____key2" localSheetId="12" hidden="1">#REF!</definedName>
    <definedName name="_____key2" localSheetId="30" hidden="1">#REF!</definedName>
    <definedName name="_____key2" localSheetId="28" hidden="1">#REF!</definedName>
    <definedName name="_____key2" localSheetId="27" hidden="1">#REF!</definedName>
    <definedName name="_____key2" localSheetId="18" hidden="1">#REF!</definedName>
    <definedName name="_____key2" localSheetId="7" hidden="1">#REF!</definedName>
    <definedName name="_____key2" localSheetId="23" hidden="1">#REF!</definedName>
    <definedName name="_____key2" hidden="1">#REF!</definedName>
    <definedName name="_____QT100" localSheetId="12">#REF!</definedName>
    <definedName name="_____QT100" localSheetId="30">#REF!</definedName>
    <definedName name="_____QT100" localSheetId="28">#REF!</definedName>
    <definedName name="_____QT100" localSheetId="27">#REF!</definedName>
    <definedName name="_____QT100" localSheetId="18">#REF!</definedName>
    <definedName name="_____QT100" localSheetId="7">#REF!</definedName>
    <definedName name="_____QT100" localSheetId="23">#REF!</definedName>
    <definedName name="_____QT100">#REF!</definedName>
    <definedName name="_____QT2" localSheetId="12">#REF!</definedName>
    <definedName name="_____QT2" localSheetId="30">#REF!</definedName>
    <definedName name="_____QT2" localSheetId="28">#REF!</definedName>
    <definedName name="_____QT2" localSheetId="27">#REF!</definedName>
    <definedName name="_____QT2" localSheetId="18">#REF!</definedName>
    <definedName name="_____QT2" localSheetId="7">#REF!</definedName>
    <definedName name="_____QT2" localSheetId="23">#REF!</definedName>
    <definedName name="_____QT2">#REF!</definedName>
    <definedName name="_____QT3" localSheetId="12">#REF!</definedName>
    <definedName name="_____QT3" localSheetId="30">#REF!</definedName>
    <definedName name="_____QT3" localSheetId="28">#REF!</definedName>
    <definedName name="_____QT3" localSheetId="27">#REF!</definedName>
    <definedName name="_____QT3" localSheetId="18">#REF!</definedName>
    <definedName name="_____QT3" localSheetId="7">#REF!</definedName>
    <definedName name="_____QT3" localSheetId="23">#REF!</definedName>
    <definedName name="_____QT3">#REF!</definedName>
    <definedName name="_____QT4" localSheetId="12">#REF!</definedName>
    <definedName name="_____QT4" localSheetId="30">#REF!</definedName>
    <definedName name="_____QT4" localSheetId="28">#REF!</definedName>
    <definedName name="_____QT4" localSheetId="27">#REF!</definedName>
    <definedName name="_____QT4" localSheetId="18">#REF!</definedName>
    <definedName name="_____QT4" localSheetId="7">#REF!</definedName>
    <definedName name="_____QT4" localSheetId="23">#REF!</definedName>
    <definedName name="_____QT4">#REF!</definedName>
    <definedName name="_____QT50" localSheetId="12">#REF!</definedName>
    <definedName name="_____QT50" localSheetId="30">#REF!</definedName>
    <definedName name="_____QT50" localSheetId="28">#REF!</definedName>
    <definedName name="_____QT50" localSheetId="27">#REF!</definedName>
    <definedName name="_____QT50" localSheetId="18">#REF!</definedName>
    <definedName name="_____QT50" localSheetId="7">#REF!</definedName>
    <definedName name="_____QT50" localSheetId="23">#REF!</definedName>
    <definedName name="_____QT50">#REF!</definedName>
    <definedName name="_____QT75" localSheetId="12">#REF!</definedName>
    <definedName name="_____QT75" localSheetId="30">#REF!</definedName>
    <definedName name="_____QT75" localSheetId="28">#REF!</definedName>
    <definedName name="_____QT75" localSheetId="27">#REF!</definedName>
    <definedName name="_____QT75" localSheetId="18">#REF!</definedName>
    <definedName name="_____QT75" localSheetId="7">#REF!</definedName>
    <definedName name="_____QT75" localSheetId="23">#REF!</definedName>
    <definedName name="_____QT75">#REF!</definedName>
    <definedName name="_____r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localSheetId="12" hidden="1">#REF!</definedName>
    <definedName name="____key2" localSheetId="30" hidden="1">#REF!</definedName>
    <definedName name="____key2" localSheetId="28" hidden="1">#REF!</definedName>
    <definedName name="____key2" localSheetId="27" hidden="1">#REF!</definedName>
    <definedName name="____key2" localSheetId="18" hidden="1">#REF!</definedName>
    <definedName name="____key2" localSheetId="7" hidden="1">#REF!</definedName>
    <definedName name="____key2" localSheetId="23" hidden="1">#REF!</definedName>
    <definedName name="____key2" hidden="1">#REF!</definedName>
    <definedName name="____la29" localSheetId="12" hidden="1">#REF!</definedName>
    <definedName name="____la29" localSheetId="30" hidden="1">#REF!</definedName>
    <definedName name="____la29" localSheetId="28" hidden="1">#REF!</definedName>
    <definedName name="____la29" localSheetId="27" hidden="1">#REF!</definedName>
    <definedName name="____la29" localSheetId="18" hidden="1">#REF!</definedName>
    <definedName name="____la29" localSheetId="7" hidden="1">#REF!</definedName>
    <definedName name="____la29" localSheetId="23" hidden="1">#REF!</definedName>
    <definedName name="____la29" hidden="1">#REF!</definedName>
    <definedName name="____la3" localSheetId="12" hidden="1">#REF!</definedName>
    <definedName name="____la3" localSheetId="30" hidden="1">#REF!</definedName>
    <definedName name="____la3" localSheetId="28" hidden="1">#REF!</definedName>
    <definedName name="____la3" localSheetId="27" hidden="1">#REF!</definedName>
    <definedName name="____la3" localSheetId="18" hidden="1">#REF!</definedName>
    <definedName name="____la3" localSheetId="7" hidden="1">#REF!</definedName>
    <definedName name="____la3" localSheetId="23" hidden="1">#REF!</definedName>
    <definedName name="____la3" hidden="1">#REF!</definedName>
    <definedName name="____la31" localSheetId="12" hidden="1">#REF!</definedName>
    <definedName name="____la31" localSheetId="30" hidden="1">#REF!</definedName>
    <definedName name="____la31" localSheetId="28" hidden="1">#REF!</definedName>
    <definedName name="____la31" localSheetId="27" hidden="1">#REF!</definedName>
    <definedName name="____la31" localSheetId="18" hidden="1">#REF!</definedName>
    <definedName name="____la31" localSheetId="7" hidden="1">#REF!</definedName>
    <definedName name="____la31" localSheetId="23" hidden="1">#REF!</definedName>
    <definedName name="____la31" hidden="1">#REF!</definedName>
    <definedName name="____la32" localSheetId="12" hidden="1">#REF!</definedName>
    <definedName name="____la32" localSheetId="30" hidden="1">#REF!</definedName>
    <definedName name="____la32" localSheetId="28" hidden="1">#REF!</definedName>
    <definedName name="____la32" localSheetId="27" hidden="1">#REF!</definedName>
    <definedName name="____la32" localSheetId="18" hidden="1">#REF!</definedName>
    <definedName name="____la32" localSheetId="7" hidden="1">#REF!</definedName>
    <definedName name="____la32" localSheetId="23" hidden="1">#REF!</definedName>
    <definedName name="____la32" hidden="1">#REF!</definedName>
    <definedName name="____la4" localSheetId="12" hidden="1">#REF!</definedName>
    <definedName name="____la4" localSheetId="30" hidden="1">#REF!</definedName>
    <definedName name="____la4" localSheetId="28" hidden="1">#REF!</definedName>
    <definedName name="____la4" localSheetId="27" hidden="1">#REF!</definedName>
    <definedName name="____la4" localSheetId="18" hidden="1">#REF!</definedName>
    <definedName name="____la4" localSheetId="7" hidden="1">#REF!</definedName>
    <definedName name="____la4" localSheetId="23" hidden="1">#REF!</definedName>
    <definedName name="____la4" hidden="1">#REF!</definedName>
    <definedName name="____la5" localSheetId="12" hidden="1">#REF!</definedName>
    <definedName name="____la5" localSheetId="30" hidden="1">#REF!</definedName>
    <definedName name="____la5" localSheetId="28" hidden="1">#REF!</definedName>
    <definedName name="____la5" localSheetId="27" hidden="1">#REF!</definedName>
    <definedName name="____la5" localSheetId="18" hidden="1">#REF!</definedName>
    <definedName name="____la5" localSheetId="7" hidden="1">#REF!</definedName>
    <definedName name="____la5" localSheetId="23" hidden="1">#REF!</definedName>
    <definedName name="____la5" hidden="1">#REF!</definedName>
    <definedName name="____la6" localSheetId="12" hidden="1">#REF!</definedName>
    <definedName name="____la6" localSheetId="30" hidden="1">#REF!</definedName>
    <definedName name="____la6" localSheetId="28" hidden="1">#REF!</definedName>
    <definedName name="____la6" localSheetId="27" hidden="1">#REF!</definedName>
    <definedName name="____la6" localSheetId="18" hidden="1">#REF!</definedName>
    <definedName name="____la6" localSheetId="7" hidden="1">#REF!</definedName>
    <definedName name="____la6" localSheetId="23" hidden="1">#REF!</definedName>
    <definedName name="____la6" hidden="1">#REF!</definedName>
    <definedName name="____la7" localSheetId="12" hidden="1">#REF!</definedName>
    <definedName name="____la7" localSheetId="30" hidden="1">#REF!</definedName>
    <definedName name="____la7" localSheetId="28" hidden="1">#REF!</definedName>
    <definedName name="____la7" localSheetId="27" hidden="1">#REF!</definedName>
    <definedName name="____la7" localSheetId="18" hidden="1">#REF!</definedName>
    <definedName name="____la7" localSheetId="7" hidden="1">#REF!</definedName>
    <definedName name="____la7" localSheetId="23" hidden="1">#REF!</definedName>
    <definedName name="____la7" hidden="1">#REF!</definedName>
    <definedName name="____la8" localSheetId="12" hidden="1">#REF!</definedName>
    <definedName name="____la8" localSheetId="30" hidden="1">#REF!</definedName>
    <definedName name="____la8" localSheetId="28" hidden="1">#REF!</definedName>
    <definedName name="____la8" localSheetId="27" hidden="1">#REF!</definedName>
    <definedName name="____la8" localSheetId="18" hidden="1">#REF!</definedName>
    <definedName name="____la8" localSheetId="7" hidden="1">#REF!</definedName>
    <definedName name="____la8" localSheetId="23" hidden="1">#REF!</definedName>
    <definedName name="____la8" hidden="1">#REF!</definedName>
    <definedName name="____la9" localSheetId="12" hidden="1">#REF!</definedName>
    <definedName name="____la9" localSheetId="30" hidden="1">#REF!</definedName>
    <definedName name="____la9" localSheetId="28" hidden="1">#REF!</definedName>
    <definedName name="____la9" localSheetId="27" hidden="1">#REF!</definedName>
    <definedName name="____la9" localSheetId="18" hidden="1">#REF!</definedName>
    <definedName name="____la9" localSheetId="7" hidden="1">#REF!</definedName>
    <definedName name="____la9" localSheetId="23" hidden="1">#REF!</definedName>
    <definedName name="____la9" hidden="1">#REF!</definedName>
    <definedName name="____lb1" localSheetId="12" hidden="1">#REF!</definedName>
    <definedName name="____lb1" localSheetId="30" hidden="1">#REF!</definedName>
    <definedName name="____lb1" localSheetId="28" hidden="1">#REF!</definedName>
    <definedName name="____lb1" localSheetId="27" hidden="1">#REF!</definedName>
    <definedName name="____lb1" localSheetId="18" hidden="1">#REF!</definedName>
    <definedName name="____lb1" localSheetId="7" hidden="1">#REF!</definedName>
    <definedName name="____lb1" localSheetId="23" hidden="1">#REF!</definedName>
    <definedName name="____lb1" hidden="1">#REF!</definedName>
    <definedName name="____lb10" localSheetId="12" hidden="1">#REF!</definedName>
    <definedName name="____lb10" localSheetId="30" hidden="1">#REF!</definedName>
    <definedName name="____lb10" localSheetId="28" hidden="1">#REF!</definedName>
    <definedName name="____lb10" localSheetId="27" hidden="1">#REF!</definedName>
    <definedName name="____lb10" localSheetId="18" hidden="1">#REF!</definedName>
    <definedName name="____lb10" localSheetId="7" hidden="1">#REF!</definedName>
    <definedName name="____lb10" localSheetId="23" hidden="1">#REF!</definedName>
    <definedName name="____lb10" hidden="1">#REF!</definedName>
    <definedName name="____lb11" localSheetId="12" hidden="1">#REF!</definedName>
    <definedName name="____lb11" localSheetId="30" hidden="1">#REF!</definedName>
    <definedName name="____lb11" localSheetId="28" hidden="1">#REF!</definedName>
    <definedName name="____lb11" localSheetId="27" hidden="1">#REF!</definedName>
    <definedName name="____lb11" localSheetId="18" hidden="1">#REF!</definedName>
    <definedName name="____lb11" localSheetId="7" hidden="1">#REF!</definedName>
    <definedName name="____lb11" localSheetId="23" hidden="1">#REF!</definedName>
    <definedName name="____lb11" hidden="1">#REF!</definedName>
    <definedName name="____lb12" localSheetId="12" hidden="1">#REF!</definedName>
    <definedName name="____lb12" localSheetId="30" hidden="1">#REF!</definedName>
    <definedName name="____lb12" localSheetId="28" hidden="1">#REF!</definedName>
    <definedName name="____lb12" localSheetId="27" hidden="1">#REF!</definedName>
    <definedName name="____lb12" localSheetId="18" hidden="1">#REF!</definedName>
    <definedName name="____lb12" localSheetId="7" hidden="1">#REF!</definedName>
    <definedName name="____lb12" localSheetId="23" hidden="1">#REF!</definedName>
    <definedName name="____lb12" hidden="1">#REF!</definedName>
    <definedName name="____lb13" localSheetId="12" hidden="1">#REF!</definedName>
    <definedName name="____lb13" localSheetId="30" hidden="1">#REF!</definedName>
    <definedName name="____lb13" localSheetId="28" hidden="1">#REF!</definedName>
    <definedName name="____lb13" localSheetId="27" hidden="1">#REF!</definedName>
    <definedName name="____lb13" localSheetId="18" hidden="1">#REF!</definedName>
    <definedName name="____lb13" localSheetId="7" hidden="1">#REF!</definedName>
    <definedName name="____lb13" localSheetId="23" hidden="1">#REF!</definedName>
    <definedName name="____lb13" hidden="1">#REF!</definedName>
    <definedName name="____lb14" localSheetId="12" hidden="1">#REF!</definedName>
    <definedName name="____lb14" localSheetId="30" hidden="1">#REF!</definedName>
    <definedName name="____lb14" localSheetId="28" hidden="1">#REF!</definedName>
    <definedName name="____lb14" localSheetId="27" hidden="1">#REF!</definedName>
    <definedName name="____lb14" localSheetId="18" hidden="1">#REF!</definedName>
    <definedName name="____lb14" localSheetId="7" hidden="1">#REF!</definedName>
    <definedName name="____lb14" localSheetId="23" hidden="1">#REF!</definedName>
    <definedName name="____lb14" hidden="1">#REF!</definedName>
    <definedName name="____lb15" localSheetId="12" hidden="1">#REF!</definedName>
    <definedName name="____lb15" localSheetId="30" hidden="1">#REF!</definedName>
    <definedName name="____lb15" localSheetId="28" hidden="1">#REF!</definedName>
    <definedName name="____lb15" localSheetId="27" hidden="1">#REF!</definedName>
    <definedName name="____lb15" localSheetId="18" hidden="1">#REF!</definedName>
    <definedName name="____lb15" localSheetId="7" hidden="1">#REF!</definedName>
    <definedName name="____lb15" localSheetId="23" hidden="1">#REF!</definedName>
    <definedName name="____lb15" hidden="1">#REF!</definedName>
    <definedName name="____lb16" localSheetId="12" hidden="1">#REF!</definedName>
    <definedName name="____lb16" localSheetId="30" hidden="1">#REF!</definedName>
    <definedName name="____lb16" localSheetId="28" hidden="1">#REF!</definedName>
    <definedName name="____lb16" localSheetId="27" hidden="1">#REF!</definedName>
    <definedName name="____lb16" localSheetId="18" hidden="1">#REF!</definedName>
    <definedName name="____lb16" localSheetId="7" hidden="1">#REF!</definedName>
    <definedName name="____lb16" localSheetId="23" hidden="1">#REF!</definedName>
    <definedName name="____lb16" hidden="1">#REF!</definedName>
    <definedName name="____lb17" localSheetId="12" hidden="1">#REF!</definedName>
    <definedName name="____lb17" localSheetId="30" hidden="1">#REF!</definedName>
    <definedName name="____lb17" localSheetId="28" hidden="1">#REF!</definedName>
    <definedName name="____lb17" localSheetId="27" hidden="1">#REF!</definedName>
    <definedName name="____lb17" localSheetId="18" hidden="1">#REF!</definedName>
    <definedName name="____lb17" localSheetId="7" hidden="1">#REF!</definedName>
    <definedName name="____lb17" localSheetId="23" hidden="1">#REF!</definedName>
    <definedName name="____lb17" hidden="1">#REF!</definedName>
    <definedName name="____lb18" localSheetId="12" hidden="1">#REF!</definedName>
    <definedName name="____lb18" localSheetId="30" hidden="1">#REF!</definedName>
    <definedName name="____lb18" localSheetId="28" hidden="1">#REF!</definedName>
    <definedName name="____lb18" localSheetId="27" hidden="1">#REF!</definedName>
    <definedName name="____lb18" localSheetId="18" hidden="1">#REF!</definedName>
    <definedName name="____lb18" localSheetId="7" hidden="1">#REF!</definedName>
    <definedName name="____lb18" localSheetId="23" hidden="1">#REF!</definedName>
    <definedName name="____lb18" hidden="1">#REF!</definedName>
    <definedName name="____lb19" localSheetId="12" hidden="1">#REF!</definedName>
    <definedName name="____lb19" localSheetId="30" hidden="1">#REF!</definedName>
    <definedName name="____lb19" localSheetId="28" hidden="1">#REF!</definedName>
    <definedName name="____lb19" localSheetId="27" hidden="1">#REF!</definedName>
    <definedName name="____lb19" localSheetId="18" hidden="1">#REF!</definedName>
    <definedName name="____lb19" localSheetId="7" hidden="1">#REF!</definedName>
    <definedName name="____lb19" localSheetId="23" hidden="1">#REF!</definedName>
    <definedName name="____lb19" hidden="1">#REF!</definedName>
    <definedName name="____lb2" localSheetId="12" hidden="1">#REF!</definedName>
    <definedName name="____lb2" localSheetId="30" hidden="1">#REF!</definedName>
    <definedName name="____lb2" localSheetId="28" hidden="1">#REF!</definedName>
    <definedName name="____lb2" localSheetId="27" hidden="1">#REF!</definedName>
    <definedName name="____lb2" localSheetId="18" hidden="1">#REF!</definedName>
    <definedName name="____lb2" localSheetId="7" hidden="1">#REF!</definedName>
    <definedName name="____lb2" localSheetId="23" hidden="1">#REF!</definedName>
    <definedName name="____lb2" hidden="1">#REF!</definedName>
    <definedName name="____lb20" localSheetId="12" hidden="1">#REF!</definedName>
    <definedName name="____lb20" localSheetId="30" hidden="1">#REF!</definedName>
    <definedName name="____lb20" localSheetId="28" hidden="1">#REF!</definedName>
    <definedName name="____lb20" localSheetId="27" hidden="1">#REF!</definedName>
    <definedName name="____lb20" localSheetId="18" hidden="1">#REF!</definedName>
    <definedName name="____lb20" localSheetId="7" hidden="1">#REF!</definedName>
    <definedName name="____lb20" localSheetId="23" hidden="1">#REF!</definedName>
    <definedName name="____lb20" hidden="1">#REF!</definedName>
    <definedName name="____lb21" localSheetId="12" hidden="1">#REF!</definedName>
    <definedName name="____lb21" localSheetId="30" hidden="1">#REF!</definedName>
    <definedName name="____lb21" localSheetId="28" hidden="1">#REF!</definedName>
    <definedName name="____lb21" localSheetId="27" hidden="1">#REF!</definedName>
    <definedName name="____lb21" localSheetId="18" hidden="1">#REF!</definedName>
    <definedName name="____lb21" localSheetId="7" hidden="1">#REF!</definedName>
    <definedName name="____lb21" localSheetId="23" hidden="1">#REF!</definedName>
    <definedName name="____lb21" hidden="1">#REF!</definedName>
    <definedName name="____lb22" localSheetId="12" hidden="1">#REF!</definedName>
    <definedName name="____lb22" localSheetId="30" hidden="1">#REF!</definedName>
    <definedName name="____lb22" localSheetId="28" hidden="1">#REF!</definedName>
    <definedName name="____lb22" localSheetId="27" hidden="1">#REF!</definedName>
    <definedName name="____lb22" localSheetId="18" hidden="1">#REF!</definedName>
    <definedName name="____lb22" localSheetId="7" hidden="1">#REF!</definedName>
    <definedName name="____lb22" localSheetId="23" hidden="1">#REF!</definedName>
    <definedName name="____lb22" hidden="1">#REF!</definedName>
    <definedName name="____lb23" localSheetId="12" hidden="1">#REF!</definedName>
    <definedName name="____lb23" localSheetId="30" hidden="1">#REF!</definedName>
    <definedName name="____lb23" localSheetId="28" hidden="1">#REF!</definedName>
    <definedName name="____lb23" localSheetId="27" hidden="1">#REF!</definedName>
    <definedName name="____lb23" localSheetId="18" hidden="1">#REF!</definedName>
    <definedName name="____lb23" localSheetId="7" hidden="1">#REF!</definedName>
    <definedName name="____lb23" localSheetId="23" hidden="1">#REF!</definedName>
    <definedName name="____lb23" hidden="1">#REF!</definedName>
    <definedName name="____lb24" localSheetId="12" hidden="1">#REF!</definedName>
    <definedName name="____lb24" localSheetId="30" hidden="1">#REF!</definedName>
    <definedName name="____lb24" localSheetId="28" hidden="1">#REF!</definedName>
    <definedName name="____lb24" localSheetId="27" hidden="1">#REF!</definedName>
    <definedName name="____lb24" localSheetId="18" hidden="1">#REF!</definedName>
    <definedName name="____lb24" localSheetId="7" hidden="1">#REF!</definedName>
    <definedName name="____lb24" localSheetId="23" hidden="1">#REF!</definedName>
    <definedName name="____lb24" hidden="1">#REF!</definedName>
    <definedName name="____lb25" localSheetId="12" hidden="1">#REF!</definedName>
    <definedName name="____lb25" localSheetId="30" hidden="1">#REF!</definedName>
    <definedName name="____lb25" localSheetId="28" hidden="1">#REF!</definedName>
    <definedName name="____lb25" localSheetId="27" hidden="1">#REF!</definedName>
    <definedName name="____lb25" localSheetId="18" hidden="1">#REF!</definedName>
    <definedName name="____lb25" localSheetId="7" hidden="1">#REF!</definedName>
    <definedName name="____lb25" localSheetId="23" hidden="1">#REF!</definedName>
    <definedName name="____lb25" hidden="1">#REF!</definedName>
    <definedName name="____lb27" localSheetId="12" hidden="1">#REF!</definedName>
    <definedName name="____lb27" localSheetId="30" hidden="1">#REF!</definedName>
    <definedName name="____lb27" localSheetId="28" hidden="1">#REF!</definedName>
    <definedName name="____lb27" localSheetId="27" hidden="1">#REF!</definedName>
    <definedName name="____lb27" localSheetId="18" hidden="1">#REF!</definedName>
    <definedName name="____lb27" localSheetId="7" hidden="1">#REF!</definedName>
    <definedName name="____lb27" localSheetId="23" hidden="1">#REF!</definedName>
    <definedName name="____lb27" hidden="1">#REF!</definedName>
    <definedName name="____lb28" localSheetId="12" hidden="1">#REF!</definedName>
    <definedName name="____lb28" localSheetId="30" hidden="1">#REF!</definedName>
    <definedName name="____lb28" localSheetId="28" hidden="1">#REF!</definedName>
    <definedName name="____lb28" localSheetId="27" hidden="1">#REF!</definedName>
    <definedName name="____lb28" localSheetId="18" hidden="1">#REF!</definedName>
    <definedName name="____lb28" localSheetId="7" hidden="1">#REF!</definedName>
    <definedName name="____lb28" localSheetId="23" hidden="1">#REF!</definedName>
    <definedName name="____lb28" hidden="1">#REF!</definedName>
    <definedName name="____lb29" localSheetId="12" hidden="1">#REF!</definedName>
    <definedName name="____lb29" localSheetId="30" hidden="1">#REF!</definedName>
    <definedName name="____lb29" localSheetId="28" hidden="1">#REF!</definedName>
    <definedName name="____lb29" localSheetId="27" hidden="1">#REF!</definedName>
    <definedName name="____lb29" localSheetId="18" hidden="1">#REF!</definedName>
    <definedName name="____lb29" localSheetId="7" hidden="1">#REF!</definedName>
    <definedName name="____lb29" localSheetId="23" hidden="1">#REF!</definedName>
    <definedName name="____lb29" hidden="1">#REF!</definedName>
    <definedName name="____lb3" localSheetId="12" hidden="1">#REF!</definedName>
    <definedName name="____lb3" localSheetId="30" hidden="1">#REF!</definedName>
    <definedName name="____lb3" localSheetId="28" hidden="1">#REF!</definedName>
    <definedName name="____lb3" localSheetId="27" hidden="1">#REF!</definedName>
    <definedName name="____lb3" localSheetId="18" hidden="1">#REF!</definedName>
    <definedName name="____lb3" localSheetId="7" hidden="1">#REF!</definedName>
    <definedName name="____lb3" localSheetId="23" hidden="1">#REF!</definedName>
    <definedName name="____lb3" hidden="1">#REF!</definedName>
    <definedName name="____lb30" localSheetId="12" hidden="1">#REF!</definedName>
    <definedName name="____lb30" localSheetId="30" hidden="1">#REF!</definedName>
    <definedName name="____lb30" localSheetId="28" hidden="1">#REF!</definedName>
    <definedName name="____lb30" localSheetId="27" hidden="1">#REF!</definedName>
    <definedName name="____lb30" localSheetId="18" hidden="1">#REF!</definedName>
    <definedName name="____lb30" localSheetId="7" hidden="1">#REF!</definedName>
    <definedName name="____lb30" localSheetId="23" hidden="1">#REF!</definedName>
    <definedName name="____lb30" hidden="1">#REF!</definedName>
    <definedName name="____lb31" localSheetId="12" hidden="1">#REF!</definedName>
    <definedName name="____lb31" localSheetId="30" hidden="1">#REF!</definedName>
    <definedName name="____lb31" localSheetId="28" hidden="1">#REF!</definedName>
    <definedName name="____lb31" localSheetId="27" hidden="1">#REF!</definedName>
    <definedName name="____lb31" localSheetId="18" hidden="1">#REF!</definedName>
    <definedName name="____lb31" localSheetId="7" hidden="1">#REF!</definedName>
    <definedName name="____lb31" localSheetId="23" hidden="1">#REF!</definedName>
    <definedName name="____lb31" hidden="1">#REF!</definedName>
    <definedName name="____lb32" localSheetId="12" hidden="1">#REF!</definedName>
    <definedName name="____lb32" localSheetId="30" hidden="1">#REF!</definedName>
    <definedName name="____lb32" localSheetId="28" hidden="1">#REF!</definedName>
    <definedName name="____lb32" localSheetId="27" hidden="1">#REF!</definedName>
    <definedName name="____lb32" localSheetId="18" hidden="1">#REF!</definedName>
    <definedName name="____lb32" localSheetId="7" hidden="1">#REF!</definedName>
    <definedName name="____lb32" localSheetId="23" hidden="1">#REF!</definedName>
    <definedName name="____lb32" hidden="1">#REF!</definedName>
    <definedName name="____lb4" localSheetId="12" hidden="1">#REF!</definedName>
    <definedName name="____lb4" localSheetId="30" hidden="1">#REF!</definedName>
    <definedName name="____lb4" localSheetId="28" hidden="1">#REF!</definedName>
    <definedName name="____lb4" localSheetId="27" hidden="1">#REF!</definedName>
    <definedName name="____lb4" localSheetId="18" hidden="1">#REF!</definedName>
    <definedName name="____lb4" localSheetId="7" hidden="1">#REF!</definedName>
    <definedName name="____lb4" localSheetId="23" hidden="1">#REF!</definedName>
    <definedName name="____lb4" hidden="1">#REF!</definedName>
    <definedName name="____lb5" localSheetId="12" hidden="1">#REF!</definedName>
    <definedName name="____lb5" localSheetId="30" hidden="1">#REF!</definedName>
    <definedName name="____lb5" localSheetId="28" hidden="1">#REF!</definedName>
    <definedName name="____lb5" localSheetId="27" hidden="1">#REF!</definedName>
    <definedName name="____lb5" localSheetId="18" hidden="1">#REF!</definedName>
    <definedName name="____lb5" localSheetId="7" hidden="1">#REF!</definedName>
    <definedName name="____lb5" localSheetId="23" hidden="1">#REF!</definedName>
    <definedName name="____lb5" hidden="1">#REF!</definedName>
    <definedName name="____lb6" localSheetId="12" hidden="1">#REF!</definedName>
    <definedName name="____lb6" localSheetId="30" hidden="1">#REF!</definedName>
    <definedName name="____lb6" localSheetId="28" hidden="1">#REF!</definedName>
    <definedName name="____lb6" localSheetId="27" hidden="1">#REF!</definedName>
    <definedName name="____lb6" localSheetId="18" hidden="1">#REF!</definedName>
    <definedName name="____lb6" localSheetId="7" hidden="1">#REF!</definedName>
    <definedName name="____lb6" localSheetId="23" hidden="1">#REF!</definedName>
    <definedName name="____lb6" hidden="1">#REF!</definedName>
    <definedName name="____lb7" localSheetId="12" hidden="1">#REF!</definedName>
    <definedName name="____lb7" localSheetId="30" hidden="1">#REF!</definedName>
    <definedName name="____lb7" localSheetId="28" hidden="1">#REF!</definedName>
    <definedName name="____lb7" localSheetId="27" hidden="1">#REF!</definedName>
    <definedName name="____lb7" localSheetId="18" hidden="1">#REF!</definedName>
    <definedName name="____lb7" localSheetId="7" hidden="1">#REF!</definedName>
    <definedName name="____lb7" localSheetId="23" hidden="1">#REF!</definedName>
    <definedName name="____lb7" hidden="1">#REF!</definedName>
    <definedName name="____lb8" localSheetId="12" hidden="1">#REF!</definedName>
    <definedName name="____lb8" localSheetId="30" hidden="1">#REF!</definedName>
    <definedName name="____lb8" localSheetId="28" hidden="1">#REF!</definedName>
    <definedName name="____lb8" localSheetId="27" hidden="1">#REF!</definedName>
    <definedName name="____lb8" localSheetId="18" hidden="1">#REF!</definedName>
    <definedName name="____lb8" localSheetId="7" hidden="1">#REF!</definedName>
    <definedName name="____lb8" localSheetId="23" hidden="1">#REF!</definedName>
    <definedName name="____lb8" hidden="1">#REF!</definedName>
    <definedName name="____lb9" localSheetId="12" hidden="1">#REF!</definedName>
    <definedName name="____lb9" localSheetId="30" hidden="1">#REF!</definedName>
    <definedName name="____lb9" localSheetId="28" hidden="1">#REF!</definedName>
    <definedName name="____lb9" localSheetId="27" hidden="1">#REF!</definedName>
    <definedName name="____lb9" localSheetId="18" hidden="1">#REF!</definedName>
    <definedName name="____lb9" localSheetId="7" hidden="1">#REF!</definedName>
    <definedName name="____lb9" localSheetId="23" hidden="1">#REF!</definedName>
    <definedName name="____lb9" hidden="1">#REF!</definedName>
    <definedName name="____lbc1" localSheetId="12" hidden="1">#REF!</definedName>
    <definedName name="____lbc1" localSheetId="30" hidden="1">#REF!</definedName>
    <definedName name="____lbc1" localSheetId="28" hidden="1">#REF!</definedName>
    <definedName name="____lbc1" localSheetId="27" hidden="1">#REF!</definedName>
    <definedName name="____lbc1" localSheetId="18" hidden="1">#REF!</definedName>
    <definedName name="____lbc1" localSheetId="7" hidden="1">#REF!</definedName>
    <definedName name="____lbc1" localSheetId="23" hidden="1">#REF!</definedName>
    <definedName name="____lbc1" hidden="1">#REF!</definedName>
    <definedName name="____lbc10" localSheetId="12" hidden="1">#REF!</definedName>
    <definedName name="____lbc10" localSheetId="30" hidden="1">#REF!</definedName>
    <definedName name="____lbc10" localSheetId="28" hidden="1">#REF!</definedName>
    <definedName name="____lbc10" localSheetId="27" hidden="1">#REF!</definedName>
    <definedName name="____lbc10" localSheetId="18" hidden="1">#REF!</definedName>
    <definedName name="____lbc10" localSheetId="7" hidden="1">#REF!</definedName>
    <definedName name="____lbc10" localSheetId="23" hidden="1">#REF!</definedName>
    <definedName name="____lbc10" hidden="1">#REF!</definedName>
    <definedName name="____lbc11" localSheetId="12" hidden="1">#REF!</definedName>
    <definedName name="____lbc11" localSheetId="30" hidden="1">#REF!</definedName>
    <definedName name="____lbc11" localSheetId="28" hidden="1">#REF!</definedName>
    <definedName name="____lbc11" localSheetId="27" hidden="1">#REF!</definedName>
    <definedName name="____lbc11" localSheetId="18" hidden="1">#REF!</definedName>
    <definedName name="____lbc11" localSheetId="7" hidden="1">#REF!</definedName>
    <definedName name="____lbc11" localSheetId="23" hidden="1">#REF!</definedName>
    <definedName name="____lbc11" hidden="1">#REF!</definedName>
    <definedName name="____lbc12" localSheetId="12" hidden="1">#REF!</definedName>
    <definedName name="____lbc12" localSheetId="30" hidden="1">#REF!</definedName>
    <definedName name="____lbc12" localSheetId="28" hidden="1">#REF!</definedName>
    <definedName name="____lbc12" localSheetId="27" hidden="1">#REF!</definedName>
    <definedName name="____lbc12" localSheetId="18" hidden="1">#REF!</definedName>
    <definedName name="____lbc12" localSheetId="7" hidden="1">#REF!</definedName>
    <definedName name="____lbc12" localSheetId="23" hidden="1">#REF!</definedName>
    <definedName name="____lbc12" hidden="1">#REF!</definedName>
    <definedName name="____lbc13" localSheetId="12" hidden="1">#REF!</definedName>
    <definedName name="____lbc13" localSheetId="30" hidden="1">#REF!</definedName>
    <definedName name="____lbc13" localSheetId="28" hidden="1">#REF!</definedName>
    <definedName name="____lbc13" localSheetId="27" hidden="1">#REF!</definedName>
    <definedName name="____lbc13" localSheetId="18" hidden="1">#REF!</definedName>
    <definedName name="____lbc13" localSheetId="7" hidden="1">#REF!</definedName>
    <definedName name="____lbc13" localSheetId="23" hidden="1">#REF!</definedName>
    <definedName name="____lbc13" hidden="1">#REF!</definedName>
    <definedName name="____lbc14" localSheetId="12" hidden="1">#REF!</definedName>
    <definedName name="____lbc14" localSheetId="30" hidden="1">#REF!</definedName>
    <definedName name="____lbc14" localSheetId="28" hidden="1">#REF!</definedName>
    <definedName name="____lbc14" localSheetId="27" hidden="1">#REF!</definedName>
    <definedName name="____lbc14" localSheetId="18" hidden="1">#REF!</definedName>
    <definedName name="____lbc14" localSheetId="7" hidden="1">#REF!</definedName>
    <definedName name="____lbc14" localSheetId="23" hidden="1">#REF!</definedName>
    <definedName name="____lbc14" hidden="1">#REF!</definedName>
    <definedName name="____lbc15" localSheetId="12" hidden="1">#REF!</definedName>
    <definedName name="____lbc15" localSheetId="30" hidden="1">#REF!</definedName>
    <definedName name="____lbc15" localSheetId="28" hidden="1">#REF!</definedName>
    <definedName name="____lbc15" localSheetId="27" hidden="1">#REF!</definedName>
    <definedName name="____lbc15" localSheetId="18" hidden="1">#REF!</definedName>
    <definedName name="____lbc15" localSheetId="7" hidden="1">#REF!</definedName>
    <definedName name="____lbc15" localSheetId="23" hidden="1">#REF!</definedName>
    <definedName name="____lbc15" hidden="1">#REF!</definedName>
    <definedName name="____lbc16" localSheetId="12" hidden="1">#REF!</definedName>
    <definedName name="____lbc16" localSheetId="30" hidden="1">#REF!</definedName>
    <definedName name="____lbc16" localSheetId="28" hidden="1">#REF!</definedName>
    <definedName name="____lbc16" localSheetId="27" hidden="1">#REF!</definedName>
    <definedName name="____lbc16" localSheetId="18" hidden="1">#REF!</definedName>
    <definedName name="____lbc16" localSheetId="7" hidden="1">#REF!</definedName>
    <definedName name="____lbc16" localSheetId="23" hidden="1">#REF!</definedName>
    <definedName name="____lbc16" hidden="1">#REF!</definedName>
    <definedName name="____lbc17" localSheetId="12" hidden="1">#REF!</definedName>
    <definedName name="____lbc17" localSheetId="30" hidden="1">#REF!</definedName>
    <definedName name="____lbc17" localSheetId="28" hidden="1">#REF!</definedName>
    <definedName name="____lbc17" localSheetId="27" hidden="1">#REF!</definedName>
    <definedName name="____lbc17" localSheetId="18" hidden="1">#REF!</definedName>
    <definedName name="____lbc17" localSheetId="7" hidden="1">#REF!</definedName>
    <definedName name="____lbc17" localSheetId="23" hidden="1">#REF!</definedName>
    <definedName name="____lbc17" hidden="1">#REF!</definedName>
    <definedName name="____lbc18" localSheetId="12" hidden="1">#REF!</definedName>
    <definedName name="____lbc18" localSheetId="30" hidden="1">#REF!</definedName>
    <definedName name="____lbc18" localSheetId="28" hidden="1">#REF!</definedName>
    <definedName name="____lbc18" localSheetId="27" hidden="1">#REF!</definedName>
    <definedName name="____lbc18" localSheetId="18" hidden="1">#REF!</definedName>
    <definedName name="____lbc18" localSheetId="7" hidden="1">#REF!</definedName>
    <definedName name="____lbc18" localSheetId="23" hidden="1">#REF!</definedName>
    <definedName name="____lbc18" hidden="1">#REF!</definedName>
    <definedName name="____lbc19" localSheetId="12" hidden="1">#REF!</definedName>
    <definedName name="____lbc19" localSheetId="30" hidden="1">#REF!</definedName>
    <definedName name="____lbc19" localSheetId="28" hidden="1">#REF!</definedName>
    <definedName name="____lbc19" localSheetId="27" hidden="1">#REF!</definedName>
    <definedName name="____lbc19" localSheetId="18" hidden="1">#REF!</definedName>
    <definedName name="____lbc19" localSheetId="7" hidden="1">#REF!</definedName>
    <definedName name="____lbc19" localSheetId="23" hidden="1">#REF!</definedName>
    <definedName name="____lbc19" hidden="1">#REF!</definedName>
    <definedName name="____lbc2" localSheetId="12" hidden="1">#REF!</definedName>
    <definedName name="____lbc2" localSheetId="30" hidden="1">#REF!</definedName>
    <definedName name="____lbc2" localSheetId="28" hidden="1">#REF!</definedName>
    <definedName name="____lbc2" localSheetId="27" hidden="1">#REF!</definedName>
    <definedName name="____lbc2" localSheetId="18" hidden="1">#REF!</definedName>
    <definedName name="____lbc2" localSheetId="7" hidden="1">#REF!</definedName>
    <definedName name="____lbc2" localSheetId="23" hidden="1">#REF!</definedName>
    <definedName name="____lbc2" hidden="1">#REF!</definedName>
    <definedName name="____lbc20" localSheetId="12" hidden="1">#REF!</definedName>
    <definedName name="____lbc20" localSheetId="30" hidden="1">#REF!</definedName>
    <definedName name="____lbc20" localSheetId="28" hidden="1">#REF!</definedName>
    <definedName name="____lbc20" localSheetId="27" hidden="1">#REF!</definedName>
    <definedName name="____lbc20" localSheetId="18" hidden="1">#REF!</definedName>
    <definedName name="____lbc20" localSheetId="7" hidden="1">#REF!</definedName>
    <definedName name="____lbc20" localSheetId="23" hidden="1">#REF!</definedName>
    <definedName name="____lbc20" hidden="1">#REF!</definedName>
    <definedName name="____lbc21" localSheetId="12" hidden="1">#REF!</definedName>
    <definedName name="____lbc21" localSheetId="30" hidden="1">#REF!</definedName>
    <definedName name="____lbc21" localSheetId="28" hidden="1">#REF!</definedName>
    <definedName name="____lbc21" localSheetId="27" hidden="1">#REF!</definedName>
    <definedName name="____lbc21" localSheetId="18" hidden="1">#REF!</definedName>
    <definedName name="____lbc21" localSheetId="7" hidden="1">#REF!</definedName>
    <definedName name="____lbc21" localSheetId="23" hidden="1">#REF!</definedName>
    <definedName name="____lbc21" hidden="1">#REF!</definedName>
    <definedName name="____lbc22" localSheetId="12" hidden="1">#REF!</definedName>
    <definedName name="____lbc22" localSheetId="30" hidden="1">#REF!</definedName>
    <definedName name="____lbc22" localSheetId="28" hidden="1">#REF!</definedName>
    <definedName name="____lbc22" localSheetId="27" hidden="1">#REF!</definedName>
    <definedName name="____lbc22" localSheetId="18" hidden="1">#REF!</definedName>
    <definedName name="____lbc22" localSheetId="7" hidden="1">#REF!</definedName>
    <definedName name="____lbc22" localSheetId="23" hidden="1">#REF!</definedName>
    <definedName name="____lbc22" hidden="1">#REF!</definedName>
    <definedName name="____lbc23" localSheetId="12" hidden="1">#REF!</definedName>
    <definedName name="____lbc23" localSheetId="30" hidden="1">#REF!</definedName>
    <definedName name="____lbc23" localSheetId="28" hidden="1">#REF!</definedName>
    <definedName name="____lbc23" localSheetId="27" hidden="1">#REF!</definedName>
    <definedName name="____lbc23" localSheetId="18" hidden="1">#REF!</definedName>
    <definedName name="____lbc23" localSheetId="7" hidden="1">#REF!</definedName>
    <definedName name="____lbc23" localSheetId="23" hidden="1">#REF!</definedName>
    <definedName name="____lbc23" hidden="1">#REF!</definedName>
    <definedName name="____lbc24" localSheetId="12" hidden="1">#REF!</definedName>
    <definedName name="____lbc24" localSheetId="30" hidden="1">#REF!</definedName>
    <definedName name="____lbc24" localSheetId="28" hidden="1">#REF!</definedName>
    <definedName name="____lbc24" localSheetId="27" hidden="1">#REF!</definedName>
    <definedName name="____lbc24" localSheetId="18" hidden="1">#REF!</definedName>
    <definedName name="____lbc24" localSheetId="7" hidden="1">#REF!</definedName>
    <definedName name="____lbc24" localSheetId="23" hidden="1">#REF!</definedName>
    <definedName name="____lbc24" hidden="1">#REF!</definedName>
    <definedName name="____lbc25" localSheetId="12" hidden="1">#REF!</definedName>
    <definedName name="____lbc25" localSheetId="30" hidden="1">#REF!</definedName>
    <definedName name="____lbc25" localSheetId="28" hidden="1">#REF!</definedName>
    <definedName name="____lbc25" localSheetId="27" hidden="1">#REF!</definedName>
    <definedName name="____lbc25" localSheetId="18" hidden="1">#REF!</definedName>
    <definedName name="____lbc25" localSheetId="7" hidden="1">#REF!</definedName>
    <definedName name="____lbc25" localSheetId="23" hidden="1">#REF!</definedName>
    <definedName name="____lbc25" hidden="1">#REF!</definedName>
    <definedName name="____lbc26" localSheetId="12" hidden="1">#REF!</definedName>
    <definedName name="____lbc26" localSheetId="30" hidden="1">#REF!</definedName>
    <definedName name="____lbc26" localSheetId="28" hidden="1">#REF!</definedName>
    <definedName name="____lbc26" localSheetId="27" hidden="1">#REF!</definedName>
    <definedName name="____lbc26" localSheetId="18" hidden="1">#REF!</definedName>
    <definedName name="____lbc26" localSheetId="7" hidden="1">#REF!</definedName>
    <definedName name="____lbc26" localSheetId="23" hidden="1">#REF!</definedName>
    <definedName name="____lbc26" hidden="1">#REF!</definedName>
    <definedName name="____lbc27" localSheetId="12" hidden="1">#REF!</definedName>
    <definedName name="____lbc27" localSheetId="30" hidden="1">#REF!</definedName>
    <definedName name="____lbc27" localSheetId="28" hidden="1">#REF!</definedName>
    <definedName name="____lbc27" localSheetId="27" hidden="1">#REF!</definedName>
    <definedName name="____lbc27" localSheetId="18" hidden="1">#REF!</definedName>
    <definedName name="____lbc27" localSheetId="7" hidden="1">#REF!</definedName>
    <definedName name="____lbc27" localSheetId="23" hidden="1">#REF!</definedName>
    <definedName name="____lbc27" hidden="1">#REF!</definedName>
    <definedName name="____lbc28" localSheetId="12" hidden="1">#REF!</definedName>
    <definedName name="____lbc28" localSheetId="30" hidden="1">#REF!</definedName>
    <definedName name="____lbc28" localSheetId="28" hidden="1">#REF!</definedName>
    <definedName name="____lbc28" localSheetId="27" hidden="1">#REF!</definedName>
    <definedName name="____lbc28" localSheetId="18" hidden="1">#REF!</definedName>
    <definedName name="____lbc28" localSheetId="7" hidden="1">#REF!</definedName>
    <definedName name="____lbc28" localSheetId="23" hidden="1">#REF!</definedName>
    <definedName name="____lbc28" hidden="1">#REF!</definedName>
    <definedName name="____lbc29" localSheetId="12" hidden="1">#REF!</definedName>
    <definedName name="____lbc29" localSheetId="30" hidden="1">#REF!</definedName>
    <definedName name="____lbc29" localSheetId="28" hidden="1">#REF!</definedName>
    <definedName name="____lbc29" localSheetId="27" hidden="1">#REF!</definedName>
    <definedName name="____lbc29" localSheetId="18" hidden="1">#REF!</definedName>
    <definedName name="____lbc29" localSheetId="7" hidden="1">#REF!</definedName>
    <definedName name="____lbc29" localSheetId="23" hidden="1">#REF!</definedName>
    <definedName name="____lbc29" hidden="1">#REF!</definedName>
    <definedName name="____lbc3" localSheetId="12" hidden="1">#REF!</definedName>
    <definedName name="____lbc3" localSheetId="30" hidden="1">#REF!</definedName>
    <definedName name="____lbc3" localSheetId="28" hidden="1">#REF!</definedName>
    <definedName name="____lbc3" localSheetId="27" hidden="1">#REF!</definedName>
    <definedName name="____lbc3" localSheetId="18" hidden="1">#REF!</definedName>
    <definedName name="____lbc3" localSheetId="7" hidden="1">#REF!</definedName>
    <definedName name="____lbc3" localSheetId="23" hidden="1">#REF!</definedName>
    <definedName name="____lbc3" hidden="1">#REF!</definedName>
    <definedName name="____lbc31" localSheetId="12" hidden="1">#REF!</definedName>
    <definedName name="____lbc31" localSheetId="30" hidden="1">#REF!</definedName>
    <definedName name="____lbc31" localSheetId="28" hidden="1">#REF!</definedName>
    <definedName name="____lbc31" localSheetId="27" hidden="1">#REF!</definedName>
    <definedName name="____lbc31" localSheetId="18" hidden="1">#REF!</definedName>
    <definedName name="____lbc31" localSheetId="7" hidden="1">#REF!</definedName>
    <definedName name="____lbc31" localSheetId="23" hidden="1">#REF!</definedName>
    <definedName name="____lbc31" hidden="1">#REF!</definedName>
    <definedName name="____lbc32" localSheetId="12" hidden="1">#REF!</definedName>
    <definedName name="____lbc32" localSheetId="30" hidden="1">#REF!</definedName>
    <definedName name="____lbc32" localSheetId="28" hidden="1">#REF!</definedName>
    <definedName name="____lbc32" localSheetId="27" hidden="1">#REF!</definedName>
    <definedName name="____lbc32" localSheetId="18" hidden="1">#REF!</definedName>
    <definedName name="____lbc32" localSheetId="7" hidden="1">#REF!</definedName>
    <definedName name="____lbc32" localSheetId="23" hidden="1">#REF!</definedName>
    <definedName name="____lbc32" hidden="1">#REF!</definedName>
    <definedName name="____lbc4" localSheetId="12" hidden="1">#REF!</definedName>
    <definedName name="____lbc4" localSheetId="30" hidden="1">#REF!</definedName>
    <definedName name="____lbc4" localSheetId="28" hidden="1">#REF!</definedName>
    <definedName name="____lbc4" localSheetId="27" hidden="1">#REF!</definedName>
    <definedName name="____lbc4" localSheetId="18" hidden="1">#REF!</definedName>
    <definedName name="____lbc4" localSheetId="7" hidden="1">#REF!</definedName>
    <definedName name="____lbc4" localSheetId="23" hidden="1">#REF!</definedName>
    <definedName name="____lbc4" hidden="1">#REF!</definedName>
    <definedName name="____lbc5" localSheetId="12" hidden="1">#REF!</definedName>
    <definedName name="____lbc5" localSheetId="30" hidden="1">#REF!</definedName>
    <definedName name="____lbc5" localSheetId="28" hidden="1">#REF!</definedName>
    <definedName name="____lbc5" localSheetId="27" hidden="1">#REF!</definedName>
    <definedName name="____lbc5" localSheetId="18" hidden="1">#REF!</definedName>
    <definedName name="____lbc5" localSheetId="7" hidden="1">#REF!</definedName>
    <definedName name="____lbc5" localSheetId="23" hidden="1">#REF!</definedName>
    <definedName name="____lbc5" hidden="1">#REF!</definedName>
    <definedName name="____lbc6" localSheetId="12" hidden="1">#REF!</definedName>
    <definedName name="____lbc6" localSheetId="30" hidden="1">#REF!</definedName>
    <definedName name="____lbc6" localSheetId="28" hidden="1">#REF!</definedName>
    <definedName name="____lbc6" localSheetId="27" hidden="1">#REF!</definedName>
    <definedName name="____lbc6" localSheetId="18" hidden="1">#REF!</definedName>
    <definedName name="____lbc6" localSheetId="7" hidden="1">#REF!</definedName>
    <definedName name="____lbc6" localSheetId="23" hidden="1">#REF!</definedName>
    <definedName name="____lbc6" hidden="1">#REF!</definedName>
    <definedName name="____lbc7" localSheetId="12" hidden="1">#REF!</definedName>
    <definedName name="____lbc7" localSheetId="30" hidden="1">#REF!</definedName>
    <definedName name="____lbc7" localSheetId="28" hidden="1">#REF!</definedName>
    <definedName name="____lbc7" localSheetId="27" hidden="1">#REF!</definedName>
    <definedName name="____lbc7" localSheetId="18" hidden="1">#REF!</definedName>
    <definedName name="____lbc7" localSheetId="7" hidden="1">#REF!</definedName>
    <definedName name="____lbc7" localSheetId="23" hidden="1">#REF!</definedName>
    <definedName name="____lbc7" hidden="1">#REF!</definedName>
    <definedName name="____lbc8" localSheetId="12" hidden="1">#REF!</definedName>
    <definedName name="____lbc8" localSheetId="30" hidden="1">#REF!</definedName>
    <definedName name="____lbc8" localSheetId="28" hidden="1">#REF!</definedName>
    <definedName name="____lbc8" localSheetId="27" hidden="1">#REF!</definedName>
    <definedName name="____lbc8" localSheetId="18" hidden="1">#REF!</definedName>
    <definedName name="____lbc8" localSheetId="7" hidden="1">#REF!</definedName>
    <definedName name="____lbc8" localSheetId="23" hidden="1">#REF!</definedName>
    <definedName name="____lbc8" hidden="1">#REF!</definedName>
    <definedName name="____lbc9" localSheetId="12" hidden="1">#REF!</definedName>
    <definedName name="____lbc9" localSheetId="30" hidden="1">#REF!</definedName>
    <definedName name="____lbc9" localSheetId="28" hidden="1">#REF!</definedName>
    <definedName name="____lbc9" localSheetId="27" hidden="1">#REF!</definedName>
    <definedName name="____lbc9" localSheetId="18" hidden="1">#REF!</definedName>
    <definedName name="____lbc9" localSheetId="7" hidden="1">#REF!</definedName>
    <definedName name="____lbc9" localSheetId="23" hidden="1">#REF!</definedName>
    <definedName name="____lbc9" hidden="1">#REF!</definedName>
    <definedName name="____ld26" localSheetId="12" hidden="1">#REF!</definedName>
    <definedName name="____ld26" localSheetId="30" hidden="1">#REF!</definedName>
    <definedName name="____ld26" localSheetId="28" hidden="1">#REF!</definedName>
    <definedName name="____ld26" localSheetId="27" hidden="1">#REF!</definedName>
    <definedName name="____ld26" localSheetId="18" hidden="1">#REF!</definedName>
    <definedName name="____ld26" localSheetId="7" hidden="1">#REF!</definedName>
    <definedName name="____ld26" localSheetId="23" hidden="1">#REF!</definedName>
    <definedName name="____ld26" hidden="1">#REF!</definedName>
    <definedName name="____ld31" localSheetId="12" hidden="1">#REF!</definedName>
    <definedName name="____ld31" localSheetId="30" hidden="1">#REF!</definedName>
    <definedName name="____ld31" localSheetId="28" hidden="1">#REF!</definedName>
    <definedName name="____ld31" localSheetId="27" hidden="1">#REF!</definedName>
    <definedName name="____ld31" localSheetId="18" hidden="1">#REF!</definedName>
    <definedName name="____ld31" localSheetId="7" hidden="1">#REF!</definedName>
    <definedName name="____ld31" localSheetId="23" hidden="1">#REF!</definedName>
    <definedName name="____ld31" hidden="1">#REF!</definedName>
    <definedName name="____le31" localSheetId="12" hidden="1">#REF!</definedName>
    <definedName name="____le31" localSheetId="30" hidden="1">#REF!</definedName>
    <definedName name="____le31" localSheetId="28" hidden="1">#REF!</definedName>
    <definedName name="____le31" localSheetId="27" hidden="1">#REF!</definedName>
    <definedName name="____le31" localSheetId="18" hidden="1">#REF!</definedName>
    <definedName name="____le31" localSheetId="7" hidden="1">#REF!</definedName>
    <definedName name="____le31" localSheetId="23" hidden="1">#REF!</definedName>
    <definedName name="____le31" hidden="1">#REF!</definedName>
    <definedName name="____lf31" localSheetId="12" hidden="1">#REF!</definedName>
    <definedName name="____lf31" localSheetId="30" hidden="1">#REF!</definedName>
    <definedName name="____lf31" localSheetId="28" hidden="1">#REF!</definedName>
    <definedName name="____lf31" localSheetId="27" hidden="1">#REF!</definedName>
    <definedName name="____lf31" localSheetId="18" hidden="1">#REF!</definedName>
    <definedName name="____lf31" localSheetId="7" hidden="1">#REF!</definedName>
    <definedName name="____lf31" localSheetId="23" hidden="1">#REF!</definedName>
    <definedName name="____lf31" hidden="1">#REF!</definedName>
    <definedName name="____PK2" localSheetId="33" hidden="1">{"'장비'!$A$3:$M$12"}</definedName>
    <definedName name="____PK2" localSheetId="35" hidden="1">{"'장비'!$A$3:$M$12"}</definedName>
    <definedName name="____PK2" hidden="1">{"'장비'!$A$3:$M$12"}</definedName>
    <definedName name="____PKG3" localSheetId="33" hidden="1">{"'장비'!$A$3:$M$12"}</definedName>
    <definedName name="____PKG3" localSheetId="35" hidden="1">{"'장비'!$A$3:$M$12"}</definedName>
    <definedName name="____PKG3" hidden="1">{"'장비'!$A$3:$M$12"}</definedName>
    <definedName name="____qqq222" localSheetId="33" hidden="1">{"'장비'!$A$3:$M$12"}</definedName>
    <definedName name="____qqq222" localSheetId="35" hidden="1">{"'장비'!$A$3:$M$12"}</definedName>
    <definedName name="____qqq222" hidden="1">{"'장비'!$A$3:$M$12"}</definedName>
    <definedName name="____r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localSheetId="12" hidden="1">#REF!</definedName>
    <definedName name="____x10" localSheetId="30" hidden="1">#REF!</definedName>
    <definedName name="____x10" localSheetId="28" hidden="1">#REF!</definedName>
    <definedName name="____x10" localSheetId="27" hidden="1">#REF!</definedName>
    <definedName name="____x10" localSheetId="18" hidden="1">#REF!</definedName>
    <definedName name="____x10" localSheetId="7" hidden="1">#REF!</definedName>
    <definedName name="____x10" localSheetId="23" hidden="1">#REF!</definedName>
    <definedName name="____x10" hidden="1">#REF!</definedName>
    <definedName name="____x11" localSheetId="12" hidden="1">#REF!</definedName>
    <definedName name="____x11" localSheetId="30" hidden="1">#REF!</definedName>
    <definedName name="____x11" localSheetId="28" hidden="1">#REF!</definedName>
    <definedName name="____x11" localSheetId="27" hidden="1">#REF!</definedName>
    <definedName name="____x11" localSheetId="18" hidden="1">#REF!</definedName>
    <definedName name="____x11" localSheetId="7" hidden="1">#REF!</definedName>
    <definedName name="____x11" localSheetId="23" hidden="1">#REF!</definedName>
    <definedName name="____x11" hidden="1">#REF!</definedName>
    <definedName name="____x12" localSheetId="12" hidden="1">#REF!</definedName>
    <definedName name="____x12" localSheetId="30" hidden="1">#REF!</definedName>
    <definedName name="____x12" localSheetId="28" hidden="1">#REF!</definedName>
    <definedName name="____x12" localSheetId="27" hidden="1">#REF!</definedName>
    <definedName name="____x12" localSheetId="18" hidden="1">#REF!</definedName>
    <definedName name="____x12" localSheetId="7" hidden="1">#REF!</definedName>
    <definedName name="____x12" localSheetId="23" hidden="1">#REF!</definedName>
    <definedName name="____x12" hidden="1">#REF!</definedName>
    <definedName name="____x13" localSheetId="12" hidden="1">#REF!</definedName>
    <definedName name="____x13" localSheetId="30" hidden="1">#REF!</definedName>
    <definedName name="____x13" localSheetId="28" hidden="1">#REF!</definedName>
    <definedName name="____x13" localSheetId="27" hidden="1">#REF!</definedName>
    <definedName name="____x13" localSheetId="18" hidden="1">#REF!</definedName>
    <definedName name="____x13" localSheetId="7" hidden="1">#REF!</definedName>
    <definedName name="____x13" localSheetId="23" hidden="1">#REF!</definedName>
    <definedName name="____x13" hidden="1">#REF!</definedName>
    <definedName name="____x14" localSheetId="12" hidden="1">#REF!</definedName>
    <definedName name="____x14" localSheetId="30" hidden="1">#REF!</definedName>
    <definedName name="____x14" localSheetId="28" hidden="1">#REF!</definedName>
    <definedName name="____x14" localSheetId="27" hidden="1">#REF!</definedName>
    <definedName name="____x14" localSheetId="18" hidden="1">#REF!</definedName>
    <definedName name="____x14" localSheetId="7" hidden="1">#REF!</definedName>
    <definedName name="____x14" localSheetId="23" hidden="1">#REF!</definedName>
    <definedName name="____x14" hidden="1">#REF!</definedName>
    <definedName name="____x15" localSheetId="12" hidden="1">#REF!</definedName>
    <definedName name="____x15" localSheetId="30" hidden="1">#REF!</definedName>
    <definedName name="____x15" localSheetId="28" hidden="1">#REF!</definedName>
    <definedName name="____x15" localSheetId="27" hidden="1">#REF!</definedName>
    <definedName name="____x15" localSheetId="18" hidden="1">#REF!</definedName>
    <definedName name="____x15" localSheetId="7" hidden="1">#REF!</definedName>
    <definedName name="____x15" localSheetId="23" hidden="1">#REF!</definedName>
    <definedName name="____x15" hidden="1">#REF!</definedName>
    <definedName name="____x16" localSheetId="12" hidden="1">#REF!</definedName>
    <definedName name="____x16" localSheetId="30" hidden="1">#REF!</definedName>
    <definedName name="____x16" localSheetId="28" hidden="1">#REF!</definedName>
    <definedName name="____x16" localSheetId="27" hidden="1">#REF!</definedName>
    <definedName name="____x16" localSheetId="18" hidden="1">#REF!</definedName>
    <definedName name="____x16" localSheetId="7" hidden="1">#REF!</definedName>
    <definedName name="____x16" localSheetId="23" hidden="1">#REF!</definedName>
    <definedName name="____x16" hidden="1">#REF!</definedName>
    <definedName name="____x17" localSheetId="12" hidden="1">#REF!</definedName>
    <definedName name="____x17" localSheetId="30" hidden="1">#REF!</definedName>
    <definedName name="____x17" localSheetId="28" hidden="1">#REF!</definedName>
    <definedName name="____x17" localSheetId="27" hidden="1">#REF!</definedName>
    <definedName name="____x17" localSheetId="18" hidden="1">#REF!</definedName>
    <definedName name="____x17" localSheetId="7" hidden="1">#REF!</definedName>
    <definedName name="____x17" localSheetId="23" hidden="1">#REF!</definedName>
    <definedName name="____x17" hidden="1">#REF!</definedName>
    <definedName name="____x18" localSheetId="12" hidden="1">#REF!</definedName>
    <definedName name="____x18" localSheetId="30" hidden="1">#REF!</definedName>
    <definedName name="____x18" localSheetId="28" hidden="1">#REF!</definedName>
    <definedName name="____x18" localSheetId="27" hidden="1">#REF!</definedName>
    <definedName name="____x18" localSheetId="18" hidden="1">#REF!</definedName>
    <definedName name="____x18" localSheetId="7" hidden="1">#REF!</definedName>
    <definedName name="____x18" localSheetId="23" hidden="1">#REF!</definedName>
    <definedName name="____x18" hidden="1">#REF!</definedName>
    <definedName name="____x19" localSheetId="12" hidden="1">#REF!</definedName>
    <definedName name="____x19" localSheetId="30" hidden="1">#REF!</definedName>
    <definedName name="____x19" localSheetId="28" hidden="1">#REF!</definedName>
    <definedName name="____x19" localSheetId="27" hidden="1">#REF!</definedName>
    <definedName name="____x19" localSheetId="18" hidden="1">#REF!</definedName>
    <definedName name="____x19" localSheetId="7" hidden="1">#REF!</definedName>
    <definedName name="____x19" localSheetId="23" hidden="1">#REF!</definedName>
    <definedName name="____x19" hidden="1">#REF!</definedName>
    <definedName name="____x20" localSheetId="12" hidden="1">#REF!</definedName>
    <definedName name="____x20" localSheetId="30" hidden="1">#REF!</definedName>
    <definedName name="____x20" localSheetId="28" hidden="1">#REF!</definedName>
    <definedName name="____x20" localSheetId="27" hidden="1">#REF!</definedName>
    <definedName name="____x20" localSheetId="18" hidden="1">#REF!</definedName>
    <definedName name="____x20" localSheetId="7" hidden="1">#REF!</definedName>
    <definedName name="____x20" localSheetId="23" hidden="1">#REF!</definedName>
    <definedName name="____x20" hidden="1">#REF!</definedName>
    <definedName name="____x21" localSheetId="12" hidden="1">#REF!</definedName>
    <definedName name="____x21" localSheetId="30" hidden="1">#REF!</definedName>
    <definedName name="____x21" localSheetId="28" hidden="1">#REF!</definedName>
    <definedName name="____x21" localSheetId="27" hidden="1">#REF!</definedName>
    <definedName name="____x21" localSheetId="18" hidden="1">#REF!</definedName>
    <definedName name="____x21" localSheetId="7" hidden="1">#REF!</definedName>
    <definedName name="____x21" localSheetId="23" hidden="1">#REF!</definedName>
    <definedName name="____x21" hidden="1">#REF!</definedName>
    <definedName name="____x22" localSheetId="12" hidden="1">#REF!</definedName>
    <definedName name="____x22" localSheetId="30" hidden="1">#REF!</definedName>
    <definedName name="____x22" localSheetId="28" hidden="1">#REF!</definedName>
    <definedName name="____x22" localSheetId="27" hidden="1">#REF!</definedName>
    <definedName name="____x22" localSheetId="18" hidden="1">#REF!</definedName>
    <definedName name="____x22" localSheetId="7" hidden="1">#REF!</definedName>
    <definedName name="____x22" localSheetId="23" hidden="1">#REF!</definedName>
    <definedName name="____x22" hidden="1">#REF!</definedName>
    <definedName name="____x23" localSheetId="12" hidden="1">#REF!</definedName>
    <definedName name="____x23" localSheetId="30" hidden="1">#REF!</definedName>
    <definedName name="____x23" localSheetId="28" hidden="1">#REF!</definedName>
    <definedName name="____x23" localSheetId="27" hidden="1">#REF!</definedName>
    <definedName name="____x23" localSheetId="18" hidden="1">#REF!</definedName>
    <definedName name="____x23" localSheetId="7" hidden="1">#REF!</definedName>
    <definedName name="____x23" localSheetId="23" hidden="1">#REF!</definedName>
    <definedName name="____x23" hidden="1">#REF!</definedName>
    <definedName name="____x24" localSheetId="12" hidden="1">#REF!</definedName>
    <definedName name="____x24" localSheetId="30" hidden="1">#REF!</definedName>
    <definedName name="____x24" localSheetId="28" hidden="1">#REF!</definedName>
    <definedName name="____x24" localSheetId="27" hidden="1">#REF!</definedName>
    <definedName name="____x24" localSheetId="18" hidden="1">#REF!</definedName>
    <definedName name="____x24" localSheetId="7" hidden="1">#REF!</definedName>
    <definedName name="____x24" localSheetId="23" hidden="1">#REF!</definedName>
    <definedName name="____x24" hidden="1">#REF!</definedName>
    <definedName name="____x25" localSheetId="12" hidden="1">#REF!</definedName>
    <definedName name="____x25" localSheetId="30" hidden="1">#REF!</definedName>
    <definedName name="____x25" localSheetId="28" hidden="1">#REF!</definedName>
    <definedName name="____x25" localSheetId="27" hidden="1">#REF!</definedName>
    <definedName name="____x25" localSheetId="18" hidden="1">#REF!</definedName>
    <definedName name="____x25" localSheetId="7" hidden="1">#REF!</definedName>
    <definedName name="____x25" localSheetId="23" hidden="1">#REF!</definedName>
    <definedName name="____x25" hidden="1">#REF!</definedName>
    <definedName name="____x28" localSheetId="12" hidden="1">#REF!</definedName>
    <definedName name="____x28" localSheetId="30" hidden="1">#REF!</definedName>
    <definedName name="____x28" localSheetId="28" hidden="1">#REF!</definedName>
    <definedName name="____x28" localSheetId="27" hidden="1">#REF!</definedName>
    <definedName name="____x28" localSheetId="18" hidden="1">#REF!</definedName>
    <definedName name="____x28" localSheetId="7" hidden="1">#REF!</definedName>
    <definedName name="____x28" localSheetId="23" hidden="1">#REF!</definedName>
    <definedName name="____x28" hidden="1">#REF!</definedName>
    <definedName name="____x29" localSheetId="12" hidden="1">#REF!</definedName>
    <definedName name="____x29" localSheetId="30" hidden="1">#REF!</definedName>
    <definedName name="____x29" localSheetId="28" hidden="1">#REF!</definedName>
    <definedName name="____x29" localSheetId="27" hidden="1">#REF!</definedName>
    <definedName name="____x29" localSheetId="18" hidden="1">#REF!</definedName>
    <definedName name="____x29" localSheetId="7" hidden="1">#REF!</definedName>
    <definedName name="____x29" localSheetId="23" hidden="1">#REF!</definedName>
    <definedName name="____x29" hidden="1">#REF!</definedName>
    <definedName name="____x32" localSheetId="12" hidden="1">#REF!</definedName>
    <definedName name="____x32" localSheetId="30" hidden="1">#REF!</definedName>
    <definedName name="____x32" localSheetId="28" hidden="1">#REF!</definedName>
    <definedName name="____x32" localSheetId="27" hidden="1">#REF!</definedName>
    <definedName name="____x32" localSheetId="18" hidden="1">#REF!</definedName>
    <definedName name="____x32" localSheetId="7" hidden="1">#REF!</definedName>
    <definedName name="____x32" localSheetId="23" hidden="1">#REF!</definedName>
    <definedName name="____x32" hidden="1">#REF!</definedName>
    <definedName name="____x4" localSheetId="12" hidden="1">#REF!</definedName>
    <definedName name="____x4" localSheetId="30" hidden="1">#REF!</definedName>
    <definedName name="____x4" localSheetId="28" hidden="1">#REF!</definedName>
    <definedName name="____x4" localSheetId="27" hidden="1">#REF!</definedName>
    <definedName name="____x4" localSheetId="18" hidden="1">#REF!</definedName>
    <definedName name="____x4" localSheetId="7" hidden="1">#REF!</definedName>
    <definedName name="____x4" localSheetId="23" hidden="1">#REF!</definedName>
    <definedName name="____x4" hidden="1">#REF!</definedName>
    <definedName name="____x5" localSheetId="12" hidden="1">#REF!</definedName>
    <definedName name="____x5" localSheetId="30" hidden="1">#REF!</definedName>
    <definedName name="____x5" localSheetId="28" hidden="1">#REF!</definedName>
    <definedName name="____x5" localSheetId="27" hidden="1">#REF!</definedName>
    <definedName name="____x5" localSheetId="18" hidden="1">#REF!</definedName>
    <definedName name="____x5" localSheetId="7" hidden="1">#REF!</definedName>
    <definedName name="____x5" localSheetId="23" hidden="1">#REF!</definedName>
    <definedName name="____x5" hidden="1">#REF!</definedName>
    <definedName name="____x6" localSheetId="12" hidden="1">#REF!</definedName>
    <definedName name="____x6" localSheetId="30" hidden="1">#REF!</definedName>
    <definedName name="____x6" localSheetId="28" hidden="1">#REF!</definedName>
    <definedName name="____x6" localSheetId="27" hidden="1">#REF!</definedName>
    <definedName name="____x6" localSheetId="18" hidden="1">#REF!</definedName>
    <definedName name="____x6" localSheetId="7" hidden="1">#REF!</definedName>
    <definedName name="____x6" localSheetId="23" hidden="1">#REF!</definedName>
    <definedName name="____x6" hidden="1">#REF!</definedName>
    <definedName name="____x7" localSheetId="12" hidden="1">#REF!</definedName>
    <definedName name="____x7" localSheetId="30" hidden="1">#REF!</definedName>
    <definedName name="____x7" localSheetId="28" hidden="1">#REF!</definedName>
    <definedName name="____x7" localSheetId="27" hidden="1">#REF!</definedName>
    <definedName name="____x7" localSheetId="18" hidden="1">#REF!</definedName>
    <definedName name="____x7" localSheetId="7" hidden="1">#REF!</definedName>
    <definedName name="____x7" localSheetId="23" hidden="1">#REF!</definedName>
    <definedName name="____x7" hidden="1">#REF!</definedName>
    <definedName name="____x8" localSheetId="12" hidden="1">#REF!</definedName>
    <definedName name="____x8" localSheetId="30" hidden="1">#REF!</definedName>
    <definedName name="____x8" localSheetId="28" hidden="1">#REF!</definedName>
    <definedName name="____x8" localSheetId="27" hidden="1">#REF!</definedName>
    <definedName name="____x8" localSheetId="18" hidden="1">#REF!</definedName>
    <definedName name="____x8" localSheetId="7" hidden="1">#REF!</definedName>
    <definedName name="____x8" localSheetId="23" hidden="1">#REF!</definedName>
    <definedName name="____x8" hidden="1">#REF!</definedName>
    <definedName name="____x9" localSheetId="12" hidden="1">#REF!</definedName>
    <definedName name="____x9" localSheetId="30" hidden="1">#REF!</definedName>
    <definedName name="____x9" localSheetId="28" hidden="1">#REF!</definedName>
    <definedName name="____x9" localSheetId="27" hidden="1">#REF!</definedName>
    <definedName name="____x9" localSheetId="18" hidden="1">#REF!</definedName>
    <definedName name="____x9" localSheetId="7" hidden="1">#REF!</definedName>
    <definedName name="____x9" localSheetId="23" hidden="1">#REF!</definedName>
    <definedName name="____x9" hidden="1">#REF!</definedName>
    <definedName name="___ACR10" localSheetId="12">#REF!</definedName>
    <definedName name="___ACR10" localSheetId="30">#REF!</definedName>
    <definedName name="___ACR10" localSheetId="28">#REF!</definedName>
    <definedName name="___ACR10" localSheetId="27">#REF!</definedName>
    <definedName name="___ACR10" localSheetId="18">#REF!</definedName>
    <definedName name="___ACR10" localSheetId="7">#REF!</definedName>
    <definedName name="___ACR10" localSheetId="23">#REF!</definedName>
    <definedName name="___ACR10">#REF!</definedName>
    <definedName name="___ACR15" localSheetId="12">#REF!</definedName>
    <definedName name="___ACR15" localSheetId="30">#REF!</definedName>
    <definedName name="___ACR15" localSheetId="28">#REF!</definedName>
    <definedName name="___ACR15" localSheetId="27">#REF!</definedName>
    <definedName name="___ACR15" localSheetId="18">#REF!</definedName>
    <definedName name="___ACR15" localSheetId="7">#REF!</definedName>
    <definedName name="___ACR15" localSheetId="23">#REF!</definedName>
    <definedName name="___ACR15">#REF!</definedName>
    <definedName name="___acr20" localSheetId="12">#REF!</definedName>
    <definedName name="___acr20" localSheetId="30">#REF!</definedName>
    <definedName name="___acr20" localSheetId="28">#REF!</definedName>
    <definedName name="___acr20" localSheetId="27">#REF!</definedName>
    <definedName name="___acr20" localSheetId="18">#REF!</definedName>
    <definedName name="___acr20" localSheetId="7">#REF!</definedName>
    <definedName name="___acr20" localSheetId="23">#REF!</definedName>
    <definedName name="___acr20">#REF!</definedName>
    <definedName name="___acr5" localSheetId="12">#REF!</definedName>
    <definedName name="___acr5" localSheetId="30">#REF!</definedName>
    <definedName name="___acr5" localSheetId="28">#REF!</definedName>
    <definedName name="___acr5" localSheetId="27">#REF!</definedName>
    <definedName name="___acr5" localSheetId="18">#REF!</definedName>
    <definedName name="___acr5" localSheetId="7">#REF!</definedName>
    <definedName name="___acr5" localSheetId="23">#REF!</definedName>
    <definedName name="___acr5">#REF!</definedName>
    <definedName name="___ARQ1" localSheetId="12">#REF!</definedName>
    <definedName name="___ARQ1" localSheetId="30">#REF!</definedName>
    <definedName name="___ARQ1" localSheetId="28">#REF!</definedName>
    <definedName name="___ARQ1" localSheetId="27">#REF!</definedName>
    <definedName name="___ARQ1" localSheetId="18">#REF!</definedName>
    <definedName name="___ARQ1" localSheetId="7">#REF!</definedName>
    <definedName name="___ARQ1" localSheetId="23">#REF!</definedName>
    <definedName name="___ARQ1">#REF!</definedName>
    <definedName name="___CO2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12" hidden="1">#REF!</definedName>
    <definedName name="___key2" localSheetId="30" hidden="1">#REF!</definedName>
    <definedName name="___key2" localSheetId="28" hidden="1">#REF!</definedName>
    <definedName name="___key2" localSheetId="27" hidden="1">#REF!</definedName>
    <definedName name="___key2" localSheetId="18" hidden="1">#REF!</definedName>
    <definedName name="___key2" localSheetId="7" hidden="1">#REF!</definedName>
    <definedName name="___key2" localSheetId="23" hidden="1">#REF!</definedName>
    <definedName name="___key2" hidden="1">#REF!</definedName>
    <definedName name="___la29" localSheetId="12" hidden="1">#REF!</definedName>
    <definedName name="___la29" localSheetId="30" hidden="1">#REF!</definedName>
    <definedName name="___la29" localSheetId="28" hidden="1">#REF!</definedName>
    <definedName name="___la29" localSheetId="27" hidden="1">#REF!</definedName>
    <definedName name="___la29" localSheetId="18" hidden="1">#REF!</definedName>
    <definedName name="___la29" localSheetId="7" hidden="1">#REF!</definedName>
    <definedName name="___la29" localSheetId="23" hidden="1">#REF!</definedName>
    <definedName name="___la29" hidden="1">#REF!</definedName>
    <definedName name="___la3" localSheetId="12" hidden="1">#REF!</definedName>
    <definedName name="___la3" localSheetId="30" hidden="1">#REF!</definedName>
    <definedName name="___la3" localSheetId="28" hidden="1">#REF!</definedName>
    <definedName name="___la3" localSheetId="27" hidden="1">#REF!</definedName>
    <definedName name="___la3" localSheetId="18" hidden="1">#REF!</definedName>
    <definedName name="___la3" localSheetId="7" hidden="1">#REF!</definedName>
    <definedName name="___la3" localSheetId="23" hidden="1">#REF!</definedName>
    <definedName name="___la3" hidden="1">#REF!</definedName>
    <definedName name="___la31" localSheetId="12" hidden="1">#REF!</definedName>
    <definedName name="___la31" localSheetId="30" hidden="1">#REF!</definedName>
    <definedName name="___la31" localSheetId="28" hidden="1">#REF!</definedName>
    <definedName name="___la31" localSheetId="27" hidden="1">#REF!</definedName>
    <definedName name="___la31" localSheetId="18" hidden="1">#REF!</definedName>
    <definedName name="___la31" localSheetId="7" hidden="1">#REF!</definedName>
    <definedName name="___la31" localSheetId="23" hidden="1">#REF!</definedName>
    <definedName name="___la31" hidden="1">#REF!</definedName>
    <definedName name="___la32" localSheetId="12" hidden="1">#REF!</definedName>
    <definedName name="___la32" localSheetId="30" hidden="1">#REF!</definedName>
    <definedName name="___la32" localSheetId="28" hidden="1">#REF!</definedName>
    <definedName name="___la32" localSheetId="27" hidden="1">#REF!</definedName>
    <definedName name="___la32" localSheetId="18" hidden="1">#REF!</definedName>
    <definedName name="___la32" localSheetId="7" hidden="1">#REF!</definedName>
    <definedName name="___la32" localSheetId="23" hidden="1">#REF!</definedName>
    <definedName name="___la32" hidden="1">#REF!</definedName>
    <definedName name="___la4" localSheetId="12" hidden="1">#REF!</definedName>
    <definedName name="___la4" localSheetId="30" hidden="1">#REF!</definedName>
    <definedName name="___la4" localSheetId="28" hidden="1">#REF!</definedName>
    <definedName name="___la4" localSheetId="27" hidden="1">#REF!</definedName>
    <definedName name="___la4" localSheetId="18" hidden="1">#REF!</definedName>
    <definedName name="___la4" localSheetId="7" hidden="1">#REF!</definedName>
    <definedName name="___la4" localSheetId="23" hidden="1">#REF!</definedName>
    <definedName name="___la4" hidden="1">#REF!</definedName>
    <definedName name="___la5" localSheetId="12" hidden="1">#REF!</definedName>
    <definedName name="___la5" localSheetId="30" hidden="1">#REF!</definedName>
    <definedName name="___la5" localSheetId="28" hidden="1">#REF!</definedName>
    <definedName name="___la5" localSheetId="27" hidden="1">#REF!</definedName>
    <definedName name="___la5" localSheetId="18" hidden="1">#REF!</definedName>
    <definedName name="___la5" localSheetId="7" hidden="1">#REF!</definedName>
    <definedName name="___la5" localSheetId="23" hidden="1">#REF!</definedName>
    <definedName name="___la5" hidden="1">#REF!</definedName>
    <definedName name="___la6" localSheetId="12" hidden="1">#REF!</definedName>
    <definedName name="___la6" localSheetId="30" hidden="1">#REF!</definedName>
    <definedName name="___la6" localSheetId="28" hidden="1">#REF!</definedName>
    <definedName name="___la6" localSheetId="27" hidden="1">#REF!</definedName>
    <definedName name="___la6" localSheetId="18" hidden="1">#REF!</definedName>
    <definedName name="___la6" localSheetId="7" hidden="1">#REF!</definedName>
    <definedName name="___la6" localSheetId="23" hidden="1">#REF!</definedName>
    <definedName name="___la6" hidden="1">#REF!</definedName>
    <definedName name="___la7" localSheetId="12" hidden="1">#REF!</definedName>
    <definedName name="___la7" localSheetId="30" hidden="1">#REF!</definedName>
    <definedName name="___la7" localSheetId="28" hidden="1">#REF!</definedName>
    <definedName name="___la7" localSheetId="27" hidden="1">#REF!</definedName>
    <definedName name="___la7" localSheetId="18" hidden="1">#REF!</definedName>
    <definedName name="___la7" localSheetId="7" hidden="1">#REF!</definedName>
    <definedName name="___la7" localSheetId="23" hidden="1">#REF!</definedName>
    <definedName name="___la7" hidden="1">#REF!</definedName>
    <definedName name="___la8" localSheetId="12" hidden="1">#REF!</definedName>
    <definedName name="___la8" localSheetId="30" hidden="1">#REF!</definedName>
    <definedName name="___la8" localSheetId="28" hidden="1">#REF!</definedName>
    <definedName name="___la8" localSheetId="27" hidden="1">#REF!</definedName>
    <definedName name="___la8" localSheetId="18" hidden="1">#REF!</definedName>
    <definedName name="___la8" localSheetId="7" hidden="1">#REF!</definedName>
    <definedName name="___la8" localSheetId="23" hidden="1">#REF!</definedName>
    <definedName name="___la8" hidden="1">#REF!</definedName>
    <definedName name="___la9" localSheetId="12" hidden="1">#REF!</definedName>
    <definedName name="___la9" localSheetId="30" hidden="1">#REF!</definedName>
    <definedName name="___la9" localSheetId="28" hidden="1">#REF!</definedName>
    <definedName name="___la9" localSheetId="27" hidden="1">#REF!</definedName>
    <definedName name="___la9" localSheetId="18" hidden="1">#REF!</definedName>
    <definedName name="___la9" localSheetId="7" hidden="1">#REF!</definedName>
    <definedName name="___la9" localSheetId="23" hidden="1">#REF!</definedName>
    <definedName name="___la9" hidden="1">#REF!</definedName>
    <definedName name="___lb1" localSheetId="12" hidden="1">#REF!</definedName>
    <definedName name="___lb1" localSheetId="30" hidden="1">#REF!</definedName>
    <definedName name="___lb1" localSheetId="28" hidden="1">#REF!</definedName>
    <definedName name="___lb1" localSheetId="27" hidden="1">#REF!</definedName>
    <definedName name="___lb1" localSheetId="18" hidden="1">#REF!</definedName>
    <definedName name="___lb1" localSheetId="7" hidden="1">#REF!</definedName>
    <definedName name="___lb1" localSheetId="23" hidden="1">#REF!</definedName>
    <definedName name="___lb1" hidden="1">#REF!</definedName>
    <definedName name="___lb10" localSheetId="12" hidden="1">#REF!</definedName>
    <definedName name="___lb10" localSheetId="30" hidden="1">#REF!</definedName>
    <definedName name="___lb10" localSheetId="28" hidden="1">#REF!</definedName>
    <definedName name="___lb10" localSheetId="27" hidden="1">#REF!</definedName>
    <definedName name="___lb10" localSheetId="18" hidden="1">#REF!</definedName>
    <definedName name="___lb10" localSheetId="7" hidden="1">#REF!</definedName>
    <definedName name="___lb10" localSheetId="23" hidden="1">#REF!</definedName>
    <definedName name="___lb10" hidden="1">#REF!</definedName>
    <definedName name="___lb11" localSheetId="12" hidden="1">#REF!</definedName>
    <definedName name="___lb11" localSheetId="30" hidden="1">#REF!</definedName>
    <definedName name="___lb11" localSheetId="28" hidden="1">#REF!</definedName>
    <definedName name="___lb11" localSheetId="27" hidden="1">#REF!</definedName>
    <definedName name="___lb11" localSheetId="18" hidden="1">#REF!</definedName>
    <definedName name="___lb11" localSheetId="7" hidden="1">#REF!</definedName>
    <definedName name="___lb11" localSheetId="23" hidden="1">#REF!</definedName>
    <definedName name="___lb11" hidden="1">#REF!</definedName>
    <definedName name="___lb12" localSheetId="12" hidden="1">#REF!</definedName>
    <definedName name="___lb12" localSheetId="30" hidden="1">#REF!</definedName>
    <definedName name="___lb12" localSheetId="28" hidden="1">#REF!</definedName>
    <definedName name="___lb12" localSheetId="27" hidden="1">#REF!</definedName>
    <definedName name="___lb12" localSheetId="18" hidden="1">#REF!</definedName>
    <definedName name="___lb12" localSheetId="7" hidden="1">#REF!</definedName>
    <definedName name="___lb12" localSheetId="23" hidden="1">#REF!</definedName>
    <definedName name="___lb12" hidden="1">#REF!</definedName>
    <definedName name="___lb13" localSheetId="12" hidden="1">#REF!</definedName>
    <definedName name="___lb13" localSheetId="30" hidden="1">#REF!</definedName>
    <definedName name="___lb13" localSheetId="28" hidden="1">#REF!</definedName>
    <definedName name="___lb13" localSheetId="27" hidden="1">#REF!</definedName>
    <definedName name="___lb13" localSheetId="18" hidden="1">#REF!</definedName>
    <definedName name="___lb13" localSheetId="7" hidden="1">#REF!</definedName>
    <definedName name="___lb13" localSheetId="23" hidden="1">#REF!</definedName>
    <definedName name="___lb13" hidden="1">#REF!</definedName>
    <definedName name="___lb14" localSheetId="12" hidden="1">#REF!</definedName>
    <definedName name="___lb14" localSheetId="30" hidden="1">#REF!</definedName>
    <definedName name="___lb14" localSheetId="28" hidden="1">#REF!</definedName>
    <definedName name="___lb14" localSheetId="27" hidden="1">#REF!</definedName>
    <definedName name="___lb14" localSheetId="18" hidden="1">#REF!</definedName>
    <definedName name="___lb14" localSheetId="7" hidden="1">#REF!</definedName>
    <definedName name="___lb14" localSheetId="23" hidden="1">#REF!</definedName>
    <definedName name="___lb14" hidden="1">#REF!</definedName>
    <definedName name="___lb15" localSheetId="12" hidden="1">#REF!</definedName>
    <definedName name="___lb15" localSheetId="30" hidden="1">#REF!</definedName>
    <definedName name="___lb15" localSheetId="28" hidden="1">#REF!</definedName>
    <definedName name="___lb15" localSheetId="27" hidden="1">#REF!</definedName>
    <definedName name="___lb15" localSheetId="18" hidden="1">#REF!</definedName>
    <definedName name="___lb15" localSheetId="7" hidden="1">#REF!</definedName>
    <definedName name="___lb15" localSheetId="23" hidden="1">#REF!</definedName>
    <definedName name="___lb15" hidden="1">#REF!</definedName>
    <definedName name="___lb16" localSheetId="12" hidden="1">#REF!</definedName>
    <definedName name="___lb16" localSheetId="30" hidden="1">#REF!</definedName>
    <definedName name="___lb16" localSheetId="28" hidden="1">#REF!</definedName>
    <definedName name="___lb16" localSheetId="27" hidden="1">#REF!</definedName>
    <definedName name="___lb16" localSheetId="18" hidden="1">#REF!</definedName>
    <definedName name="___lb16" localSheetId="7" hidden="1">#REF!</definedName>
    <definedName name="___lb16" localSheetId="23" hidden="1">#REF!</definedName>
    <definedName name="___lb16" hidden="1">#REF!</definedName>
    <definedName name="___lb17" localSheetId="12" hidden="1">#REF!</definedName>
    <definedName name="___lb17" localSheetId="30" hidden="1">#REF!</definedName>
    <definedName name="___lb17" localSheetId="28" hidden="1">#REF!</definedName>
    <definedName name="___lb17" localSheetId="27" hidden="1">#REF!</definedName>
    <definedName name="___lb17" localSheetId="18" hidden="1">#REF!</definedName>
    <definedName name="___lb17" localSheetId="7" hidden="1">#REF!</definedName>
    <definedName name="___lb17" localSheetId="23" hidden="1">#REF!</definedName>
    <definedName name="___lb17" hidden="1">#REF!</definedName>
    <definedName name="___lb18" localSheetId="12" hidden="1">#REF!</definedName>
    <definedName name="___lb18" localSheetId="30" hidden="1">#REF!</definedName>
    <definedName name="___lb18" localSheetId="28" hidden="1">#REF!</definedName>
    <definedName name="___lb18" localSheetId="27" hidden="1">#REF!</definedName>
    <definedName name="___lb18" localSheetId="18" hidden="1">#REF!</definedName>
    <definedName name="___lb18" localSheetId="7" hidden="1">#REF!</definedName>
    <definedName name="___lb18" localSheetId="23" hidden="1">#REF!</definedName>
    <definedName name="___lb18" hidden="1">#REF!</definedName>
    <definedName name="___lb19" localSheetId="12" hidden="1">#REF!</definedName>
    <definedName name="___lb19" localSheetId="30" hidden="1">#REF!</definedName>
    <definedName name="___lb19" localSheetId="28" hidden="1">#REF!</definedName>
    <definedName name="___lb19" localSheetId="27" hidden="1">#REF!</definedName>
    <definedName name="___lb19" localSheetId="18" hidden="1">#REF!</definedName>
    <definedName name="___lb19" localSheetId="7" hidden="1">#REF!</definedName>
    <definedName name="___lb19" localSheetId="23" hidden="1">#REF!</definedName>
    <definedName name="___lb19" hidden="1">#REF!</definedName>
    <definedName name="___lb2" localSheetId="12" hidden="1">#REF!</definedName>
    <definedName name="___lb2" localSheetId="30" hidden="1">#REF!</definedName>
    <definedName name="___lb2" localSheetId="28" hidden="1">#REF!</definedName>
    <definedName name="___lb2" localSheetId="27" hidden="1">#REF!</definedName>
    <definedName name="___lb2" localSheetId="18" hidden="1">#REF!</definedName>
    <definedName name="___lb2" localSheetId="7" hidden="1">#REF!</definedName>
    <definedName name="___lb2" localSheetId="23" hidden="1">#REF!</definedName>
    <definedName name="___lb2" hidden="1">#REF!</definedName>
    <definedName name="___lb20" localSheetId="12" hidden="1">#REF!</definedName>
    <definedName name="___lb20" localSheetId="30" hidden="1">#REF!</definedName>
    <definedName name="___lb20" localSheetId="28" hidden="1">#REF!</definedName>
    <definedName name="___lb20" localSheetId="27" hidden="1">#REF!</definedName>
    <definedName name="___lb20" localSheetId="18" hidden="1">#REF!</definedName>
    <definedName name="___lb20" localSheetId="7" hidden="1">#REF!</definedName>
    <definedName name="___lb20" localSheetId="23" hidden="1">#REF!</definedName>
    <definedName name="___lb20" hidden="1">#REF!</definedName>
    <definedName name="___lb21" localSheetId="12" hidden="1">#REF!</definedName>
    <definedName name="___lb21" localSheetId="30" hidden="1">#REF!</definedName>
    <definedName name="___lb21" localSheetId="28" hidden="1">#REF!</definedName>
    <definedName name="___lb21" localSheetId="27" hidden="1">#REF!</definedName>
    <definedName name="___lb21" localSheetId="18" hidden="1">#REF!</definedName>
    <definedName name="___lb21" localSheetId="7" hidden="1">#REF!</definedName>
    <definedName name="___lb21" localSheetId="23" hidden="1">#REF!</definedName>
    <definedName name="___lb21" hidden="1">#REF!</definedName>
    <definedName name="___lb22" localSheetId="12" hidden="1">#REF!</definedName>
    <definedName name="___lb22" localSheetId="30" hidden="1">#REF!</definedName>
    <definedName name="___lb22" localSheetId="28" hidden="1">#REF!</definedName>
    <definedName name="___lb22" localSheetId="27" hidden="1">#REF!</definedName>
    <definedName name="___lb22" localSheetId="18" hidden="1">#REF!</definedName>
    <definedName name="___lb22" localSheetId="7" hidden="1">#REF!</definedName>
    <definedName name="___lb22" localSheetId="23" hidden="1">#REF!</definedName>
    <definedName name="___lb22" hidden="1">#REF!</definedName>
    <definedName name="___lb23" localSheetId="12" hidden="1">#REF!</definedName>
    <definedName name="___lb23" localSheetId="30" hidden="1">#REF!</definedName>
    <definedName name="___lb23" localSheetId="28" hidden="1">#REF!</definedName>
    <definedName name="___lb23" localSheetId="27" hidden="1">#REF!</definedName>
    <definedName name="___lb23" localSheetId="18" hidden="1">#REF!</definedName>
    <definedName name="___lb23" localSheetId="7" hidden="1">#REF!</definedName>
    <definedName name="___lb23" localSheetId="23" hidden="1">#REF!</definedName>
    <definedName name="___lb23" hidden="1">#REF!</definedName>
    <definedName name="___lb24" localSheetId="12" hidden="1">#REF!</definedName>
    <definedName name="___lb24" localSheetId="30" hidden="1">#REF!</definedName>
    <definedName name="___lb24" localSheetId="28" hidden="1">#REF!</definedName>
    <definedName name="___lb24" localSheetId="27" hidden="1">#REF!</definedName>
    <definedName name="___lb24" localSheetId="18" hidden="1">#REF!</definedName>
    <definedName name="___lb24" localSheetId="7" hidden="1">#REF!</definedName>
    <definedName name="___lb24" localSheetId="23" hidden="1">#REF!</definedName>
    <definedName name="___lb24" hidden="1">#REF!</definedName>
    <definedName name="___lb25" localSheetId="12" hidden="1">#REF!</definedName>
    <definedName name="___lb25" localSheetId="30" hidden="1">#REF!</definedName>
    <definedName name="___lb25" localSheetId="28" hidden="1">#REF!</definedName>
    <definedName name="___lb25" localSheetId="27" hidden="1">#REF!</definedName>
    <definedName name="___lb25" localSheetId="18" hidden="1">#REF!</definedName>
    <definedName name="___lb25" localSheetId="7" hidden="1">#REF!</definedName>
    <definedName name="___lb25" localSheetId="23" hidden="1">#REF!</definedName>
    <definedName name="___lb25" hidden="1">#REF!</definedName>
    <definedName name="___lb27" localSheetId="12" hidden="1">#REF!</definedName>
    <definedName name="___lb27" localSheetId="30" hidden="1">#REF!</definedName>
    <definedName name="___lb27" localSheetId="28" hidden="1">#REF!</definedName>
    <definedName name="___lb27" localSheetId="27" hidden="1">#REF!</definedName>
    <definedName name="___lb27" localSheetId="18" hidden="1">#REF!</definedName>
    <definedName name="___lb27" localSheetId="7" hidden="1">#REF!</definedName>
    <definedName name="___lb27" localSheetId="23" hidden="1">#REF!</definedName>
    <definedName name="___lb27" hidden="1">#REF!</definedName>
    <definedName name="___lb28" localSheetId="12" hidden="1">#REF!</definedName>
    <definedName name="___lb28" localSheetId="30" hidden="1">#REF!</definedName>
    <definedName name="___lb28" localSheetId="28" hidden="1">#REF!</definedName>
    <definedName name="___lb28" localSheetId="27" hidden="1">#REF!</definedName>
    <definedName name="___lb28" localSheetId="18" hidden="1">#REF!</definedName>
    <definedName name="___lb28" localSheetId="7" hidden="1">#REF!</definedName>
    <definedName name="___lb28" localSheetId="23" hidden="1">#REF!</definedName>
    <definedName name="___lb28" hidden="1">#REF!</definedName>
    <definedName name="___lb29" localSheetId="12" hidden="1">#REF!</definedName>
    <definedName name="___lb29" localSheetId="30" hidden="1">#REF!</definedName>
    <definedName name="___lb29" localSheetId="28" hidden="1">#REF!</definedName>
    <definedName name="___lb29" localSheetId="27" hidden="1">#REF!</definedName>
    <definedName name="___lb29" localSheetId="18" hidden="1">#REF!</definedName>
    <definedName name="___lb29" localSheetId="7" hidden="1">#REF!</definedName>
    <definedName name="___lb29" localSheetId="23" hidden="1">#REF!</definedName>
    <definedName name="___lb29" hidden="1">#REF!</definedName>
    <definedName name="___lb3" localSheetId="12" hidden="1">#REF!</definedName>
    <definedName name="___lb3" localSheetId="30" hidden="1">#REF!</definedName>
    <definedName name="___lb3" localSheetId="28" hidden="1">#REF!</definedName>
    <definedName name="___lb3" localSheetId="27" hidden="1">#REF!</definedName>
    <definedName name="___lb3" localSheetId="18" hidden="1">#REF!</definedName>
    <definedName name="___lb3" localSheetId="7" hidden="1">#REF!</definedName>
    <definedName name="___lb3" localSheetId="23" hidden="1">#REF!</definedName>
    <definedName name="___lb3" hidden="1">#REF!</definedName>
    <definedName name="___lb30" localSheetId="12" hidden="1">#REF!</definedName>
    <definedName name="___lb30" localSheetId="30" hidden="1">#REF!</definedName>
    <definedName name="___lb30" localSheetId="28" hidden="1">#REF!</definedName>
    <definedName name="___lb30" localSheetId="27" hidden="1">#REF!</definedName>
    <definedName name="___lb30" localSheetId="18" hidden="1">#REF!</definedName>
    <definedName name="___lb30" localSheetId="7" hidden="1">#REF!</definedName>
    <definedName name="___lb30" localSheetId="23" hidden="1">#REF!</definedName>
    <definedName name="___lb30" hidden="1">#REF!</definedName>
    <definedName name="___lb31" localSheetId="12" hidden="1">#REF!</definedName>
    <definedName name="___lb31" localSheetId="30" hidden="1">#REF!</definedName>
    <definedName name="___lb31" localSheetId="28" hidden="1">#REF!</definedName>
    <definedName name="___lb31" localSheetId="27" hidden="1">#REF!</definedName>
    <definedName name="___lb31" localSheetId="18" hidden="1">#REF!</definedName>
    <definedName name="___lb31" localSheetId="7" hidden="1">#REF!</definedName>
    <definedName name="___lb31" localSheetId="23" hidden="1">#REF!</definedName>
    <definedName name="___lb31" hidden="1">#REF!</definedName>
    <definedName name="___lb32" localSheetId="12" hidden="1">#REF!</definedName>
    <definedName name="___lb32" localSheetId="30" hidden="1">#REF!</definedName>
    <definedName name="___lb32" localSheetId="28" hidden="1">#REF!</definedName>
    <definedName name="___lb32" localSheetId="27" hidden="1">#REF!</definedName>
    <definedName name="___lb32" localSheetId="18" hidden="1">#REF!</definedName>
    <definedName name="___lb32" localSheetId="7" hidden="1">#REF!</definedName>
    <definedName name="___lb32" localSheetId="23" hidden="1">#REF!</definedName>
    <definedName name="___lb32" hidden="1">#REF!</definedName>
    <definedName name="___lb4" localSheetId="12" hidden="1">#REF!</definedName>
    <definedName name="___lb4" localSheetId="30" hidden="1">#REF!</definedName>
    <definedName name="___lb4" localSheetId="28" hidden="1">#REF!</definedName>
    <definedName name="___lb4" localSheetId="27" hidden="1">#REF!</definedName>
    <definedName name="___lb4" localSheetId="18" hidden="1">#REF!</definedName>
    <definedName name="___lb4" localSheetId="7" hidden="1">#REF!</definedName>
    <definedName name="___lb4" localSheetId="23" hidden="1">#REF!</definedName>
    <definedName name="___lb4" hidden="1">#REF!</definedName>
    <definedName name="___lb5" localSheetId="12" hidden="1">#REF!</definedName>
    <definedName name="___lb5" localSheetId="30" hidden="1">#REF!</definedName>
    <definedName name="___lb5" localSheetId="28" hidden="1">#REF!</definedName>
    <definedName name="___lb5" localSheetId="27" hidden="1">#REF!</definedName>
    <definedName name="___lb5" localSheetId="18" hidden="1">#REF!</definedName>
    <definedName name="___lb5" localSheetId="7" hidden="1">#REF!</definedName>
    <definedName name="___lb5" localSheetId="23" hidden="1">#REF!</definedName>
    <definedName name="___lb5" hidden="1">#REF!</definedName>
    <definedName name="___lb6" localSheetId="12" hidden="1">#REF!</definedName>
    <definedName name="___lb6" localSheetId="30" hidden="1">#REF!</definedName>
    <definedName name="___lb6" localSheetId="28" hidden="1">#REF!</definedName>
    <definedName name="___lb6" localSheetId="27" hidden="1">#REF!</definedName>
    <definedName name="___lb6" localSheetId="18" hidden="1">#REF!</definedName>
    <definedName name="___lb6" localSheetId="7" hidden="1">#REF!</definedName>
    <definedName name="___lb6" localSheetId="23" hidden="1">#REF!</definedName>
    <definedName name="___lb6" hidden="1">#REF!</definedName>
    <definedName name="___lb7" localSheetId="12" hidden="1">#REF!</definedName>
    <definedName name="___lb7" localSheetId="30" hidden="1">#REF!</definedName>
    <definedName name="___lb7" localSheetId="28" hidden="1">#REF!</definedName>
    <definedName name="___lb7" localSheetId="27" hidden="1">#REF!</definedName>
    <definedName name="___lb7" localSheetId="18" hidden="1">#REF!</definedName>
    <definedName name="___lb7" localSheetId="7" hidden="1">#REF!</definedName>
    <definedName name="___lb7" localSheetId="23" hidden="1">#REF!</definedName>
    <definedName name="___lb7" hidden="1">#REF!</definedName>
    <definedName name="___lb8" localSheetId="12" hidden="1">#REF!</definedName>
    <definedName name="___lb8" localSheetId="30" hidden="1">#REF!</definedName>
    <definedName name="___lb8" localSheetId="28" hidden="1">#REF!</definedName>
    <definedName name="___lb8" localSheetId="27" hidden="1">#REF!</definedName>
    <definedName name="___lb8" localSheetId="18" hidden="1">#REF!</definedName>
    <definedName name="___lb8" localSheetId="7" hidden="1">#REF!</definedName>
    <definedName name="___lb8" localSheetId="23" hidden="1">#REF!</definedName>
    <definedName name="___lb8" hidden="1">#REF!</definedName>
    <definedName name="___lb9" localSheetId="12" hidden="1">#REF!</definedName>
    <definedName name="___lb9" localSheetId="30" hidden="1">#REF!</definedName>
    <definedName name="___lb9" localSheetId="28" hidden="1">#REF!</definedName>
    <definedName name="___lb9" localSheetId="27" hidden="1">#REF!</definedName>
    <definedName name="___lb9" localSheetId="18" hidden="1">#REF!</definedName>
    <definedName name="___lb9" localSheetId="7" hidden="1">#REF!</definedName>
    <definedName name="___lb9" localSheetId="23" hidden="1">#REF!</definedName>
    <definedName name="___lb9" hidden="1">#REF!</definedName>
    <definedName name="___lbc1" localSheetId="12" hidden="1">#REF!</definedName>
    <definedName name="___lbc1" localSheetId="30" hidden="1">#REF!</definedName>
    <definedName name="___lbc1" localSheetId="28" hidden="1">#REF!</definedName>
    <definedName name="___lbc1" localSheetId="27" hidden="1">#REF!</definedName>
    <definedName name="___lbc1" localSheetId="18" hidden="1">#REF!</definedName>
    <definedName name="___lbc1" localSheetId="7" hidden="1">#REF!</definedName>
    <definedName name="___lbc1" localSheetId="23" hidden="1">#REF!</definedName>
    <definedName name="___lbc1" hidden="1">#REF!</definedName>
    <definedName name="___lbc10" localSheetId="12" hidden="1">#REF!</definedName>
    <definedName name="___lbc10" localSheetId="30" hidden="1">#REF!</definedName>
    <definedName name="___lbc10" localSheetId="28" hidden="1">#REF!</definedName>
    <definedName name="___lbc10" localSheetId="27" hidden="1">#REF!</definedName>
    <definedName name="___lbc10" localSheetId="18" hidden="1">#REF!</definedName>
    <definedName name="___lbc10" localSheetId="7" hidden="1">#REF!</definedName>
    <definedName name="___lbc10" localSheetId="23" hidden="1">#REF!</definedName>
    <definedName name="___lbc10" hidden="1">#REF!</definedName>
    <definedName name="___lbc11" localSheetId="12" hidden="1">#REF!</definedName>
    <definedName name="___lbc11" localSheetId="30" hidden="1">#REF!</definedName>
    <definedName name="___lbc11" localSheetId="28" hidden="1">#REF!</definedName>
    <definedName name="___lbc11" localSheetId="27" hidden="1">#REF!</definedName>
    <definedName name="___lbc11" localSheetId="18" hidden="1">#REF!</definedName>
    <definedName name="___lbc11" localSheetId="7" hidden="1">#REF!</definedName>
    <definedName name="___lbc11" localSheetId="23" hidden="1">#REF!</definedName>
    <definedName name="___lbc11" hidden="1">#REF!</definedName>
    <definedName name="___lbc12" localSheetId="12" hidden="1">#REF!</definedName>
    <definedName name="___lbc12" localSheetId="30" hidden="1">#REF!</definedName>
    <definedName name="___lbc12" localSheetId="28" hidden="1">#REF!</definedName>
    <definedName name="___lbc12" localSheetId="27" hidden="1">#REF!</definedName>
    <definedName name="___lbc12" localSheetId="18" hidden="1">#REF!</definedName>
    <definedName name="___lbc12" localSheetId="7" hidden="1">#REF!</definedName>
    <definedName name="___lbc12" localSheetId="23" hidden="1">#REF!</definedName>
    <definedName name="___lbc12" hidden="1">#REF!</definedName>
    <definedName name="___lbc13" localSheetId="12" hidden="1">#REF!</definedName>
    <definedName name="___lbc13" localSheetId="30" hidden="1">#REF!</definedName>
    <definedName name="___lbc13" localSheetId="28" hidden="1">#REF!</definedName>
    <definedName name="___lbc13" localSheetId="27" hidden="1">#REF!</definedName>
    <definedName name="___lbc13" localSheetId="18" hidden="1">#REF!</definedName>
    <definedName name="___lbc13" localSheetId="7" hidden="1">#REF!</definedName>
    <definedName name="___lbc13" localSheetId="23" hidden="1">#REF!</definedName>
    <definedName name="___lbc13" hidden="1">#REF!</definedName>
    <definedName name="___lbc14" localSheetId="12" hidden="1">#REF!</definedName>
    <definedName name="___lbc14" localSheetId="30" hidden="1">#REF!</definedName>
    <definedName name="___lbc14" localSheetId="28" hidden="1">#REF!</definedName>
    <definedName name="___lbc14" localSheetId="27" hidden="1">#REF!</definedName>
    <definedName name="___lbc14" localSheetId="18" hidden="1">#REF!</definedName>
    <definedName name="___lbc14" localSheetId="7" hidden="1">#REF!</definedName>
    <definedName name="___lbc14" localSheetId="23" hidden="1">#REF!</definedName>
    <definedName name="___lbc14" hidden="1">#REF!</definedName>
    <definedName name="___lbc15" localSheetId="12" hidden="1">#REF!</definedName>
    <definedName name="___lbc15" localSheetId="30" hidden="1">#REF!</definedName>
    <definedName name="___lbc15" localSheetId="28" hidden="1">#REF!</definedName>
    <definedName name="___lbc15" localSheetId="27" hidden="1">#REF!</definedName>
    <definedName name="___lbc15" localSheetId="18" hidden="1">#REF!</definedName>
    <definedName name="___lbc15" localSheetId="7" hidden="1">#REF!</definedName>
    <definedName name="___lbc15" localSheetId="23" hidden="1">#REF!</definedName>
    <definedName name="___lbc15" hidden="1">#REF!</definedName>
    <definedName name="___lbc16" localSheetId="12" hidden="1">#REF!</definedName>
    <definedName name="___lbc16" localSheetId="30" hidden="1">#REF!</definedName>
    <definedName name="___lbc16" localSheetId="28" hidden="1">#REF!</definedName>
    <definedName name="___lbc16" localSheetId="27" hidden="1">#REF!</definedName>
    <definedName name="___lbc16" localSheetId="18" hidden="1">#REF!</definedName>
    <definedName name="___lbc16" localSheetId="7" hidden="1">#REF!</definedName>
    <definedName name="___lbc16" localSheetId="23" hidden="1">#REF!</definedName>
    <definedName name="___lbc16" hidden="1">#REF!</definedName>
    <definedName name="___lbc17" localSheetId="12" hidden="1">#REF!</definedName>
    <definedName name="___lbc17" localSheetId="30" hidden="1">#REF!</definedName>
    <definedName name="___lbc17" localSheetId="28" hidden="1">#REF!</definedName>
    <definedName name="___lbc17" localSheetId="27" hidden="1">#REF!</definedName>
    <definedName name="___lbc17" localSheetId="18" hidden="1">#REF!</definedName>
    <definedName name="___lbc17" localSheetId="7" hidden="1">#REF!</definedName>
    <definedName name="___lbc17" localSheetId="23" hidden="1">#REF!</definedName>
    <definedName name="___lbc17" hidden="1">#REF!</definedName>
    <definedName name="___lbc18" localSheetId="12" hidden="1">#REF!</definedName>
    <definedName name="___lbc18" localSheetId="30" hidden="1">#REF!</definedName>
    <definedName name="___lbc18" localSheetId="28" hidden="1">#REF!</definedName>
    <definedName name="___lbc18" localSheetId="27" hidden="1">#REF!</definedName>
    <definedName name="___lbc18" localSheetId="18" hidden="1">#REF!</definedName>
    <definedName name="___lbc18" localSheetId="7" hidden="1">#REF!</definedName>
    <definedName name="___lbc18" localSheetId="23" hidden="1">#REF!</definedName>
    <definedName name="___lbc18" hidden="1">#REF!</definedName>
    <definedName name="___lbc19" localSheetId="12" hidden="1">#REF!</definedName>
    <definedName name="___lbc19" localSheetId="30" hidden="1">#REF!</definedName>
    <definedName name="___lbc19" localSheetId="28" hidden="1">#REF!</definedName>
    <definedName name="___lbc19" localSheetId="27" hidden="1">#REF!</definedName>
    <definedName name="___lbc19" localSheetId="18" hidden="1">#REF!</definedName>
    <definedName name="___lbc19" localSheetId="7" hidden="1">#REF!</definedName>
    <definedName name="___lbc19" localSheetId="23" hidden="1">#REF!</definedName>
    <definedName name="___lbc19" hidden="1">#REF!</definedName>
    <definedName name="___lbc2" localSheetId="12" hidden="1">#REF!</definedName>
    <definedName name="___lbc2" localSheetId="30" hidden="1">#REF!</definedName>
    <definedName name="___lbc2" localSheetId="28" hidden="1">#REF!</definedName>
    <definedName name="___lbc2" localSheetId="27" hidden="1">#REF!</definedName>
    <definedName name="___lbc2" localSheetId="18" hidden="1">#REF!</definedName>
    <definedName name="___lbc2" localSheetId="7" hidden="1">#REF!</definedName>
    <definedName name="___lbc2" localSheetId="23" hidden="1">#REF!</definedName>
    <definedName name="___lbc2" hidden="1">#REF!</definedName>
    <definedName name="___lbc20" localSheetId="12" hidden="1">#REF!</definedName>
    <definedName name="___lbc20" localSheetId="30" hidden="1">#REF!</definedName>
    <definedName name="___lbc20" localSheetId="28" hidden="1">#REF!</definedName>
    <definedName name="___lbc20" localSheetId="27" hidden="1">#REF!</definedName>
    <definedName name="___lbc20" localSheetId="18" hidden="1">#REF!</definedName>
    <definedName name="___lbc20" localSheetId="7" hidden="1">#REF!</definedName>
    <definedName name="___lbc20" localSheetId="23" hidden="1">#REF!</definedName>
    <definedName name="___lbc20" hidden="1">#REF!</definedName>
    <definedName name="___lbc21" localSheetId="12" hidden="1">#REF!</definedName>
    <definedName name="___lbc21" localSheetId="30" hidden="1">#REF!</definedName>
    <definedName name="___lbc21" localSheetId="28" hidden="1">#REF!</definedName>
    <definedName name="___lbc21" localSheetId="27" hidden="1">#REF!</definedName>
    <definedName name="___lbc21" localSheetId="18" hidden="1">#REF!</definedName>
    <definedName name="___lbc21" localSheetId="7" hidden="1">#REF!</definedName>
    <definedName name="___lbc21" localSheetId="23" hidden="1">#REF!</definedName>
    <definedName name="___lbc21" hidden="1">#REF!</definedName>
    <definedName name="___lbc22" localSheetId="12" hidden="1">#REF!</definedName>
    <definedName name="___lbc22" localSheetId="30" hidden="1">#REF!</definedName>
    <definedName name="___lbc22" localSheetId="28" hidden="1">#REF!</definedName>
    <definedName name="___lbc22" localSheetId="27" hidden="1">#REF!</definedName>
    <definedName name="___lbc22" localSheetId="18" hidden="1">#REF!</definedName>
    <definedName name="___lbc22" localSheetId="7" hidden="1">#REF!</definedName>
    <definedName name="___lbc22" localSheetId="23" hidden="1">#REF!</definedName>
    <definedName name="___lbc22" hidden="1">#REF!</definedName>
    <definedName name="___lbc23" localSheetId="12" hidden="1">#REF!</definedName>
    <definedName name="___lbc23" localSheetId="30" hidden="1">#REF!</definedName>
    <definedName name="___lbc23" localSheetId="28" hidden="1">#REF!</definedName>
    <definedName name="___lbc23" localSheetId="27" hidden="1">#REF!</definedName>
    <definedName name="___lbc23" localSheetId="18" hidden="1">#REF!</definedName>
    <definedName name="___lbc23" localSheetId="7" hidden="1">#REF!</definedName>
    <definedName name="___lbc23" localSheetId="23" hidden="1">#REF!</definedName>
    <definedName name="___lbc23" hidden="1">#REF!</definedName>
    <definedName name="___lbc24" localSheetId="12" hidden="1">#REF!</definedName>
    <definedName name="___lbc24" localSheetId="30" hidden="1">#REF!</definedName>
    <definedName name="___lbc24" localSheetId="28" hidden="1">#REF!</definedName>
    <definedName name="___lbc24" localSheetId="27" hidden="1">#REF!</definedName>
    <definedName name="___lbc24" localSheetId="18" hidden="1">#REF!</definedName>
    <definedName name="___lbc24" localSheetId="7" hidden="1">#REF!</definedName>
    <definedName name="___lbc24" localSheetId="23" hidden="1">#REF!</definedName>
    <definedName name="___lbc24" hidden="1">#REF!</definedName>
    <definedName name="___lbc25" localSheetId="12" hidden="1">#REF!</definedName>
    <definedName name="___lbc25" localSheetId="30" hidden="1">#REF!</definedName>
    <definedName name="___lbc25" localSheetId="28" hidden="1">#REF!</definedName>
    <definedName name="___lbc25" localSheetId="27" hidden="1">#REF!</definedName>
    <definedName name="___lbc25" localSheetId="18" hidden="1">#REF!</definedName>
    <definedName name="___lbc25" localSheetId="7" hidden="1">#REF!</definedName>
    <definedName name="___lbc25" localSheetId="23" hidden="1">#REF!</definedName>
    <definedName name="___lbc25" hidden="1">#REF!</definedName>
    <definedName name="___lbc26" localSheetId="12" hidden="1">#REF!</definedName>
    <definedName name="___lbc26" localSheetId="30" hidden="1">#REF!</definedName>
    <definedName name="___lbc26" localSheetId="28" hidden="1">#REF!</definedName>
    <definedName name="___lbc26" localSheetId="27" hidden="1">#REF!</definedName>
    <definedName name="___lbc26" localSheetId="18" hidden="1">#REF!</definedName>
    <definedName name="___lbc26" localSheetId="7" hidden="1">#REF!</definedName>
    <definedName name="___lbc26" localSheetId="23" hidden="1">#REF!</definedName>
    <definedName name="___lbc26" hidden="1">#REF!</definedName>
    <definedName name="___lbc27" localSheetId="12" hidden="1">#REF!</definedName>
    <definedName name="___lbc27" localSheetId="30" hidden="1">#REF!</definedName>
    <definedName name="___lbc27" localSheetId="28" hidden="1">#REF!</definedName>
    <definedName name="___lbc27" localSheetId="27" hidden="1">#REF!</definedName>
    <definedName name="___lbc27" localSheetId="18" hidden="1">#REF!</definedName>
    <definedName name="___lbc27" localSheetId="7" hidden="1">#REF!</definedName>
    <definedName name="___lbc27" localSheetId="23" hidden="1">#REF!</definedName>
    <definedName name="___lbc27" hidden="1">#REF!</definedName>
    <definedName name="___lbc28" localSheetId="12" hidden="1">#REF!</definedName>
    <definedName name="___lbc28" localSheetId="30" hidden="1">#REF!</definedName>
    <definedName name="___lbc28" localSheetId="28" hidden="1">#REF!</definedName>
    <definedName name="___lbc28" localSheetId="27" hidden="1">#REF!</definedName>
    <definedName name="___lbc28" localSheetId="18" hidden="1">#REF!</definedName>
    <definedName name="___lbc28" localSheetId="7" hidden="1">#REF!</definedName>
    <definedName name="___lbc28" localSheetId="23" hidden="1">#REF!</definedName>
    <definedName name="___lbc28" hidden="1">#REF!</definedName>
    <definedName name="___lbc29" localSheetId="12" hidden="1">#REF!</definedName>
    <definedName name="___lbc29" localSheetId="30" hidden="1">#REF!</definedName>
    <definedName name="___lbc29" localSheetId="28" hidden="1">#REF!</definedName>
    <definedName name="___lbc29" localSheetId="27" hidden="1">#REF!</definedName>
    <definedName name="___lbc29" localSheetId="18" hidden="1">#REF!</definedName>
    <definedName name="___lbc29" localSheetId="7" hidden="1">#REF!</definedName>
    <definedName name="___lbc29" localSheetId="23" hidden="1">#REF!</definedName>
    <definedName name="___lbc29" hidden="1">#REF!</definedName>
    <definedName name="___lbc3" localSheetId="12" hidden="1">#REF!</definedName>
    <definedName name="___lbc3" localSheetId="30" hidden="1">#REF!</definedName>
    <definedName name="___lbc3" localSheetId="28" hidden="1">#REF!</definedName>
    <definedName name="___lbc3" localSheetId="27" hidden="1">#REF!</definedName>
    <definedName name="___lbc3" localSheetId="18" hidden="1">#REF!</definedName>
    <definedName name="___lbc3" localSheetId="7" hidden="1">#REF!</definedName>
    <definedName name="___lbc3" localSheetId="23" hidden="1">#REF!</definedName>
    <definedName name="___lbc3" hidden="1">#REF!</definedName>
    <definedName name="___lbc31" localSheetId="12" hidden="1">#REF!</definedName>
    <definedName name="___lbc31" localSheetId="30" hidden="1">#REF!</definedName>
    <definedName name="___lbc31" localSheetId="28" hidden="1">#REF!</definedName>
    <definedName name="___lbc31" localSheetId="27" hidden="1">#REF!</definedName>
    <definedName name="___lbc31" localSheetId="18" hidden="1">#REF!</definedName>
    <definedName name="___lbc31" localSheetId="7" hidden="1">#REF!</definedName>
    <definedName name="___lbc31" localSheetId="23" hidden="1">#REF!</definedName>
    <definedName name="___lbc31" hidden="1">#REF!</definedName>
    <definedName name="___lbc32" localSheetId="12" hidden="1">#REF!</definedName>
    <definedName name="___lbc32" localSheetId="30" hidden="1">#REF!</definedName>
    <definedName name="___lbc32" localSheetId="28" hidden="1">#REF!</definedName>
    <definedName name="___lbc32" localSheetId="27" hidden="1">#REF!</definedName>
    <definedName name="___lbc32" localSheetId="18" hidden="1">#REF!</definedName>
    <definedName name="___lbc32" localSheetId="7" hidden="1">#REF!</definedName>
    <definedName name="___lbc32" localSheetId="23" hidden="1">#REF!</definedName>
    <definedName name="___lbc32" hidden="1">#REF!</definedName>
    <definedName name="___lbc4" localSheetId="12" hidden="1">#REF!</definedName>
    <definedName name="___lbc4" localSheetId="30" hidden="1">#REF!</definedName>
    <definedName name="___lbc4" localSheetId="28" hidden="1">#REF!</definedName>
    <definedName name="___lbc4" localSheetId="27" hidden="1">#REF!</definedName>
    <definedName name="___lbc4" localSheetId="18" hidden="1">#REF!</definedName>
    <definedName name="___lbc4" localSheetId="7" hidden="1">#REF!</definedName>
    <definedName name="___lbc4" localSheetId="23" hidden="1">#REF!</definedName>
    <definedName name="___lbc4" hidden="1">#REF!</definedName>
    <definedName name="___lbc5" localSheetId="12" hidden="1">#REF!</definedName>
    <definedName name="___lbc5" localSheetId="30" hidden="1">#REF!</definedName>
    <definedName name="___lbc5" localSheetId="28" hidden="1">#REF!</definedName>
    <definedName name="___lbc5" localSheetId="27" hidden="1">#REF!</definedName>
    <definedName name="___lbc5" localSheetId="18" hidden="1">#REF!</definedName>
    <definedName name="___lbc5" localSheetId="7" hidden="1">#REF!</definedName>
    <definedName name="___lbc5" localSheetId="23" hidden="1">#REF!</definedName>
    <definedName name="___lbc5" hidden="1">#REF!</definedName>
    <definedName name="___lbc6" localSheetId="12" hidden="1">#REF!</definedName>
    <definedName name="___lbc6" localSheetId="30" hidden="1">#REF!</definedName>
    <definedName name="___lbc6" localSheetId="28" hidden="1">#REF!</definedName>
    <definedName name="___lbc6" localSheetId="27" hidden="1">#REF!</definedName>
    <definedName name="___lbc6" localSheetId="18" hidden="1">#REF!</definedName>
    <definedName name="___lbc6" localSheetId="7" hidden="1">#REF!</definedName>
    <definedName name="___lbc6" localSheetId="23" hidden="1">#REF!</definedName>
    <definedName name="___lbc6" hidden="1">#REF!</definedName>
    <definedName name="___lbc7" localSheetId="12" hidden="1">#REF!</definedName>
    <definedName name="___lbc7" localSheetId="30" hidden="1">#REF!</definedName>
    <definedName name="___lbc7" localSheetId="28" hidden="1">#REF!</definedName>
    <definedName name="___lbc7" localSheetId="27" hidden="1">#REF!</definedName>
    <definedName name="___lbc7" localSheetId="18" hidden="1">#REF!</definedName>
    <definedName name="___lbc7" localSheetId="7" hidden="1">#REF!</definedName>
    <definedName name="___lbc7" localSheetId="23" hidden="1">#REF!</definedName>
    <definedName name="___lbc7" hidden="1">#REF!</definedName>
    <definedName name="___lbc8" localSheetId="12" hidden="1">#REF!</definedName>
    <definedName name="___lbc8" localSheetId="30" hidden="1">#REF!</definedName>
    <definedName name="___lbc8" localSheetId="28" hidden="1">#REF!</definedName>
    <definedName name="___lbc8" localSheetId="27" hidden="1">#REF!</definedName>
    <definedName name="___lbc8" localSheetId="18" hidden="1">#REF!</definedName>
    <definedName name="___lbc8" localSheetId="7" hidden="1">#REF!</definedName>
    <definedName name="___lbc8" localSheetId="23" hidden="1">#REF!</definedName>
    <definedName name="___lbc8" hidden="1">#REF!</definedName>
    <definedName name="___lbc9" localSheetId="12" hidden="1">#REF!</definedName>
    <definedName name="___lbc9" localSheetId="30" hidden="1">#REF!</definedName>
    <definedName name="___lbc9" localSheetId="28" hidden="1">#REF!</definedName>
    <definedName name="___lbc9" localSheetId="27" hidden="1">#REF!</definedName>
    <definedName name="___lbc9" localSheetId="18" hidden="1">#REF!</definedName>
    <definedName name="___lbc9" localSheetId="7" hidden="1">#REF!</definedName>
    <definedName name="___lbc9" localSheetId="23" hidden="1">#REF!</definedName>
    <definedName name="___lbc9" hidden="1">#REF!</definedName>
    <definedName name="___ld26" localSheetId="12" hidden="1">#REF!</definedName>
    <definedName name="___ld26" localSheetId="30" hidden="1">#REF!</definedName>
    <definedName name="___ld26" localSheetId="28" hidden="1">#REF!</definedName>
    <definedName name="___ld26" localSheetId="27" hidden="1">#REF!</definedName>
    <definedName name="___ld26" localSheetId="18" hidden="1">#REF!</definedName>
    <definedName name="___ld26" localSheetId="7" hidden="1">#REF!</definedName>
    <definedName name="___ld26" localSheetId="23" hidden="1">#REF!</definedName>
    <definedName name="___ld26" hidden="1">#REF!</definedName>
    <definedName name="___ld31" localSheetId="12" hidden="1">#REF!</definedName>
    <definedName name="___ld31" localSheetId="30" hidden="1">#REF!</definedName>
    <definedName name="___ld31" localSheetId="28" hidden="1">#REF!</definedName>
    <definedName name="___ld31" localSheetId="27" hidden="1">#REF!</definedName>
    <definedName name="___ld31" localSheetId="18" hidden="1">#REF!</definedName>
    <definedName name="___ld31" localSheetId="7" hidden="1">#REF!</definedName>
    <definedName name="___ld31" localSheetId="23" hidden="1">#REF!</definedName>
    <definedName name="___ld31" hidden="1">#REF!</definedName>
    <definedName name="___le31" localSheetId="12" hidden="1">#REF!</definedName>
    <definedName name="___le31" localSheetId="30" hidden="1">#REF!</definedName>
    <definedName name="___le31" localSheetId="28" hidden="1">#REF!</definedName>
    <definedName name="___le31" localSheetId="27" hidden="1">#REF!</definedName>
    <definedName name="___le31" localSheetId="18" hidden="1">#REF!</definedName>
    <definedName name="___le31" localSheetId="7" hidden="1">#REF!</definedName>
    <definedName name="___le31" localSheetId="23" hidden="1">#REF!</definedName>
    <definedName name="___le31" hidden="1">#REF!</definedName>
    <definedName name="___lf31" localSheetId="12" hidden="1">#REF!</definedName>
    <definedName name="___lf31" localSheetId="30" hidden="1">#REF!</definedName>
    <definedName name="___lf31" localSheetId="28" hidden="1">#REF!</definedName>
    <definedName name="___lf31" localSheetId="27" hidden="1">#REF!</definedName>
    <definedName name="___lf31" localSheetId="18" hidden="1">#REF!</definedName>
    <definedName name="___lf31" localSheetId="7" hidden="1">#REF!</definedName>
    <definedName name="___lf31" localSheetId="23" hidden="1">#REF!</definedName>
    <definedName name="___lf31" hidden="1">#REF!</definedName>
    <definedName name="___PK2" localSheetId="33" hidden="1">{"'장비'!$A$3:$M$12"}</definedName>
    <definedName name="___PK2" localSheetId="35" hidden="1">{"'장비'!$A$3:$M$12"}</definedName>
    <definedName name="___PK2" hidden="1">{"'장비'!$A$3:$M$12"}</definedName>
    <definedName name="___PKG3" localSheetId="33" hidden="1">{"'장비'!$A$3:$M$12"}</definedName>
    <definedName name="___PKG3" localSheetId="35" hidden="1">{"'장비'!$A$3:$M$12"}</definedName>
    <definedName name="___PKG3" hidden="1">{"'장비'!$A$3:$M$12"}</definedName>
    <definedName name="___qqq222" localSheetId="33" hidden="1">{"'장비'!$A$3:$M$12"}</definedName>
    <definedName name="___qqq222" localSheetId="35" hidden="1">{"'장비'!$A$3:$M$12"}</definedName>
    <definedName name="___qqq222" hidden="1">{"'장비'!$A$3:$M$12"}</definedName>
    <definedName name="___QT100" localSheetId="12">#REF!</definedName>
    <definedName name="___QT100" localSheetId="30">#REF!</definedName>
    <definedName name="___QT100" localSheetId="28">#REF!</definedName>
    <definedName name="___QT100" localSheetId="27">#REF!</definedName>
    <definedName name="___QT100" localSheetId="18">#REF!</definedName>
    <definedName name="___QT100" localSheetId="7">#REF!</definedName>
    <definedName name="___QT100" localSheetId="23">#REF!</definedName>
    <definedName name="___QT100">#REF!</definedName>
    <definedName name="___QT2" localSheetId="12">#REF!</definedName>
    <definedName name="___QT2" localSheetId="30">#REF!</definedName>
    <definedName name="___QT2" localSheetId="28">#REF!</definedName>
    <definedName name="___QT2" localSheetId="27">#REF!</definedName>
    <definedName name="___QT2" localSheetId="18">#REF!</definedName>
    <definedName name="___QT2" localSheetId="7">#REF!</definedName>
    <definedName name="___QT2" localSheetId="23">#REF!</definedName>
    <definedName name="___QT2">#REF!</definedName>
    <definedName name="___QT3" localSheetId="12">#REF!</definedName>
    <definedName name="___QT3" localSheetId="30">#REF!</definedName>
    <definedName name="___QT3" localSheetId="28">#REF!</definedName>
    <definedName name="___QT3" localSheetId="27">#REF!</definedName>
    <definedName name="___QT3" localSheetId="18">#REF!</definedName>
    <definedName name="___QT3" localSheetId="7">#REF!</definedName>
    <definedName name="___QT3" localSheetId="23">#REF!</definedName>
    <definedName name="___QT3">#REF!</definedName>
    <definedName name="___QT4" localSheetId="12">#REF!</definedName>
    <definedName name="___QT4" localSheetId="30">#REF!</definedName>
    <definedName name="___QT4" localSheetId="28">#REF!</definedName>
    <definedName name="___QT4" localSheetId="27">#REF!</definedName>
    <definedName name="___QT4" localSheetId="18">#REF!</definedName>
    <definedName name="___QT4" localSheetId="7">#REF!</definedName>
    <definedName name="___QT4" localSheetId="23">#REF!</definedName>
    <definedName name="___QT4">#REF!</definedName>
    <definedName name="___QT50" localSheetId="12">#REF!</definedName>
    <definedName name="___QT50" localSheetId="30">#REF!</definedName>
    <definedName name="___QT50" localSheetId="28">#REF!</definedName>
    <definedName name="___QT50" localSheetId="27">#REF!</definedName>
    <definedName name="___QT50" localSheetId="18">#REF!</definedName>
    <definedName name="___QT50" localSheetId="7">#REF!</definedName>
    <definedName name="___QT50" localSheetId="23">#REF!</definedName>
    <definedName name="___QT50">#REF!</definedName>
    <definedName name="___QT75" localSheetId="12">#REF!</definedName>
    <definedName name="___QT75" localSheetId="30">#REF!</definedName>
    <definedName name="___QT75" localSheetId="28">#REF!</definedName>
    <definedName name="___QT75" localSheetId="27">#REF!</definedName>
    <definedName name="___QT75" localSheetId="18">#REF!</definedName>
    <definedName name="___QT75" localSheetId="7">#REF!</definedName>
    <definedName name="___QT75" localSheetId="23">#REF!</definedName>
    <definedName name="___QT75">#REF!</definedName>
    <definedName name="___r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localSheetId="12" hidden="1">#REF!</definedName>
    <definedName name="___x10" localSheetId="30" hidden="1">#REF!</definedName>
    <definedName name="___x10" localSheetId="28" hidden="1">#REF!</definedName>
    <definedName name="___x10" localSheetId="27" hidden="1">#REF!</definedName>
    <definedName name="___x10" localSheetId="18" hidden="1">#REF!</definedName>
    <definedName name="___x10" localSheetId="7" hidden="1">#REF!</definedName>
    <definedName name="___x10" localSheetId="23" hidden="1">#REF!</definedName>
    <definedName name="___x10" hidden="1">#REF!</definedName>
    <definedName name="___x11" localSheetId="12" hidden="1">#REF!</definedName>
    <definedName name="___x11" localSheetId="30" hidden="1">#REF!</definedName>
    <definedName name="___x11" localSheetId="28" hidden="1">#REF!</definedName>
    <definedName name="___x11" localSheetId="27" hidden="1">#REF!</definedName>
    <definedName name="___x11" localSheetId="18" hidden="1">#REF!</definedName>
    <definedName name="___x11" localSheetId="7" hidden="1">#REF!</definedName>
    <definedName name="___x11" localSheetId="23" hidden="1">#REF!</definedName>
    <definedName name="___x11" hidden="1">#REF!</definedName>
    <definedName name="___x12" localSheetId="12" hidden="1">#REF!</definedName>
    <definedName name="___x12" localSheetId="30" hidden="1">#REF!</definedName>
    <definedName name="___x12" localSheetId="28" hidden="1">#REF!</definedName>
    <definedName name="___x12" localSheetId="27" hidden="1">#REF!</definedName>
    <definedName name="___x12" localSheetId="18" hidden="1">#REF!</definedName>
    <definedName name="___x12" localSheetId="7" hidden="1">#REF!</definedName>
    <definedName name="___x12" localSheetId="23" hidden="1">#REF!</definedName>
    <definedName name="___x12" hidden="1">#REF!</definedName>
    <definedName name="___x13" localSheetId="12" hidden="1">#REF!</definedName>
    <definedName name="___x13" localSheetId="30" hidden="1">#REF!</definedName>
    <definedName name="___x13" localSheetId="28" hidden="1">#REF!</definedName>
    <definedName name="___x13" localSheetId="27" hidden="1">#REF!</definedName>
    <definedName name="___x13" localSheetId="18" hidden="1">#REF!</definedName>
    <definedName name="___x13" localSheetId="7" hidden="1">#REF!</definedName>
    <definedName name="___x13" localSheetId="23" hidden="1">#REF!</definedName>
    <definedName name="___x13" hidden="1">#REF!</definedName>
    <definedName name="___x14" localSheetId="12" hidden="1">#REF!</definedName>
    <definedName name="___x14" localSheetId="30" hidden="1">#REF!</definedName>
    <definedName name="___x14" localSheetId="28" hidden="1">#REF!</definedName>
    <definedName name="___x14" localSheetId="27" hidden="1">#REF!</definedName>
    <definedName name="___x14" localSheetId="18" hidden="1">#REF!</definedName>
    <definedName name="___x14" localSheetId="7" hidden="1">#REF!</definedName>
    <definedName name="___x14" localSheetId="23" hidden="1">#REF!</definedName>
    <definedName name="___x14" hidden="1">#REF!</definedName>
    <definedName name="___x15" localSheetId="12" hidden="1">#REF!</definedName>
    <definedName name="___x15" localSheetId="30" hidden="1">#REF!</definedName>
    <definedName name="___x15" localSheetId="28" hidden="1">#REF!</definedName>
    <definedName name="___x15" localSheetId="27" hidden="1">#REF!</definedName>
    <definedName name="___x15" localSheetId="18" hidden="1">#REF!</definedName>
    <definedName name="___x15" localSheetId="7" hidden="1">#REF!</definedName>
    <definedName name="___x15" localSheetId="23" hidden="1">#REF!</definedName>
    <definedName name="___x15" hidden="1">#REF!</definedName>
    <definedName name="___x16" localSheetId="12" hidden="1">#REF!</definedName>
    <definedName name="___x16" localSheetId="30" hidden="1">#REF!</definedName>
    <definedName name="___x16" localSheetId="28" hidden="1">#REF!</definedName>
    <definedName name="___x16" localSheetId="27" hidden="1">#REF!</definedName>
    <definedName name="___x16" localSheetId="18" hidden="1">#REF!</definedName>
    <definedName name="___x16" localSheetId="7" hidden="1">#REF!</definedName>
    <definedName name="___x16" localSheetId="23" hidden="1">#REF!</definedName>
    <definedName name="___x16" hidden="1">#REF!</definedName>
    <definedName name="___x17" localSheetId="12" hidden="1">#REF!</definedName>
    <definedName name="___x17" localSheetId="30" hidden="1">#REF!</definedName>
    <definedName name="___x17" localSheetId="28" hidden="1">#REF!</definedName>
    <definedName name="___x17" localSheetId="27" hidden="1">#REF!</definedName>
    <definedName name="___x17" localSheetId="18" hidden="1">#REF!</definedName>
    <definedName name="___x17" localSheetId="7" hidden="1">#REF!</definedName>
    <definedName name="___x17" localSheetId="23" hidden="1">#REF!</definedName>
    <definedName name="___x17" hidden="1">#REF!</definedName>
    <definedName name="___x18" localSheetId="12" hidden="1">#REF!</definedName>
    <definedName name="___x18" localSheetId="30" hidden="1">#REF!</definedName>
    <definedName name="___x18" localSheetId="28" hidden="1">#REF!</definedName>
    <definedName name="___x18" localSheetId="27" hidden="1">#REF!</definedName>
    <definedName name="___x18" localSheetId="18" hidden="1">#REF!</definedName>
    <definedName name="___x18" localSheetId="7" hidden="1">#REF!</definedName>
    <definedName name="___x18" localSheetId="23" hidden="1">#REF!</definedName>
    <definedName name="___x18" hidden="1">#REF!</definedName>
    <definedName name="___x19" localSheetId="12" hidden="1">#REF!</definedName>
    <definedName name="___x19" localSheetId="30" hidden="1">#REF!</definedName>
    <definedName name="___x19" localSheetId="28" hidden="1">#REF!</definedName>
    <definedName name="___x19" localSheetId="27" hidden="1">#REF!</definedName>
    <definedName name="___x19" localSheetId="18" hidden="1">#REF!</definedName>
    <definedName name="___x19" localSheetId="7" hidden="1">#REF!</definedName>
    <definedName name="___x19" localSheetId="23" hidden="1">#REF!</definedName>
    <definedName name="___x19" hidden="1">#REF!</definedName>
    <definedName name="___x20" localSheetId="12" hidden="1">#REF!</definedName>
    <definedName name="___x20" localSheetId="30" hidden="1">#REF!</definedName>
    <definedName name="___x20" localSheetId="28" hidden="1">#REF!</definedName>
    <definedName name="___x20" localSheetId="27" hidden="1">#REF!</definedName>
    <definedName name="___x20" localSheetId="18" hidden="1">#REF!</definedName>
    <definedName name="___x20" localSheetId="7" hidden="1">#REF!</definedName>
    <definedName name="___x20" localSheetId="23" hidden="1">#REF!</definedName>
    <definedName name="___x20" hidden="1">#REF!</definedName>
    <definedName name="___x21" localSheetId="12" hidden="1">#REF!</definedName>
    <definedName name="___x21" localSheetId="30" hidden="1">#REF!</definedName>
    <definedName name="___x21" localSheetId="28" hidden="1">#REF!</definedName>
    <definedName name="___x21" localSheetId="27" hidden="1">#REF!</definedName>
    <definedName name="___x21" localSheetId="18" hidden="1">#REF!</definedName>
    <definedName name="___x21" localSheetId="7" hidden="1">#REF!</definedName>
    <definedName name="___x21" localSheetId="23" hidden="1">#REF!</definedName>
    <definedName name="___x21" hidden="1">#REF!</definedName>
    <definedName name="___x22" localSheetId="12" hidden="1">#REF!</definedName>
    <definedName name="___x22" localSheetId="30" hidden="1">#REF!</definedName>
    <definedName name="___x22" localSheetId="28" hidden="1">#REF!</definedName>
    <definedName name="___x22" localSheetId="27" hidden="1">#REF!</definedName>
    <definedName name="___x22" localSheetId="18" hidden="1">#REF!</definedName>
    <definedName name="___x22" localSheetId="7" hidden="1">#REF!</definedName>
    <definedName name="___x22" localSheetId="23" hidden="1">#REF!</definedName>
    <definedName name="___x22" hidden="1">#REF!</definedName>
    <definedName name="___x23" localSheetId="12" hidden="1">#REF!</definedName>
    <definedName name="___x23" localSheetId="30" hidden="1">#REF!</definedName>
    <definedName name="___x23" localSheetId="28" hidden="1">#REF!</definedName>
    <definedName name="___x23" localSheetId="27" hidden="1">#REF!</definedName>
    <definedName name="___x23" localSheetId="18" hidden="1">#REF!</definedName>
    <definedName name="___x23" localSheetId="7" hidden="1">#REF!</definedName>
    <definedName name="___x23" localSheetId="23" hidden="1">#REF!</definedName>
    <definedName name="___x23" hidden="1">#REF!</definedName>
    <definedName name="___x24" localSheetId="12" hidden="1">#REF!</definedName>
    <definedName name="___x24" localSheetId="30" hidden="1">#REF!</definedName>
    <definedName name="___x24" localSheetId="28" hidden="1">#REF!</definedName>
    <definedName name="___x24" localSheetId="27" hidden="1">#REF!</definedName>
    <definedName name="___x24" localSheetId="18" hidden="1">#REF!</definedName>
    <definedName name="___x24" localSheetId="7" hidden="1">#REF!</definedName>
    <definedName name="___x24" localSheetId="23" hidden="1">#REF!</definedName>
    <definedName name="___x24" hidden="1">#REF!</definedName>
    <definedName name="___x25" localSheetId="12" hidden="1">#REF!</definedName>
    <definedName name="___x25" localSheetId="30" hidden="1">#REF!</definedName>
    <definedName name="___x25" localSheetId="28" hidden="1">#REF!</definedName>
    <definedName name="___x25" localSheetId="27" hidden="1">#REF!</definedName>
    <definedName name="___x25" localSheetId="18" hidden="1">#REF!</definedName>
    <definedName name="___x25" localSheetId="7" hidden="1">#REF!</definedName>
    <definedName name="___x25" localSheetId="23" hidden="1">#REF!</definedName>
    <definedName name="___x25" hidden="1">#REF!</definedName>
    <definedName name="___x28" localSheetId="12" hidden="1">#REF!</definedName>
    <definedName name="___x28" localSheetId="30" hidden="1">#REF!</definedName>
    <definedName name="___x28" localSheetId="28" hidden="1">#REF!</definedName>
    <definedName name="___x28" localSheetId="27" hidden="1">#REF!</definedName>
    <definedName name="___x28" localSheetId="18" hidden="1">#REF!</definedName>
    <definedName name="___x28" localSheetId="7" hidden="1">#REF!</definedName>
    <definedName name="___x28" localSheetId="23" hidden="1">#REF!</definedName>
    <definedName name="___x28" hidden="1">#REF!</definedName>
    <definedName name="___x29" localSheetId="12" hidden="1">#REF!</definedName>
    <definedName name="___x29" localSheetId="30" hidden="1">#REF!</definedName>
    <definedName name="___x29" localSheetId="28" hidden="1">#REF!</definedName>
    <definedName name="___x29" localSheetId="27" hidden="1">#REF!</definedName>
    <definedName name="___x29" localSheetId="18" hidden="1">#REF!</definedName>
    <definedName name="___x29" localSheetId="7" hidden="1">#REF!</definedName>
    <definedName name="___x29" localSheetId="23" hidden="1">#REF!</definedName>
    <definedName name="___x29" hidden="1">#REF!</definedName>
    <definedName name="___x32" localSheetId="12" hidden="1">#REF!</definedName>
    <definedName name="___x32" localSheetId="30" hidden="1">#REF!</definedName>
    <definedName name="___x32" localSheetId="28" hidden="1">#REF!</definedName>
    <definedName name="___x32" localSheetId="27" hidden="1">#REF!</definedName>
    <definedName name="___x32" localSheetId="18" hidden="1">#REF!</definedName>
    <definedName name="___x32" localSheetId="7" hidden="1">#REF!</definedName>
    <definedName name="___x32" localSheetId="23" hidden="1">#REF!</definedName>
    <definedName name="___x32" hidden="1">#REF!</definedName>
    <definedName name="___x4" localSheetId="12" hidden="1">#REF!</definedName>
    <definedName name="___x4" localSheetId="30" hidden="1">#REF!</definedName>
    <definedName name="___x4" localSheetId="28" hidden="1">#REF!</definedName>
    <definedName name="___x4" localSheetId="27" hidden="1">#REF!</definedName>
    <definedName name="___x4" localSheetId="18" hidden="1">#REF!</definedName>
    <definedName name="___x4" localSheetId="7" hidden="1">#REF!</definedName>
    <definedName name="___x4" localSheetId="23" hidden="1">#REF!</definedName>
    <definedName name="___x4" hidden="1">#REF!</definedName>
    <definedName name="___x5" localSheetId="12" hidden="1">#REF!</definedName>
    <definedName name="___x5" localSheetId="30" hidden="1">#REF!</definedName>
    <definedName name="___x5" localSheetId="28" hidden="1">#REF!</definedName>
    <definedName name="___x5" localSheetId="27" hidden="1">#REF!</definedName>
    <definedName name="___x5" localSheetId="18" hidden="1">#REF!</definedName>
    <definedName name="___x5" localSheetId="7" hidden="1">#REF!</definedName>
    <definedName name="___x5" localSheetId="23" hidden="1">#REF!</definedName>
    <definedName name="___x5" hidden="1">#REF!</definedName>
    <definedName name="___x6" localSheetId="12" hidden="1">#REF!</definedName>
    <definedName name="___x6" localSheetId="30" hidden="1">#REF!</definedName>
    <definedName name="___x6" localSheetId="28" hidden="1">#REF!</definedName>
    <definedName name="___x6" localSheetId="27" hidden="1">#REF!</definedName>
    <definedName name="___x6" localSheetId="18" hidden="1">#REF!</definedName>
    <definedName name="___x6" localSheetId="7" hidden="1">#REF!</definedName>
    <definedName name="___x6" localSheetId="23" hidden="1">#REF!</definedName>
    <definedName name="___x6" hidden="1">#REF!</definedName>
    <definedName name="___x7" localSheetId="12" hidden="1">#REF!</definedName>
    <definedName name="___x7" localSheetId="30" hidden="1">#REF!</definedName>
    <definedName name="___x7" localSheetId="28" hidden="1">#REF!</definedName>
    <definedName name="___x7" localSheetId="27" hidden="1">#REF!</definedName>
    <definedName name="___x7" localSheetId="18" hidden="1">#REF!</definedName>
    <definedName name="___x7" localSheetId="7" hidden="1">#REF!</definedName>
    <definedName name="___x7" localSheetId="23" hidden="1">#REF!</definedName>
    <definedName name="___x7" hidden="1">#REF!</definedName>
    <definedName name="___x8" localSheetId="12" hidden="1">#REF!</definedName>
    <definedName name="___x8" localSheetId="30" hidden="1">#REF!</definedName>
    <definedName name="___x8" localSheetId="28" hidden="1">#REF!</definedName>
    <definedName name="___x8" localSheetId="27" hidden="1">#REF!</definedName>
    <definedName name="___x8" localSheetId="18" hidden="1">#REF!</definedName>
    <definedName name="___x8" localSheetId="7" hidden="1">#REF!</definedName>
    <definedName name="___x8" localSheetId="23" hidden="1">#REF!</definedName>
    <definedName name="___x8" hidden="1">#REF!</definedName>
    <definedName name="___x9" localSheetId="12" hidden="1">#REF!</definedName>
    <definedName name="___x9" localSheetId="30" hidden="1">#REF!</definedName>
    <definedName name="___x9" localSheetId="28" hidden="1">#REF!</definedName>
    <definedName name="___x9" localSheetId="27" hidden="1">#REF!</definedName>
    <definedName name="___x9" localSheetId="18" hidden="1">#REF!</definedName>
    <definedName name="___x9" localSheetId="7" hidden="1">#REF!</definedName>
    <definedName name="___x9" localSheetId="23" hidden="1">#REF!</definedName>
    <definedName name="___x9" hidden="1">#REF!</definedName>
    <definedName name="__123Graph_A" localSheetId="12" hidden="1">#REF!</definedName>
    <definedName name="__123Graph_A" localSheetId="30" hidden="1">#REF!</definedName>
    <definedName name="__123Graph_A" localSheetId="28" hidden="1">#REF!</definedName>
    <definedName name="__123Graph_A" localSheetId="27" hidden="1">#REF!</definedName>
    <definedName name="__123Graph_A" localSheetId="18" hidden="1">#REF!</definedName>
    <definedName name="__123Graph_A" localSheetId="7" hidden="1">#REF!</definedName>
    <definedName name="__123Graph_A" localSheetId="23" hidden="1">#REF!</definedName>
    <definedName name="__123Graph_A" hidden="1">#REF!</definedName>
    <definedName name="__123Graph_AChart1" localSheetId="12" hidden="1">#REF!</definedName>
    <definedName name="__123Graph_AChart1" localSheetId="30" hidden="1">#REF!</definedName>
    <definedName name="__123Graph_AChart1" localSheetId="28" hidden="1">#REF!</definedName>
    <definedName name="__123Graph_AChart1" localSheetId="27" hidden="1">#REF!</definedName>
    <definedName name="__123Graph_AChart1" localSheetId="18" hidden="1">#REF!</definedName>
    <definedName name="__123Graph_AChart1" localSheetId="7" hidden="1">#REF!</definedName>
    <definedName name="__123Graph_AChart1" localSheetId="23" hidden="1">#REF!</definedName>
    <definedName name="__123Graph_AChart1" hidden="1">#REF!</definedName>
    <definedName name="__123Graph_ACurrent" localSheetId="12" hidden="1">#REF!</definedName>
    <definedName name="__123Graph_ACurrent" localSheetId="30" hidden="1">#REF!</definedName>
    <definedName name="__123Graph_ACurrent" localSheetId="28" hidden="1">#REF!</definedName>
    <definedName name="__123Graph_ACurrent" localSheetId="27" hidden="1">#REF!</definedName>
    <definedName name="__123Graph_ACurrent" localSheetId="18" hidden="1">#REF!</definedName>
    <definedName name="__123Graph_ACurrent" localSheetId="7" hidden="1">#REF!</definedName>
    <definedName name="__123Graph_ACurrent" localSheetId="23" hidden="1">#REF!</definedName>
    <definedName name="__123Graph_ACurrent" hidden="1">#REF!</definedName>
    <definedName name="__123Graph_ACUSTO" localSheetId="12" hidden="1">#REF!</definedName>
    <definedName name="__123Graph_ACUSTO" localSheetId="30" hidden="1">#REF!</definedName>
    <definedName name="__123Graph_ACUSTO" localSheetId="28" hidden="1">#REF!</definedName>
    <definedName name="__123Graph_ACUSTO" localSheetId="27" hidden="1">#REF!</definedName>
    <definedName name="__123Graph_ACUSTO" localSheetId="18" hidden="1">#REF!</definedName>
    <definedName name="__123Graph_ACUSTO" localSheetId="7" hidden="1">#REF!</definedName>
    <definedName name="__123Graph_ACUSTO" localSheetId="23" hidden="1">#REF!</definedName>
    <definedName name="__123Graph_ACUSTO" hidden="1">#REF!</definedName>
    <definedName name="__123Graph_AFAT" localSheetId="12" hidden="1">#REF!</definedName>
    <definedName name="__123Graph_AFAT" localSheetId="30" hidden="1">#REF!</definedName>
    <definedName name="__123Graph_AFAT" localSheetId="28" hidden="1">#REF!</definedName>
    <definedName name="__123Graph_AFAT" localSheetId="27" hidden="1">#REF!</definedName>
    <definedName name="__123Graph_AFAT" localSheetId="18" hidden="1">#REF!</definedName>
    <definedName name="__123Graph_AFAT" localSheetId="7" hidden="1">#REF!</definedName>
    <definedName name="__123Graph_AFAT" localSheetId="23" hidden="1">#REF!</definedName>
    <definedName name="__123Graph_AFAT" hidden="1">#REF!</definedName>
    <definedName name="__123Graph_AGRA1" hidden="1">#REF!</definedName>
    <definedName name="__123Graph_ARES" localSheetId="12" hidden="1">#REF!</definedName>
    <definedName name="__123Graph_ARES" localSheetId="30" hidden="1">#REF!</definedName>
    <definedName name="__123Graph_ARES" localSheetId="28" hidden="1">#REF!</definedName>
    <definedName name="__123Graph_ARES" localSheetId="27" hidden="1">#REF!</definedName>
    <definedName name="__123Graph_ARES" localSheetId="18" hidden="1">#REF!</definedName>
    <definedName name="__123Graph_ARES" localSheetId="7" hidden="1">#REF!</definedName>
    <definedName name="__123Graph_ARES" localSheetId="23" hidden="1">#REF!</definedName>
    <definedName name="__123Graph_ARES" hidden="1">#REF!</definedName>
    <definedName name="__123Graph_B" hidden="1">#REF!</definedName>
    <definedName name="__123Graph_BChart1" localSheetId="12" hidden="1">#REF!</definedName>
    <definedName name="__123Graph_BChart1" localSheetId="30" hidden="1">#REF!</definedName>
    <definedName name="__123Graph_BChart1" localSheetId="28" hidden="1">#REF!</definedName>
    <definedName name="__123Graph_BChart1" localSheetId="27" hidden="1">#REF!</definedName>
    <definedName name="__123Graph_BChart1" localSheetId="18" hidden="1">#REF!</definedName>
    <definedName name="__123Graph_BChart1" localSheetId="7" hidden="1">#REF!</definedName>
    <definedName name="__123Graph_BChart1" localSheetId="23" hidden="1">#REF!</definedName>
    <definedName name="__123Graph_BChart1" hidden="1">#REF!</definedName>
    <definedName name="__123Graph_BCurrent" localSheetId="12" hidden="1">#REF!</definedName>
    <definedName name="__123Graph_BCurrent" localSheetId="30" hidden="1">#REF!</definedName>
    <definedName name="__123Graph_BCurrent" localSheetId="28" hidden="1">#REF!</definedName>
    <definedName name="__123Graph_BCurrent" localSheetId="27" hidden="1">#REF!</definedName>
    <definedName name="__123Graph_BCurrent" localSheetId="18" hidden="1">#REF!</definedName>
    <definedName name="__123Graph_BCurrent" localSheetId="7" hidden="1">#REF!</definedName>
    <definedName name="__123Graph_BCurrent" localSheetId="23" hidden="1">#REF!</definedName>
    <definedName name="__123Graph_BCurrent" hidden="1">#REF!</definedName>
    <definedName name="__123Graph_BCUSTO" localSheetId="12" hidden="1">#REF!</definedName>
    <definedName name="__123Graph_BCUSTO" localSheetId="30" hidden="1">#REF!</definedName>
    <definedName name="__123Graph_BCUSTO" localSheetId="28" hidden="1">#REF!</definedName>
    <definedName name="__123Graph_BCUSTO" localSheetId="27" hidden="1">#REF!</definedName>
    <definedName name="__123Graph_BCUSTO" localSheetId="18" hidden="1">#REF!</definedName>
    <definedName name="__123Graph_BCUSTO" localSheetId="7" hidden="1">#REF!</definedName>
    <definedName name="__123Graph_BCUSTO" localSheetId="23" hidden="1">#REF!</definedName>
    <definedName name="__123Graph_BCUSTO" hidden="1">#REF!</definedName>
    <definedName name="__123Graph_BFAT" localSheetId="12" hidden="1">#REF!</definedName>
    <definedName name="__123Graph_BFAT" localSheetId="30" hidden="1">#REF!</definedName>
    <definedName name="__123Graph_BFAT" localSheetId="28" hidden="1">#REF!</definedName>
    <definedName name="__123Graph_BFAT" localSheetId="27" hidden="1">#REF!</definedName>
    <definedName name="__123Graph_BFAT" localSheetId="18" hidden="1">#REF!</definedName>
    <definedName name="__123Graph_BFAT" localSheetId="7" hidden="1">#REF!</definedName>
    <definedName name="__123Graph_BFAT" localSheetId="23" hidden="1">#REF!</definedName>
    <definedName name="__123Graph_BFAT" hidden="1">#REF!</definedName>
    <definedName name="__123Graph_BPERFORMANCE" localSheetId="12" hidden="1">#REF!</definedName>
    <definedName name="__123Graph_BPERFORMANCE" localSheetId="30" hidden="1">#REF!</definedName>
    <definedName name="__123Graph_BPERFORMANCE" localSheetId="28" hidden="1">#REF!</definedName>
    <definedName name="__123Graph_BPERFORMANCE" localSheetId="27" hidden="1">#REF!</definedName>
    <definedName name="__123Graph_BPERFORMANCE" localSheetId="18" hidden="1">#REF!</definedName>
    <definedName name="__123Graph_BPERFORMANCE" localSheetId="7" hidden="1">#REF!</definedName>
    <definedName name="__123Graph_BPERFORMANCE" localSheetId="23" hidden="1">#REF!</definedName>
    <definedName name="__123Graph_BPERFORMANCE" hidden="1">#REF!</definedName>
    <definedName name="__123Graph_BRES" localSheetId="12" hidden="1">#REF!</definedName>
    <definedName name="__123Graph_BRES" localSheetId="30" hidden="1">#REF!</definedName>
    <definedName name="__123Graph_BRES" localSheetId="28" hidden="1">#REF!</definedName>
    <definedName name="__123Graph_BRES" localSheetId="27" hidden="1">#REF!</definedName>
    <definedName name="__123Graph_BRES" localSheetId="18" hidden="1">#REF!</definedName>
    <definedName name="__123Graph_BRES" localSheetId="7" hidden="1">#REF!</definedName>
    <definedName name="__123Graph_BRES" localSheetId="23" hidden="1">#REF!</definedName>
    <definedName name="__123Graph_BRES" hidden="1">#REF!</definedName>
    <definedName name="__123Graph_C" localSheetId="12" hidden="1">#REF!</definedName>
    <definedName name="__123Graph_C" localSheetId="30" hidden="1">#REF!</definedName>
    <definedName name="__123Graph_C" localSheetId="28" hidden="1">#REF!</definedName>
    <definedName name="__123Graph_C" localSheetId="27" hidden="1">#REF!</definedName>
    <definedName name="__123Graph_C" localSheetId="18" hidden="1">#REF!</definedName>
    <definedName name="__123Graph_C" localSheetId="7" hidden="1">#REF!</definedName>
    <definedName name="__123Graph_C" localSheetId="23" hidden="1">#REF!</definedName>
    <definedName name="__123Graph_C" hidden="1">#REF!</definedName>
    <definedName name="__123Graph_D" localSheetId="12" hidden="1">#REF!</definedName>
    <definedName name="__123Graph_D" localSheetId="30" hidden="1">#REF!</definedName>
    <definedName name="__123Graph_D" localSheetId="28" hidden="1">#REF!</definedName>
    <definedName name="__123Graph_D" localSheetId="27" hidden="1">#REF!</definedName>
    <definedName name="__123Graph_D" localSheetId="18" hidden="1">#REF!</definedName>
    <definedName name="__123Graph_D" localSheetId="7" hidden="1">#REF!</definedName>
    <definedName name="__123Graph_D" localSheetId="23" hidden="1">#REF!</definedName>
    <definedName name="__123Graph_D" hidden="1">#REF!</definedName>
    <definedName name="__123Graph_E" localSheetId="12" hidden="1">#REF!</definedName>
    <definedName name="__123Graph_E" localSheetId="30" hidden="1">#REF!</definedName>
    <definedName name="__123Graph_E" localSheetId="28" hidden="1">#REF!</definedName>
    <definedName name="__123Graph_E" localSheetId="27" hidden="1">#REF!</definedName>
    <definedName name="__123Graph_E" localSheetId="18" hidden="1">#REF!</definedName>
    <definedName name="__123Graph_E" localSheetId="7" hidden="1">#REF!</definedName>
    <definedName name="__123Graph_E" localSheetId="23" hidden="1">#REF!</definedName>
    <definedName name="__123Graph_E" hidden="1">#REF!</definedName>
    <definedName name="__123Graph_F" localSheetId="12" hidden="1">#REF!</definedName>
    <definedName name="__123Graph_F" localSheetId="30" hidden="1">#REF!</definedName>
    <definedName name="__123Graph_F" localSheetId="28" hidden="1">#REF!</definedName>
    <definedName name="__123Graph_F" localSheetId="27" hidden="1">#REF!</definedName>
    <definedName name="__123Graph_F" localSheetId="18" hidden="1">#REF!</definedName>
    <definedName name="__123Graph_F" localSheetId="7" hidden="1">#REF!</definedName>
    <definedName name="__123Graph_F" localSheetId="23" hidden="1">#REF!</definedName>
    <definedName name="__123Graph_F" hidden="1">#REF!</definedName>
    <definedName name="__123Graph_LBL_A" localSheetId="12" hidden="1">#REF!</definedName>
    <definedName name="__123Graph_LBL_A" localSheetId="30" hidden="1">#REF!</definedName>
    <definedName name="__123Graph_LBL_A" localSheetId="28" hidden="1">#REF!</definedName>
    <definedName name="__123Graph_LBL_A" localSheetId="27" hidden="1">#REF!</definedName>
    <definedName name="__123Graph_LBL_A" localSheetId="18" hidden="1">#REF!</definedName>
    <definedName name="__123Graph_LBL_A" localSheetId="7" hidden="1">#REF!</definedName>
    <definedName name="__123Graph_LBL_A" localSheetId="23" hidden="1">#REF!</definedName>
    <definedName name="__123Graph_LBL_A" hidden="1">#REF!</definedName>
    <definedName name="__123Graph_LBL_B" localSheetId="12" hidden="1">#REF!</definedName>
    <definedName name="__123Graph_LBL_B" localSheetId="30" hidden="1">#REF!</definedName>
    <definedName name="__123Graph_LBL_B" localSheetId="28" hidden="1">#REF!</definedName>
    <definedName name="__123Graph_LBL_B" localSheetId="27" hidden="1">#REF!</definedName>
    <definedName name="__123Graph_LBL_B" localSheetId="18" hidden="1">#REF!</definedName>
    <definedName name="__123Graph_LBL_B" localSheetId="7" hidden="1">#REF!</definedName>
    <definedName name="__123Graph_LBL_B" localSheetId="23" hidden="1">#REF!</definedName>
    <definedName name="__123Graph_LBL_B" hidden="1">#REF!</definedName>
    <definedName name="__123Graph_X" localSheetId="3" hidden="1">#REF!</definedName>
    <definedName name="__123Graph_X" localSheetId="12" hidden="1">#REF!</definedName>
    <definedName name="__123Graph_X" localSheetId="30" hidden="1">#REF!</definedName>
    <definedName name="__123Graph_X" localSheetId="28" hidden="1">#REF!</definedName>
    <definedName name="__123Graph_X" localSheetId="27" hidden="1">#REF!</definedName>
    <definedName name="__123Graph_X" localSheetId="18" hidden="1">#REF!</definedName>
    <definedName name="__123Graph_X" localSheetId="7" hidden="1">#REF!</definedName>
    <definedName name="__123Graph_X" localSheetId="23" hidden="1">#REF!</definedName>
    <definedName name="__123Graph_X" hidden="1">#REF!</definedName>
    <definedName name="__123Graph_XChart1" localSheetId="12" hidden="1">#REF!</definedName>
    <definedName name="__123Graph_XChart1" localSheetId="30" hidden="1">#REF!</definedName>
    <definedName name="__123Graph_XChart1" localSheetId="28" hidden="1">#REF!</definedName>
    <definedName name="__123Graph_XChart1" localSheetId="27" hidden="1">#REF!</definedName>
    <definedName name="__123Graph_XChart1" localSheetId="18" hidden="1">#REF!</definedName>
    <definedName name="__123Graph_XChart1" localSheetId="7" hidden="1">#REF!</definedName>
    <definedName name="__123Graph_XChart1" localSheetId="23" hidden="1">#REF!</definedName>
    <definedName name="__123Graph_XChart1" hidden="1">#REF!</definedName>
    <definedName name="__123Graph_XCurrent" localSheetId="12" hidden="1">#REF!</definedName>
    <definedName name="__123Graph_XCurrent" localSheetId="30" hidden="1">#REF!</definedName>
    <definedName name="__123Graph_XCurrent" localSheetId="28" hidden="1">#REF!</definedName>
    <definedName name="__123Graph_XCurrent" localSheetId="27" hidden="1">#REF!</definedName>
    <definedName name="__123Graph_XCurrent" localSheetId="18" hidden="1">#REF!</definedName>
    <definedName name="__123Graph_XCurrent" localSheetId="7" hidden="1">#REF!</definedName>
    <definedName name="__123Graph_XCurrent" localSheetId="23" hidden="1">#REF!</definedName>
    <definedName name="__123Graph_XCurrent" hidden="1">#REF!</definedName>
    <definedName name="__123Graph_XCUSTO" localSheetId="12" hidden="1">#REF!</definedName>
    <definedName name="__123Graph_XCUSTO" localSheetId="30" hidden="1">#REF!</definedName>
    <definedName name="__123Graph_XCUSTO" localSheetId="28" hidden="1">#REF!</definedName>
    <definedName name="__123Graph_XCUSTO" localSheetId="27" hidden="1">#REF!</definedName>
    <definedName name="__123Graph_XCUSTO" localSheetId="18" hidden="1">#REF!</definedName>
    <definedName name="__123Graph_XCUSTO" localSheetId="7" hidden="1">#REF!</definedName>
    <definedName name="__123Graph_XCUSTO" localSheetId="23" hidden="1">#REF!</definedName>
    <definedName name="__123Graph_XCUSTO" hidden="1">#REF!</definedName>
    <definedName name="__123Graph_XFAT" localSheetId="12" hidden="1">#REF!</definedName>
    <definedName name="__123Graph_XFAT" localSheetId="30" hidden="1">#REF!</definedName>
    <definedName name="__123Graph_XFAT" localSheetId="28" hidden="1">#REF!</definedName>
    <definedName name="__123Graph_XFAT" localSheetId="27" hidden="1">#REF!</definedName>
    <definedName name="__123Graph_XFAT" localSheetId="18" hidden="1">#REF!</definedName>
    <definedName name="__123Graph_XFAT" localSheetId="7" hidden="1">#REF!</definedName>
    <definedName name="__123Graph_XFAT" localSheetId="23" hidden="1">#REF!</definedName>
    <definedName name="__123Graph_XFAT" hidden="1">#REF!</definedName>
    <definedName name="__123Graph_XGRA1" hidden="1">#REF!</definedName>
    <definedName name="__123Graph_XRES" localSheetId="12" hidden="1">#REF!</definedName>
    <definedName name="__123Graph_XRES" localSheetId="30" hidden="1">#REF!</definedName>
    <definedName name="__123Graph_XRES" localSheetId="28" hidden="1">#REF!</definedName>
    <definedName name="__123Graph_XRES" localSheetId="27" hidden="1">#REF!</definedName>
    <definedName name="__123Graph_XRES" localSheetId="18" hidden="1">#REF!</definedName>
    <definedName name="__123Graph_XRES" localSheetId="7" hidden="1">#REF!</definedName>
    <definedName name="__123Graph_XRES" localSheetId="23" hidden="1">#REF!</definedName>
    <definedName name="__123Graph_XRES" hidden="1">#REF!</definedName>
    <definedName name="__ACR10" localSheetId="12">#REF!</definedName>
    <definedName name="__ACR10" localSheetId="30">#REF!</definedName>
    <definedName name="__ACR10" localSheetId="28">#REF!</definedName>
    <definedName name="__ACR10" localSheetId="27">#REF!</definedName>
    <definedName name="__ACR10" localSheetId="18">#REF!</definedName>
    <definedName name="__ACR10" localSheetId="7">#REF!</definedName>
    <definedName name="__ACR10" localSheetId="23">#REF!</definedName>
    <definedName name="__ACR10">#REF!</definedName>
    <definedName name="__ACR15" localSheetId="12">#REF!</definedName>
    <definedName name="__ACR15" localSheetId="30">#REF!</definedName>
    <definedName name="__ACR15" localSheetId="28">#REF!</definedName>
    <definedName name="__ACR15" localSheetId="27">#REF!</definedName>
    <definedName name="__ACR15" localSheetId="18">#REF!</definedName>
    <definedName name="__ACR15" localSheetId="7">#REF!</definedName>
    <definedName name="__ACR15" localSheetId="23">#REF!</definedName>
    <definedName name="__ACR15">#REF!</definedName>
    <definedName name="__acr20" localSheetId="12">#REF!</definedName>
    <definedName name="__acr20" localSheetId="30">#REF!</definedName>
    <definedName name="__acr20" localSheetId="28">#REF!</definedName>
    <definedName name="__acr20" localSheetId="27">#REF!</definedName>
    <definedName name="__acr20" localSheetId="18">#REF!</definedName>
    <definedName name="__acr20" localSheetId="7">#REF!</definedName>
    <definedName name="__acr20" localSheetId="23">#REF!</definedName>
    <definedName name="__acr20">#REF!</definedName>
    <definedName name="__acr5" localSheetId="12">#REF!</definedName>
    <definedName name="__acr5" localSheetId="30">#REF!</definedName>
    <definedName name="__acr5" localSheetId="28">#REF!</definedName>
    <definedName name="__acr5" localSheetId="27">#REF!</definedName>
    <definedName name="__acr5" localSheetId="18">#REF!</definedName>
    <definedName name="__acr5" localSheetId="7">#REF!</definedName>
    <definedName name="__acr5" localSheetId="23">#REF!</definedName>
    <definedName name="__acr5">#REF!</definedName>
    <definedName name="__ARQ1" localSheetId="12">#REF!</definedName>
    <definedName name="__ARQ1" localSheetId="30">#REF!</definedName>
    <definedName name="__ARQ1" localSheetId="28">#REF!</definedName>
    <definedName name="__ARQ1" localSheetId="27">#REF!</definedName>
    <definedName name="__ARQ1" localSheetId="18">#REF!</definedName>
    <definedName name="__ARQ1" localSheetId="7">#REF!</definedName>
    <definedName name="__ARQ1" localSheetId="23">#REF!</definedName>
    <definedName name="__ARQ1">#REF!</definedName>
    <definedName name="__Axe3" localSheetId="12">#REF!</definedName>
    <definedName name="__Axe3" localSheetId="30">#REF!</definedName>
    <definedName name="__Axe3" localSheetId="28">#REF!</definedName>
    <definedName name="__Axe3" localSheetId="27">#REF!</definedName>
    <definedName name="__Axe3" localSheetId="18">#REF!</definedName>
    <definedName name="__Axe3" localSheetId="7">#REF!</definedName>
    <definedName name="__Axe3" localSheetId="23">#REF!</definedName>
    <definedName name="__Axe3">#REF!</definedName>
    <definedName name="__Axe4" localSheetId="12">#REF!</definedName>
    <definedName name="__Axe4" localSheetId="30">#REF!</definedName>
    <definedName name="__Axe4" localSheetId="28">#REF!</definedName>
    <definedName name="__Axe4" localSheetId="27">#REF!</definedName>
    <definedName name="__Axe4" localSheetId="18">#REF!</definedName>
    <definedName name="__Axe4" localSheetId="7">#REF!</definedName>
    <definedName name="__Axe4" localSheetId="23">#REF!</definedName>
    <definedName name="__Axe4">#REF!</definedName>
    <definedName name="__CO2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 localSheetId="12">#REF!</definedName>
    <definedName name="__htm2" localSheetId="30">#REF!</definedName>
    <definedName name="__htm2" localSheetId="28">#REF!</definedName>
    <definedName name="__htm2" localSheetId="27">#REF!</definedName>
    <definedName name="__htm2" localSheetId="18">#REF!</definedName>
    <definedName name="__htm2" localSheetId="7">#REF!</definedName>
    <definedName name="__htm2" localSheetId="23">#REF!</definedName>
    <definedName name="__htm2">#REF!</definedName>
    <definedName name="__htn2" localSheetId="12">#REF!</definedName>
    <definedName name="__htn2" localSheetId="30">#REF!</definedName>
    <definedName name="__htn2" localSheetId="28">#REF!</definedName>
    <definedName name="__htn2" localSheetId="27">#REF!</definedName>
    <definedName name="__htn2" localSheetId="18">#REF!</definedName>
    <definedName name="__htn2" localSheetId="7">#REF!</definedName>
    <definedName name="__htn2" localSheetId="23">#REF!</definedName>
    <definedName name="__htn2">#REF!</definedName>
    <definedName name="__iss2" localSheetId="12">#REF!</definedName>
    <definedName name="__iss2" localSheetId="30">#REF!</definedName>
    <definedName name="__iss2" localSheetId="28">#REF!</definedName>
    <definedName name="__iss2" localSheetId="27">#REF!</definedName>
    <definedName name="__iss2" localSheetId="18">#REF!</definedName>
    <definedName name="__iss2" localSheetId="7">#REF!</definedName>
    <definedName name="__iss2" localSheetId="23">#REF!</definedName>
    <definedName name="__iss2">#REF!</definedName>
    <definedName name="__key2" localSheetId="12" hidden="1">#REF!</definedName>
    <definedName name="__key2" localSheetId="30" hidden="1">#REF!</definedName>
    <definedName name="__key2" localSheetId="28" hidden="1">#REF!</definedName>
    <definedName name="__key2" localSheetId="27" hidden="1">#REF!</definedName>
    <definedName name="__key2" localSheetId="18" hidden="1">#REF!</definedName>
    <definedName name="__key2" localSheetId="7" hidden="1">#REF!</definedName>
    <definedName name="__key2" localSheetId="23" hidden="1">#REF!</definedName>
    <definedName name="__key2" hidden="1">#REF!</definedName>
    <definedName name="__la29" localSheetId="12" hidden="1">#REF!</definedName>
    <definedName name="__la29" localSheetId="30" hidden="1">#REF!</definedName>
    <definedName name="__la29" localSheetId="28" hidden="1">#REF!</definedName>
    <definedName name="__la29" localSheetId="27" hidden="1">#REF!</definedName>
    <definedName name="__la29" localSheetId="18" hidden="1">#REF!</definedName>
    <definedName name="__la29" localSheetId="7" hidden="1">#REF!</definedName>
    <definedName name="__la29" localSheetId="23" hidden="1">#REF!</definedName>
    <definedName name="__la29" hidden="1">#REF!</definedName>
    <definedName name="__la3" localSheetId="12" hidden="1">#REF!</definedName>
    <definedName name="__la3" localSheetId="30" hidden="1">#REF!</definedName>
    <definedName name="__la3" localSheetId="28" hidden="1">#REF!</definedName>
    <definedName name="__la3" localSheetId="27" hidden="1">#REF!</definedName>
    <definedName name="__la3" localSheetId="18" hidden="1">#REF!</definedName>
    <definedName name="__la3" localSheetId="7" hidden="1">#REF!</definedName>
    <definedName name="__la3" localSheetId="23" hidden="1">#REF!</definedName>
    <definedName name="__la3" hidden="1">#REF!</definedName>
    <definedName name="__la31" localSheetId="12" hidden="1">#REF!</definedName>
    <definedName name="__la31" localSheetId="30" hidden="1">#REF!</definedName>
    <definedName name="__la31" localSheetId="28" hidden="1">#REF!</definedName>
    <definedName name="__la31" localSheetId="27" hidden="1">#REF!</definedName>
    <definedName name="__la31" localSheetId="18" hidden="1">#REF!</definedName>
    <definedName name="__la31" localSheetId="7" hidden="1">#REF!</definedName>
    <definedName name="__la31" localSheetId="23" hidden="1">#REF!</definedName>
    <definedName name="__la31" hidden="1">#REF!</definedName>
    <definedName name="__la32" localSheetId="12" hidden="1">#REF!</definedName>
    <definedName name="__la32" localSheetId="30" hidden="1">#REF!</definedName>
    <definedName name="__la32" localSheetId="28" hidden="1">#REF!</definedName>
    <definedName name="__la32" localSheetId="27" hidden="1">#REF!</definedName>
    <definedName name="__la32" localSheetId="18" hidden="1">#REF!</definedName>
    <definedName name="__la32" localSheetId="7" hidden="1">#REF!</definedName>
    <definedName name="__la32" localSheetId="23" hidden="1">#REF!</definedName>
    <definedName name="__la32" hidden="1">#REF!</definedName>
    <definedName name="__la4" localSheetId="12" hidden="1">#REF!</definedName>
    <definedName name="__la4" localSheetId="30" hidden="1">#REF!</definedName>
    <definedName name="__la4" localSheetId="28" hidden="1">#REF!</definedName>
    <definedName name="__la4" localSheetId="27" hidden="1">#REF!</definedName>
    <definedName name="__la4" localSheetId="18" hidden="1">#REF!</definedName>
    <definedName name="__la4" localSheetId="7" hidden="1">#REF!</definedName>
    <definedName name="__la4" localSheetId="23" hidden="1">#REF!</definedName>
    <definedName name="__la4" hidden="1">#REF!</definedName>
    <definedName name="__la5" localSheetId="12" hidden="1">#REF!</definedName>
    <definedName name="__la5" localSheetId="30" hidden="1">#REF!</definedName>
    <definedName name="__la5" localSheetId="28" hidden="1">#REF!</definedName>
    <definedName name="__la5" localSheetId="27" hidden="1">#REF!</definedName>
    <definedName name="__la5" localSheetId="18" hidden="1">#REF!</definedName>
    <definedName name="__la5" localSheetId="7" hidden="1">#REF!</definedName>
    <definedName name="__la5" localSheetId="23" hidden="1">#REF!</definedName>
    <definedName name="__la5" hidden="1">#REF!</definedName>
    <definedName name="__la6" localSheetId="12" hidden="1">#REF!</definedName>
    <definedName name="__la6" localSheetId="30" hidden="1">#REF!</definedName>
    <definedName name="__la6" localSheetId="28" hidden="1">#REF!</definedName>
    <definedName name="__la6" localSheetId="27" hidden="1">#REF!</definedName>
    <definedName name="__la6" localSheetId="18" hidden="1">#REF!</definedName>
    <definedName name="__la6" localSheetId="7" hidden="1">#REF!</definedName>
    <definedName name="__la6" localSheetId="23" hidden="1">#REF!</definedName>
    <definedName name="__la6" hidden="1">#REF!</definedName>
    <definedName name="__la7" localSheetId="12" hidden="1">#REF!</definedName>
    <definedName name="__la7" localSheetId="30" hidden="1">#REF!</definedName>
    <definedName name="__la7" localSheetId="28" hidden="1">#REF!</definedName>
    <definedName name="__la7" localSheetId="27" hidden="1">#REF!</definedName>
    <definedName name="__la7" localSheetId="18" hidden="1">#REF!</definedName>
    <definedName name="__la7" localSheetId="7" hidden="1">#REF!</definedName>
    <definedName name="__la7" localSheetId="23" hidden="1">#REF!</definedName>
    <definedName name="__la7" hidden="1">#REF!</definedName>
    <definedName name="__la8" localSheetId="12" hidden="1">#REF!</definedName>
    <definedName name="__la8" localSheetId="30" hidden="1">#REF!</definedName>
    <definedName name="__la8" localSheetId="28" hidden="1">#REF!</definedName>
    <definedName name="__la8" localSheetId="27" hidden="1">#REF!</definedName>
    <definedName name="__la8" localSheetId="18" hidden="1">#REF!</definedName>
    <definedName name="__la8" localSheetId="7" hidden="1">#REF!</definedName>
    <definedName name="__la8" localSheetId="23" hidden="1">#REF!</definedName>
    <definedName name="__la8" hidden="1">#REF!</definedName>
    <definedName name="__la9" localSheetId="12" hidden="1">#REF!</definedName>
    <definedName name="__la9" localSheetId="30" hidden="1">#REF!</definedName>
    <definedName name="__la9" localSheetId="28" hidden="1">#REF!</definedName>
    <definedName name="__la9" localSheetId="27" hidden="1">#REF!</definedName>
    <definedName name="__la9" localSheetId="18" hidden="1">#REF!</definedName>
    <definedName name="__la9" localSheetId="7" hidden="1">#REF!</definedName>
    <definedName name="__la9" localSheetId="23" hidden="1">#REF!</definedName>
    <definedName name="__la9" hidden="1">#REF!</definedName>
    <definedName name="__lb1" localSheetId="12" hidden="1">#REF!</definedName>
    <definedName name="__lb1" localSheetId="30" hidden="1">#REF!</definedName>
    <definedName name="__lb1" localSheetId="28" hidden="1">#REF!</definedName>
    <definedName name="__lb1" localSheetId="27" hidden="1">#REF!</definedName>
    <definedName name="__lb1" localSheetId="18" hidden="1">#REF!</definedName>
    <definedName name="__lb1" localSheetId="7" hidden="1">#REF!</definedName>
    <definedName name="__lb1" localSheetId="23" hidden="1">#REF!</definedName>
    <definedName name="__lb1" hidden="1">#REF!</definedName>
    <definedName name="__lb10" localSheetId="12" hidden="1">#REF!</definedName>
    <definedName name="__lb10" localSheetId="30" hidden="1">#REF!</definedName>
    <definedName name="__lb10" localSheetId="28" hidden="1">#REF!</definedName>
    <definedName name="__lb10" localSheetId="27" hidden="1">#REF!</definedName>
    <definedName name="__lb10" localSheetId="18" hidden="1">#REF!</definedName>
    <definedName name="__lb10" localSheetId="7" hidden="1">#REF!</definedName>
    <definedName name="__lb10" localSheetId="23" hidden="1">#REF!</definedName>
    <definedName name="__lb10" hidden="1">#REF!</definedName>
    <definedName name="__lb11" localSheetId="12" hidden="1">#REF!</definedName>
    <definedName name="__lb11" localSheetId="30" hidden="1">#REF!</definedName>
    <definedName name="__lb11" localSheetId="28" hidden="1">#REF!</definedName>
    <definedName name="__lb11" localSheetId="27" hidden="1">#REF!</definedName>
    <definedName name="__lb11" localSheetId="18" hidden="1">#REF!</definedName>
    <definedName name="__lb11" localSheetId="7" hidden="1">#REF!</definedName>
    <definedName name="__lb11" localSheetId="23" hidden="1">#REF!</definedName>
    <definedName name="__lb11" hidden="1">#REF!</definedName>
    <definedName name="__lb12" localSheetId="12" hidden="1">#REF!</definedName>
    <definedName name="__lb12" localSheetId="30" hidden="1">#REF!</definedName>
    <definedName name="__lb12" localSheetId="28" hidden="1">#REF!</definedName>
    <definedName name="__lb12" localSheetId="27" hidden="1">#REF!</definedName>
    <definedName name="__lb12" localSheetId="18" hidden="1">#REF!</definedName>
    <definedName name="__lb12" localSheetId="7" hidden="1">#REF!</definedName>
    <definedName name="__lb12" localSheetId="23" hidden="1">#REF!</definedName>
    <definedName name="__lb12" hidden="1">#REF!</definedName>
    <definedName name="__lb13" localSheetId="12" hidden="1">#REF!</definedName>
    <definedName name="__lb13" localSheetId="30" hidden="1">#REF!</definedName>
    <definedName name="__lb13" localSheetId="28" hidden="1">#REF!</definedName>
    <definedName name="__lb13" localSheetId="27" hidden="1">#REF!</definedName>
    <definedName name="__lb13" localSheetId="18" hidden="1">#REF!</definedName>
    <definedName name="__lb13" localSheetId="7" hidden="1">#REF!</definedName>
    <definedName name="__lb13" localSheetId="23" hidden="1">#REF!</definedName>
    <definedName name="__lb13" hidden="1">#REF!</definedName>
    <definedName name="__lb14" localSheetId="12" hidden="1">#REF!</definedName>
    <definedName name="__lb14" localSheetId="30" hidden="1">#REF!</definedName>
    <definedName name="__lb14" localSheetId="28" hidden="1">#REF!</definedName>
    <definedName name="__lb14" localSheetId="27" hidden="1">#REF!</definedName>
    <definedName name="__lb14" localSheetId="18" hidden="1">#REF!</definedName>
    <definedName name="__lb14" localSheetId="7" hidden="1">#REF!</definedName>
    <definedName name="__lb14" localSheetId="23" hidden="1">#REF!</definedName>
    <definedName name="__lb14" hidden="1">#REF!</definedName>
    <definedName name="__lb15" localSheetId="12" hidden="1">#REF!</definedName>
    <definedName name="__lb15" localSheetId="30" hidden="1">#REF!</definedName>
    <definedName name="__lb15" localSheetId="28" hidden="1">#REF!</definedName>
    <definedName name="__lb15" localSheetId="27" hidden="1">#REF!</definedName>
    <definedName name="__lb15" localSheetId="18" hidden="1">#REF!</definedName>
    <definedName name="__lb15" localSheetId="7" hidden="1">#REF!</definedName>
    <definedName name="__lb15" localSheetId="23" hidden="1">#REF!</definedName>
    <definedName name="__lb15" hidden="1">#REF!</definedName>
    <definedName name="__lb16" localSheetId="12" hidden="1">#REF!</definedName>
    <definedName name="__lb16" localSheetId="30" hidden="1">#REF!</definedName>
    <definedName name="__lb16" localSheetId="28" hidden="1">#REF!</definedName>
    <definedName name="__lb16" localSheetId="27" hidden="1">#REF!</definedName>
    <definedName name="__lb16" localSheetId="18" hidden="1">#REF!</definedName>
    <definedName name="__lb16" localSheetId="7" hidden="1">#REF!</definedName>
    <definedName name="__lb16" localSheetId="23" hidden="1">#REF!</definedName>
    <definedName name="__lb16" hidden="1">#REF!</definedName>
    <definedName name="__lb17" localSheetId="12" hidden="1">#REF!</definedName>
    <definedName name="__lb17" localSheetId="30" hidden="1">#REF!</definedName>
    <definedName name="__lb17" localSheetId="28" hidden="1">#REF!</definedName>
    <definedName name="__lb17" localSheetId="27" hidden="1">#REF!</definedName>
    <definedName name="__lb17" localSheetId="18" hidden="1">#REF!</definedName>
    <definedName name="__lb17" localSheetId="7" hidden="1">#REF!</definedName>
    <definedName name="__lb17" localSheetId="23" hidden="1">#REF!</definedName>
    <definedName name="__lb17" hidden="1">#REF!</definedName>
    <definedName name="__lb18" localSheetId="12" hidden="1">#REF!</definedName>
    <definedName name="__lb18" localSheetId="30" hidden="1">#REF!</definedName>
    <definedName name="__lb18" localSheetId="28" hidden="1">#REF!</definedName>
    <definedName name="__lb18" localSheetId="27" hidden="1">#REF!</definedName>
    <definedName name="__lb18" localSheetId="18" hidden="1">#REF!</definedName>
    <definedName name="__lb18" localSheetId="7" hidden="1">#REF!</definedName>
    <definedName name="__lb18" localSheetId="23" hidden="1">#REF!</definedName>
    <definedName name="__lb18" hidden="1">#REF!</definedName>
    <definedName name="__lb19" localSheetId="12" hidden="1">#REF!</definedName>
    <definedName name="__lb19" localSheetId="30" hidden="1">#REF!</definedName>
    <definedName name="__lb19" localSheetId="28" hidden="1">#REF!</definedName>
    <definedName name="__lb19" localSheetId="27" hidden="1">#REF!</definedName>
    <definedName name="__lb19" localSheetId="18" hidden="1">#REF!</definedName>
    <definedName name="__lb19" localSheetId="7" hidden="1">#REF!</definedName>
    <definedName name="__lb19" localSheetId="23" hidden="1">#REF!</definedName>
    <definedName name="__lb19" hidden="1">#REF!</definedName>
    <definedName name="__lb2" localSheetId="12" hidden="1">#REF!</definedName>
    <definedName name="__lb2" localSheetId="30" hidden="1">#REF!</definedName>
    <definedName name="__lb2" localSheetId="28" hidden="1">#REF!</definedName>
    <definedName name="__lb2" localSheetId="27" hidden="1">#REF!</definedName>
    <definedName name="__lb2" localSheetId="18" hidden="1">#REF!</definedName>
    <definedName name="__lb2" localSheetId="7" hidden="1">#REF!</definedName>
    <definedName name="__lb2" localSheetId="23" hidden="1">#REF!</definedName>
    <definedName name="__lb2" hidden="1">#REF!</definedName>
    <definedName name="__lb20" localSheetId="12" hidden="1">#REF!</definedName>
    <definedName name="__lb20" localSheetId="30" hidden="1">#REF!</definedName>
    <definedName name="__lb20" localSheetId="28" hidden="1">#REF!</definedName>
    <definedName name="__lb20" localSheetId="27" hidden="1">#REF!</definedName>
    <definedName name="__lb20" localSheetId="18" hidden="1">#REF!</definedName>
    <definedName name="__lb20" localSheetId="7" hidden="1">#REF!</definedName>
    <definedName name="__lb20" localSheetId="23" hidden="1">#REF!</definedName>
    <definedName name="__lb20" hidden="1">#REF!</definedName>
    <definedName name="__lb21" localSheetId="12" hidden="1">#REF!</definedName>
    <definedName name="__lb21" localSheetId="30" hidden="1">#REF!</definedName>
    <definedName name="__lb21" localSheetId="28" hidden="1">#REF!</definedName>
    <definedName name="__lb21" localSheetId="27" hidden="1">#REF!</definedName>
    <definedName name="__lb21" localSheetId="18" hidden="1">#REF!</definedName>
    <definedName name="__lb21" localSheetId="7" hidden="1">#REF!</definedName>
    <definedName name="__lb21" localSheetId="23" hidden="1">#REF!</definedName>
    <definedName name="__lb21" hidden="1">#REF!</definedName>
    <definedName name="__lb22" localSheetId="12" hidden="1">#REF!</definedName>
    <definedName name="__lb22" localSheetId="30" hidden="1">#REF!</definedName>
    <definedName name="__lb22" localSheetId="28" hidden="1">#REF!</definedName>
    <definedName name="__lb22" localSheetId="27" hidden="1">#REF!</definedName>
    <definedName name="__lb22" localSheetId="18" hidden="1">#REF!</definedName>
    <definedName name="__lb22" localSheetId="7" hidden="1">#REF!</definedName>
    <definedName name="__lb22" localSheetId="23" hidden="1">#REF!</definedName>
    <definedName name="__lb22" hidden="1">#REF!</definedName>
    <definedName name="__lb23" localSheetId="12" hidden="1">#REF!</definedName>
    <definedName name="__lb23" localSheetId="30" hidden="1">#REF!</definedName>
    <definedName name="__lb23" localSheetId="28" hidden="1">#REF!</definedName>
    <definedName name="__lb23" localSheetId="27" hidden="1">#REF!</definedName>
    <definedName name="__lb23" localSheetId="18" hidden="1">#REF!</definedName>
    <definedName name="__lb23" localSheetId="7" hidden="1">#REF!</definedName>
    <definedName name="__lb23" localSheetId="23" hidden="1">#REF!</definedName>
    <definedName name="__lb23" hidden="1">#REF!</definedName>
    <definedName name="__lb24" localSheetId="12" hidden="1">#REF!</definedName>
    <definedName name="__lb24" localSheetId="30" hidden="1">#REF!</definedName>
    <definedName name="__lb24" localSheetId="28" hidden="1">#REF!</definedName>
    <definedName name="__lb24" localSheetId="27" hidden="1">#REF!</definedName>
    <definedName name="__lb24" localSheetId="18" hidden="1">#REF!</definedName>
    <definedName name="__lb24" localSheetId="7" hidden="1">#REF!</definedName>
    <definedName name="__lb24" localSheetId="23" hidden="1">#REF!</definedName>
    <definedName name="__lb24" hidden="1">#REF!</definedName>
    <definedName name="__lb25" localSheetId="12" hidden="1">#REF!</definedName>
    <definedName name="__lb25" localSheetId="30" hidden="1">#REF!</definedName>
    <definedName name="__lb25" localSheetId="28" hidden="1">#REF!</definedName>
    <definedName name="__lb25" localSheetId="27" hidden="1">#REF!</definedName>
    <definedName name="__lb25" localSheetId="18" hidden="1">#REF!</definedName>
    <definedName name="__lb25" localSheetId="7" hidden="1">#REF!</definedName>
    <definedName name="__lb25" localSheetId="23" hidden="1">#REF!</definedName>
    <definedName name="__lb25" hidden="1">#REF!</definedName>
    <definedName name="__lb27" localSheetId="12" hidden="1">#REF!</definedName>
    <definedName name="__lb27" localSheetId="30" hidden="1">#REF!</definedName>
    <definedName name="__lb27" localSheetId="28" hidden="1">#REF!</definedName>
    <definedName name="__lb27" localSheetId="27" hidden="1">#REF!</definedName>
    <definedName name="__lb27" localSheetId="18" hidden="1">#REF!</definedName>
    <definedName name="__lb27" localSheetId="7" hidden="1">#REF!</definedName>
    <definedName name="__lb27" localSheetId="23" hidden="1">#REF!</definedName>
    <definedName name="__lb27" hidden="1">#REF!</definedName>
    <definedName name="__lb28" localSheetId="12" hidden="1">#REF!</definedName>
    <definedName name="__lb28" localSheetId="30" hidden="1">#REF!</definedName>
    <definedName name="__lb28" localSheetId="28" hidden="1">#REF!</definedName>
    <definedName name="__lb28" localSheetId="27" hidden="1">#REF!</definedName>
    <definedName name="__lb28" localSheetId="18" hidden="1">#REF!</definedName>
    <definedName name="__lb28" localSheetId="7" hidden="1">#REF!</definedName>
    <definedName name="__lb28" localSheetId="23" hidden="1">#REF!</definedName>
    <definedName name="__lb28" hidden="1">#REF!</definedName>
    <definedName name="__lb29" localSheetId="12" hidden="1">#REF!</definedName>
    <definedName name="__lb29" localSheetId="30" hidden="1">#REF!</definedName>
    <definedName name="__lb29" localSheetId="28" hidden="1">#REF!</definedName>
    <definedName name="__lb29" localSheetId="27" hidden="1">#REF!</definedName>
    <definedName name="__lb29" localSheetId="18" hidden="1">#REF!</definedName>
    <definedName name="__lb29" localSheetId="7" hidden="1">#REF!</definedName>
    <definedName name="__lb29" localSheetId="23" hidden="1">#REF!</definedName>
    <definedName name="__lb29" hidden="1">#REF!</definedName>
    <definedName name="__lb3" localSheetId="12" hidden="1">#REF!</definedName>
    <definedName name="__lb3" localSheetId="30" hidden="1">#REF!</definedName>
    <definedName name="__lb3" localSheetId="28" hidden="1">#REF!</definedName>
    <definedName name="__lb3" localSheetId="27" hidden="1">#REF!</definedName>
    <definedName name="__lb3" localSheetId="18" hidden="1">#REF!</definedName>
    <definedName name="__lb3" localSheetId="7" hidden="1">#REF!</definedName>
    <definedName name="__lb3" localSheetId="23" hidden="1">#REF!</definedName>
    <definedName name="__lb3" hidden="1">#REF!</definedName>
    <definedName name="__lb30" localSheetId="12" hidden="1">#REF!</definedName>
    <definedName name="__lb30" localSheetId="30" hidden="1">#REF!</definedName>
    <definedName name="__lb30" localSheetId="28" hidden="1">#REF!</definedName>
    <definedName name="__lb30" localSheetId="27" hidden="1">#REF!</definedName>
    <definedName name="__lb30" localSheetId="18" hidden="1">#REF!</definedName>
    <definedName name="__lb30" localSheetId="7" hidden="1">#REF!</definedName>
    <definedName name="__lb30" localSheetId="23" hidden="1">#REF!</definedName>
    <definedName name="__lb30" hidden="1">#REF!</definedName>
    <definedName name="__lb31" localSheetId="12" hidden="1">#REF!</definedName>
    <definedName name="__lb31" localSheetId="30" hidden="1">#REF!</definedName>
    <definedName name="__lb31" localSheetId="28" hidden="1">#REF!</definedName>
    <definedName name="__lb31" localSheetId="27" hidden="1">#REF!</definedName>
    <definedName name="__lb31" localSheetId="18" hidden="1">#REF!</definedName>
    <definedName name="__lb31" localSheetId="7" hidden="1">#REF!</definedName>
    <definedName name="__lb31" localSheetId="23" hidden="1">#REF!</definedName>
    <definedName name="__lb31" hidden="1">#REF!</definedName>
    <definedName name="__lb32" localSheetId="12" hidden="1">#REF!</definedName>
    <definedName name="__lb32" localSheetId="30" hidden="1">#REF!</definedName>
    <definedName name="__lb32" localSheetId="28" hidden="1">#REF!</definedName>
    <definedName name="__lb32" localSheetId="27" hidden="1">#REF!</definedName>
    <definedName name="__lb32" localSheetId="18" hidden="1">#REF!</definedName>
    <definedName name="__lb32" localSheetId="7" hidden="1">#REF!</definedName>
    <definedName name="__lb32" localSheetId="23" hidden="1">#REF!</definedName>
    <definedName name="__lb32" hidden="1">#REF!</definedName>
    <definedName name="__lb4" localSheetId="12" hidden="1">#REF!</definedName>
    <definedName name="__lb4" localSheetId="30" hidden="1">#REF!</definedName>
    <definedName name="__lb4" localSheetId="28" hidden="1">#REF!</definedName>
    <definedName name="__lb4" localSheetId="27" hidden="1">#REF!</definedName>
    <definedName name="__lb4" localSheetId="18" hidden="1">#REF!</definedName>
    <definedName name="__lb4" localSheetId="7" hidden="1">#REF!</definedName>
    <definedName name="__lb4" localSheetId="23" hidden="1">#REF!</definedName>
    <definedName name="__lb4" hidden="1">#REF!</definedName>
    <definedName name="__lb5" localSheetId="12" hidden="1">#REF!</definedName>
    <definedName name="__lb5" localSheetId="30" hidden="1">#REF!</definedName>
    <definedName name="__lb5" localSheetId="28" hidden="1">#REF!</definedName>
    <definedName name="__lb5" localSheetId="27" hidden="1">#REF!</definedName>
    <definedName name="__lb5" localSheetId="18" hidden="1">#REF!</definedName>
    <definedName name="__lb5" localSheetId="7" hidden="1">#REF!</definedName>
    <definedName name="__lb5" localSheetId="23" hidden="1">#REF!</definedName>
    <definedName name="__lb5" hidden="1">#REF!</definedName>
    <definedName name="__lb6" localSheetId="12" hidden="1">#REF!</definedName>
    <definedName name="__lb6" localSheetId="30" hidden="1">#REF!</definedName>
    <definedName name="__lb6" localSheetId="28" hidden="1">#REF!</definedName>
    <definedName name="__lb6" localSheetId="27" hidden="1">#REF!</definedName>
    <definedName name="__lb6" localSheetId="18" hidden="1">#REF!</definedName>
    <definedName name="__lb6" localSheetId="7" hidden="1">#REF!</definedName>
    <definedName name="__lb6" localSheetId="23" hidden="1">#REF!</definedName>
    <definedName name="__lb6" hidden="1">#REF!</definedName>
    <definedName name="__lb7" localSheetId="12" hidden="1">#REF!</definedName>
    <definedName name="__lb7" localSheetId="30" hidden="1">#REF!</definedName>
    <definedName name="__lb7" localSheetId="28" hidden="1">#REF!</definedName>
    <definedName name="__lb7" localSheetId="27" hidden="1">#REF!</definedName>
    <definedName name="__lb7" localSheetId="18" hidden="1">#REF!</definedName>
    <definedName name="__lb7" localSheetId="7" hidden="1">#REF!</definedName>
    <definedName name="__lb7" localSheetId="23" hidden="1">#REF!</definedName>
    <definedName name="__lb7" hidden="1">#REF!</definedName>
    <definedName name="__lb8" localSheetId="12" hidden="1">#REF!</definedName>
    <definedName name="__lb8" localSheetId="30" hidden="1">#REF!</definedName>
    <definedName name="__lb8" localSheetId="28" hidden="1">#REF!</definedName>
    <definedName name="__lb8" localSheetId="27" hidden="1">#REF!</definedName>
    <definedName name="__lb8" localSheetId="18" hidden="1">#REF!</definedName>
    <definedName name="__lb8" localSheetId="7" hidden="1">#REF!</definedName>
    <definedName name="__lb8" localSheetId="23" hidden="1">#REF!</definedName>
    <definedName name="__lb8" hidden="1">#REF!</definedName>
    <definedName name="__lb9" localSheetId="12" hidden="1">#REF!</definedName>
    <definedName name="__lb9" localSheetId="30" hidden="1">#REF!</definedName>
    <definedName name="__lb9" localSheetId="28" hidden="1">#REF!</definedName>
    <definedName name="__lb9" localSheetId="27" hidden="1">#REF!</definedName>
    <definedName name="__lb9" localSheetId="18" hidden="1">#REF!</definedName>
    <definedName name="__lb9" localSheetId="7" hidden="1">#REF!</definedName>
    <definedName name="__lb9" localSheetId="23" hidden="1">#REF!</definedName>
    <definedName name="__lb9" hidden="1">#REF!</definedName>
    <definedName name="__lbc1" localSheetId="12" hidden="1">#REF!</definedName>
    <definedName name="__lbc1" localSheetId="30" hidden="1">#REF!</definedName>
    <definedName name="__lbc1" localSheetId="28" hidden="1">#REF!</definedName>
    <definedName name="__lbc1" localSheetId="27" hidden="1">#REF!</definedName>
    <definedName name="__lbc1" localSheetId="18" hidden="1">#REF!</definedName>
    <definedName name="__lbc1" localSheetId="7" hidden="1">#REF!</definedName>
    <definedName name="__lbc1" localSheetId="23" hidden="1">#REF!</definedName>
    <definedName name="__lbc1" hidden="1">#REF!</definedName>
    <definedName name="__lbc10" localSheetId="12" hidden="1">#REF!</definedName>
    <definedName name="__lbc10" localSheetId="30" hidden="1">#REF!</definedName>
    <definedName name="__lbc10" localSheetId="28" hidden="1">#REF!</definedName>
    <definedName name="__lbc10" localSheetId="27" hidden="1">#REF!</definedName>
    <definedName name="__lbc10" localSheetId="18" hidden="1">#REF!</definedName>
    <definedName name="__lbc10" localSheetId="7" hidden="1">#REF!</definedName>
    <definedName name="__lbc10" localSheetId="23" hidden="1">#REF!</definedName>
    <definedName name="__lbc10" hidden="1">#REF!</definedName>
    <definedName name="__lbc11" localSheetId="12" hidden="1">#REF!</definedName>
    <definedName name="__lbc11" localSheetId="30" hidden="1">#REF!</definedName>
    <definedName name="__lbc11" localSheetId="28" hidden="1">#REF!</definedName>
    <definedName name="__lbc11" localSheetId="27" hidden="1">#REF!</definedName>
    <definedName name="__lbc11" localSheetId="18" hidden="1">#REF!</definedName>
    <definedName name="__lbc11" localSheetId="7" hidden="1">#REF!</definedName>
    <definedName name="__lbc11" localSheetId="23" hidden="1">#REF!</definedName>
    <definedName name="__lbc11" hidden="1">#REF!</definedName>
    <definedName name="__lbc12" localSheetId="12" hidden="1">#REF!</definedName>
    <definedName name="__lbc12" localSheetId="30" hidden="1">#REF!</definedName>
    <definedName name="__lbc12" localSheetId="28" hidden="1">#REF!</definedName>
    <definedName name="__lbc12" localSheetId="27" hidden="1">#REF!</definedName>
    <definedName name="__lbc12" localSheetId="18" hidden="1">#REF!</definedName>
    <definedName name="__lbc12" localSheetId="7" hidden="1">#REF!</definedName>
    <definedName name="__lbc12" localSheetId="23" hidden="1">#REF!</definedName>
    <definedName name="__lbc12" hidden="1">#REF!</definedName>
    <definedName name="__lbc13" localSheetId="12" hidden="1">#REF!</definedName>
    <definedName name="__lbc13" localSheetId="30" hidden="1">#REF!</definedName>
    <definedName name="__lbc13" localSheetId="28" hidden="1">#REF!</definedName>
    <definedName name="__lbc13" localSheetId="27" hidden="1">#REF!</definedName>
    <definedName name="__lbc13" localSheetId="18" hidden="1">#REF!</definedName>
    <definedName name="__lbc13" localSheetId="7" hidden="1">#REF!</definedName>
    <definedName name="__lbc13" localSheetId="23" hidden="1">#REF!</definedName>
    <definedName name="__lbc13" hidden="1">#REF!</definedName>
    <definedName name="__lbc14" localSheetId="12" hidden="1">#REF!</definedName>
    <definedName name="__lbc14" localSheetId="30" hidden="1">#REF!</definedName>
    <definedName name="__lbc14" localSheetId="28" hidden="1">#REF!</definedName>
    <definedName name="__lbc14" localSheetId="27" hidden="1">#REF!</definedName>
    <definedName name="__lbc14" localSheetId="18" hidden="1">#REF!</definedName>
    <definedName name="__lbc14" localSheetId="7" hidden="1">#REF!</definedName>
    <definedName name="__lbc14" localSheetId="23" hidden="1">#REF!</definedName>
    <definedName name="__lbc14" hidden="1">#REF!</definedName>
    <definedName name="__lbc15" localSheetId="12" hidden="1">#REF!</definedName>
    <definedName name="__lbc15" localSheetId="30" hidden="1">#REF!</definedName>
    <definedName name="__lbc15" localSheetId="28" hidden="1">#REF!</definedName>
    <definedName name="__lbc15" localSheetId="27" hidden="1">#REF!</definedName>
    <definedName name="__lbc15" localSheetId="18" hidden="1">#REF!</definedName>
    <definedName name="__lbc15" localSheetId="7" hidden="1">#REF!</definedName>
    <definedName name="__lbc15" localSheetId="23" hidden="1">#REF!</definedName>
    <definedName name="__lbc15" hidden="1">#REF!</definedName>
    <definedName name="__lbc16" localSheetId="12" hidden="1">#REF!</definedName>
    <definedName name="__lbc16" localSheetId="30" hidden="1">#REF!</definedName>
    <definedName name="__lbc16" localSheetId="28" hidden="1">#REF!</definedName>
    <definedName name="__lbc16" localSheetId="27" hidden="1">#REF!</definedName>
    <definedName name="__lbc16" localSheetId="18" hidden="1">#REF!</definedName>
    <definedName name="__lbc16" localSheetId="7" hidden="1">#REF!</definedName>
    <definedName name="__lbc16" localSheetId="23" hidden="1">#REF!</definedName>
    <definedName name="__lbc16" hidden="1">#REF!</definedName>
    <definedName name="__lbc17" localSheetId="12" hidden="1">#REF!</definedName>
    <definedName name="__lbc17" localSheetId="30" hidden="1">#REF!</definedName>
    <definedName name="__lbc17" localSheetId="28" hidden="1">#REF!</definedName>
    <definedName name="__lbc17" localSheetId="27" hidden="1">#REF!</definedName>
    <definedName name="__lbc17" localSheetId="18" hidden="1">#REF!</definedName>
    <definedName name="__lbc17" localSheetId="7" hidden="1">#REF!</definedName>
    <definedName name="__lbc17" localSheetId="23" hidden="1">#REF!</definedName>
    <definedName name="__lbc17" hidden="1">#REF!</definedName>
    <definedName name="__lbc18" localSheetId="12" hidden="1">#REF!</definedName>
    <definedName name="__lbc18" localSheetId="30" hidden="1">#REF!</definedName>
    <definedName name="__lbc18" localSheetId="28" hidden="1">#REF!</definedName>
    <definedName name="__lbc18" localSheetId="27" hidden="1">#REF!</definedName>
    <definedName name="__lbc18" localSheetId="18" hidden="1">#REF!</definedName>
    <definedName name="__lbc18" localSheetId="7" hidden="1">#REF!</definedName>
    <definedName name="__lbc18" localSheetId="23" hidden="1">#REF!</definedName>
    <definedName name="__lbc18" hidden="1">#REF!</definedName>
    <definedName name="__lbc19" localSheetId="12" hidden="1">#REF!</definedName>
    <definedName name="__lbc19" localSheetId="30" hidden="1">#REF!</definedName>
    <definedName name="__lbc19" localSheetId="28" hidden="1">#REF!</definedName>
    <definedName name="__lbc19" localSheetId="27" hidden="1">#REF!</definedName>
    <definedName name="__lbc19" localSheetId="18" hidden="1">#REF!</definedName>
    <definedName name="__lbc19" localSheetId="7" hidden="1">#REF!</definedName>
    <definedName name="__lbc19" localSheetId="23" hidden="1">#REF!</definedName>
    <definedName name="__lbc19" hidden="1">#REF!</definedName>
    <definedName name="__lbc2" localSheetId="12" hidden="1">#REF!</definedName>
    <definedName name="__lbc2" localSheetId="30" hidden="1">#REF!</definedName>
    <definedName name="__lbc2" localSheetId="28" hidden="1">#REF!</definedName>
    <definedName name="__lbc2" localSheetId="27" hidden="1">#REF!</definedName>
    <definedName name="__lbc2" localSheetId="18" hidden="1">#REF!</definedName>
    <definedName name="__lbc2" localSheetId="7" hidden="1">#REF!</definedName>
    <definedName name="__lbc2" localSheetId="23" hidden="1">#REF!</definedName>
    <definedName name="__lbc2" hidden="1">#REF!</definedName>
    <definedName name="__lbc20" localSheetId="12" hidden="1">#REF!</definedName>
    <definedName name="__lbc20" localSheetId="30" hidden="1">#REF!</definedName>
    <definedName name="__lbc20" localSheetId="28" hidden="1">#REF!</definedName>
    <definedName name="__lbc20" localSheetId="27" hidden="1">#REF!</definedName>
    <definedName name="__lbc20" localSheetId="18" hidden="1">#REF!</definedName>
    <definedName name="__lbc20" localSheetId="7" hidden="1">#REF!</definedName>
    <definedName name="__lbc20" localSheetId="23" hidden="1">#REF!</definedName>
    <definedName name="__lbc20" hidden="1">#REF!</definedName>
    <definedName name="__lbc21" localSheetId="12" hidden="1">#REF!</definedName>
    <definedName name="__lbc21" localSheetId="30" hidden="1">#REF!</definedName>
    <definedName name="__lbc21" localSheetId="28" hidden="1">#REF!</definedName>
    <definedName name="__lbc21" localSheetId="27" hidden="1">#REF!</definedName>
    <definedName name="__lbc21" localSheetId="18" hidden="1">#REF!</definedName>
    <definedName name="__lbc21" localSheetId="7" hidden="1">#REF!</definedName>
    <definedName name="__lbc21" localSheetId="23" hidden="1">#REF!</definedName>
    <definedName name="__lbc21" hidden="1">#REF!</definedName>
    <definedName name="__lbc22" localSheetId="12" hidden="1">#REF!</definedName>
    <definedName name="__lbc22" localSheetId="30" hidden="1">#REF!</definedName>
    <definedName name="__lbc22" localSheetId="28" hidden="1">#REF!</definedName>
    <definedName name="__lbc22" localSheetId="27" hidden="1">#REF!</definedName>
    <definedName name="__lbc22" localSheetId="18" hidden="1">#REF!</definedName>
    <definedName name="__lbc22" localSheetId="7" hidden="1">#REF!</definedName>
    <definedName name="__lbc22" localSheetId="23" hidden="1">#REF!</definedName>
    <definedName name="__lbc22" hidden="1">#REF!</definedName>
    <definedName name="__lbc23" localSheetId="12" hidden="1">#REF!</definedName>
    <definedName name="__lbc23" localSheetId="30" hidden="1">#REF!</definedName>
    <definedName name="__lbc23" localSheetId="28" hidden="1">#REF!</definedName>
    <definedName name="__lbc23" localSheetId="27" hidden="1">#REF!</definedName>
    <definedName name="__lbc23" localSheetId="18" hidden="1">#REF!</definedName>
    <definedName name="__lbc23" localSheetId="7" hidden="1">#REF!</definedName>
    <definedName name="__lbc23" localSheetId="23" hidden="1">#REF!</definedName>
    <definedName name="__lbc23" hidden="1">#REF!</definedName>
    <definedName name="__lbc24" localSheetId="12" hidden="1">#REF!</definedName>
    <definedName name="__lbc24" localSheetId="30" hidden="1">#REF!</definedName>
    <definedName name="__lbc24" localSheetId="28" hidden="1">#REF!</definedName>
    <definedName name="__lbc24" localSheetId="27" hidden="1">#REF!</definedName>
    <definedName name="__lbc24" localSheetId="18" hidden="1">#REF!</definedName>
    <definedName name="__lbc24" localSheetId="7" hidden="1">#REF!</definedName>
    <definedName name="__lbc24" localSheetId="23" hidden="1">#REF!</definedName>
    <definedName name="__lbc24" hidden="1">#REF!</definedName>
    <definedName name="__lbc25" localSheetId="12" hidden="1">#REF!</definedName>
    <definedName name="__lbc25" localSheetId="30" hidden="1">#REF!</definedName>
    <definedName name="__lbc25" localSheetId="28" hidden="1">#REF!</definedName>
    <definedName name="__lbc25" localSheetId="27" hidden="1">#REF!</definedName>
    <definedName name="__lbc25" localSheetId="18" hidden="1">#REF!</definedName>
    <definedName name="__lbc25" localSheetId="7" hidden="1">#REF!</definedName>
    <definedName name="__lbc25" localSheetId="23" hidden="1">#REF!</definedName>
    <definedName name="__lbc25" hidden="1">#REF!</definedName>
    <definedName name="__lbc26" localSheetId="12" hidden="1">#REF!</definedName>
    <definedName name="__lbc26" localSheetId="30" hidden="1">#REF!</definedName>
    <definedName name="__lbc26" localSheetId="28" hidden="1">#REF!</definedName>
    <definedName name="__lbc26" localSheetId="27" hidden="1">#REF!</definedName>
    <definedName name="__lbc26" localSheetId="18" hidden="1">#REF!</definedName>
    <definedName name="__lbc26" localSheetId="7" hidden="1">#REF!</definedName>
    <definedName name="__lbc26" localSheetId="23" hidden="1">#REF!</definedName>
    <definedName name="__lbc26" hidden="1">#REF!</definedName>
    <definedName name="__lbc27" localSheetId="12" hidden="1">#REF!</definedName>
    <definedName name="__lbc27" localSheetId="30" hidden="1">#REF!</definedName>
    <definedName name="__lbc27" localSheetId="28" hidden="1">#REF!</definedName>
    <definedName name="__lbc27" localSheetId="27" hidden="1">#REF!</definedName>
    <definedName name="__lbc27" localSheetId="18" hidden="1">#REF!</definedName>
    <definedName name="__lbc27" localSheetId="7" hidden="1">#REF!</definedName>
    <definedName name="__lbc27" localSheetId="23" hidden="1">#REF!</definedName>
    <definedName name="__lbc27" hidden="1">#REF!</definedName>
    <definedName name="__lbc28" localSheetId="12" hidden="1">#REF!</definedName>
    <definedName name="__lbc28" localSheetId="30" hidden="1">#REF!</definedName>
    <definedName name="__lbc28" localSheetId="28" hidden="1">#REF!</definedName>
    <definedName name="__lbc28" localSheetId="27" hidden="1">#REF!</definedName>
    <definedName name="__lbc28" localSheetId="18" hidden="1">#REF!</definedName>
    <definedName name="__lbc28" localSheetId="7" hidden="1">#REF!</definedName>
    <definedName name="__lbc28" localSheetId="23" hidden="1">#REF!</definedName>
    <definedName name="__lbc28" hidden="1">#REF!</definedName>
    <definedName name="__lbc29" localSheetId="12" hidden="1">#REF!</definedName>
    <definedName name="__lbc29" localSheetId="30" hidden="1">#REF!</definedName>
    <definedName name="__lbc29" localSheetId="28" hidden="1">#REF!</definedName>
    <definedName name="__lbc29" localSheetId="27" hidden="1">#REF!</definedName>
    <definedName name="__lbc29" localSheetId="18" hidden="1">#REF!</definedName>
    <definedName name="__lbc29" localSheetId="7" hidden="1">#REF!</definedName>
    <definedName name="__lbc29" localSheetId="23" hidden="1">#REF!</definedName>
    <definedName name="__lbc29" hidden="1">#REF!</definedName>
    <definedName name="__lbc3" localSheetId="12" hidden="1">#REF!</definedName>
    <definedName name="__lbc3" localSheetId="30" hidden="1">#REF!</definedName>
    <definedName name="__lbc3" localSheetId="28" hidden="1">#REF!</definedName>
    <definedName name="__lbc3" localSheetId="27" hidden="1">#REF!</definedName>
    <definedName name="__lbc3" localSheetId="18" hidden="1">#REF!</definedName>
    <definedName name="__lbc3" localSheetId="7" hidden="1">#REF!</definedName>
    <definedName name="__lbc3" localSheetId="23" hidden="1">#REF!</definedName>
    <definedName name="__lbc3" hidden="1">#REF!</definedName>
    <definedName name="__lbc31" localSheetId="12" hidden="1">#REF!</definedName>
    <definedName name="__lbc31" localSheetId="30" hidden="1">#REF!</definedName>
    <definedName name="__lbc31" localSheetId="28" hidden="1">#REF!</definedName>
    <definedName name="__lbc31" localSheetId="27" hidden="1">#REF!</definedName>
    <definedName name="__lbc31" localSheetId="18" hidden="1">#REF!</definedName>
    <definedName name="__lbc31" localSheetId="7" hidden="1">#REF!</definedName>
    <definedName name="__lbc31" localSheetId="23" hidden="1">#REF!</definedName>
    <definedName name="__lbc31" hidden="1">#REF!</definedName>
    <definedName name="__lbc32" localSheetId="12" hidden="1">#REF!</definedName>
    <definedName name="__lbc32" localSheetId="30" hidden="1">#REF!</definedName>
    <definedName name="__lbc32" localSheetId="28" hidden="1">#REF!</definedName>
    <definedName name="__lbc32" localSheetId="27" hidden="1">#REF!</definedName>
    <definedName name="__lbc32" localSheetId="18" hidden="1">#REF!</definedName>
    <definedName name="__lbc32" localSheetId="7" hidden="1">#REF!</definedName>
    <definedName name="__lbc32" localSheetId="23" hidden="1">#REF!</definedName>
    <definedName name="__lbc32" hidden="1">#REF!</definedName>
    <definedName name="__lbc4" localSheetId="12" hidden="1">#REF!</definedName>
    <definedName name="__lbc4" localSheetId="30" hidden="1">#REF!</definedName>
    <definedName name="__lbc4" localSheetId="28" hidden="1">#REF!</definedName>
    <definedName name="__lbc4" localSheetId="27" hidden="1">#REF!</definedName>
    <definedName name="__lbc4" localSheetId="18" hidden="1">#REF!</definedName>
    <definedName name="__lbc4" localSheetId="7" hidden="1">#REF!</definedName>
    <definedName name="__lbc4" localSheetId="23" hidden="1">#REF!</definedName>
    <definedName name="__lbc4" hidden="1">#REF!</definedName>
    <definedName name="__lbc5" localSheetId="12" hidden="1">#REF!</definedName>
    <definedName name="__lbc5" localSheetId="30" hidden="1">#REF!</definedName>
    <definedName name="__lbc5" localSheetId="28" hidden="1">#REF!</definedName>
    <definedName name="__lbc5" localSheetId="27" hidden="1">#REF!</definedName>
    <definedName name="__lbc5" localSheetId="18" hidden="1">#REF!</definedName>
    <definedName name="__lbc5" localSheetId="7" hidden="1">#REF!</definedName>
    <definedName name="__lbc5" localSheetId="23" hidden="1">#REF!</definedName>
    <definedName name="__lbc5" hidden="1">#REF!</definedName>
    <definedName name="__lbc6" localSheetId="12" hidden="1">#REF!</definedName>
    <definedName name="__lbc6" localSheetId="30" hidden="1">#REF!</definedName>
    <definedName name="__lbc6" localSheetId="28" hidden="1">#REF!</definedName>
    <definedName name="__lbc6" localSheetId="27" hidden="1">#REF!</definedName>
    <definedName name="__lbc6" localSheetId="18" hidden="1">#REF!</definedName>
    <definedName name="__lbc6" localSheetId="7" hidden="1">#REF!</definedName>
    <definedName name="__lbc6" localSheetId="23" hidden="1">#REF!</definedName>
    <definedName name="__lbc6" hidden="1">#REF!</definedName>
    <definedName name="__lbc7" localSheetId="12" hidden="1">#REF!</definedName>
    <definedName name="__lbc7" localSheetId="30" hidden="1">#REF!</definedName>
    <definedName name="__lbc7" localSheetId="28" hidden="1">#REF!</definedName>
    <definedName name="__lbc7" localSheetId="27" hidden="1">#REF!</definedName>
    <definedName name="__lbc7" localSheetId="18" hidden="1">#REF!</definedName>
    <definedName name="__lbc7" localSheetId="7" hidden="1">#REF!</definedName>
    <definedName name="__lbc7" localSheetId="23" hidden="1">#REF!</definedName>
    <definedName name="__lbc7" hidden="1">#REF!</definedName>
    <definedName name="__lbc8" localSheetId="12" hidden="1">#REF!</definedName>
    <definedName name="__lbc8" localSheetId="30" hidden="1">#REF!</definedName>
    <definedName name="__lbc8" localSheetId="28" hidden="1">#REF!</definedName>
    <definedName name="__lbc8" localSheetId="27" hidden="1">#REF!</definedName>
    <definedName name="__lbc8" localSheetId="18" hidden="1">#REF!</definedName>
    <definedName name="__lbc8" localSheetId="7" hidden="1">#REF!</definedName>
    <definedName name="__lbc8" localSheetId="23" hidden="1">#REF!</definedName>
    <definedName name="__lbc8" hidden="1">#REF!</definedName>
    <definedName name="__lbc9" localSheetId="12" hidden="1">#REF!</definedName>
    <definedName name="__lbc9" localSheetId="30" hidden="1">#REF!</definedName>
    <definedName name="__lbc9" localSheetId="28" hidden="1">#REF!</definedName>
    <definedName name="__lbc9" localSheetId="27" hidden="1">#REF!</definedName>
    <definedName name="__lbc9" localSheetId="18" hidden="1">#REF!</definedName>
    <definedName name="__lbc9" localSheetId="7" hidden="1">#REF!</definedName>
    <definedName name="__lbc9" localSheetId="23" hidden="1">#REF!</definedName>
    <definedName name="__lbc9" hidden="1">#REF!</definedName>
    <definedName name="__ld26" localSheetId="12" hidden="1">#REF!</definedName>
    <definedName name="__ld26" localSheetId="30" hidden="1">#REF!</definedName>
    <definedName name="__ld26" localSheetId="28" hidden="1">#REF!</definedName>
    <definedName name="__ld26" localSheetId="27" hidden="1">#REF!</definedName>
    <definedName name="__ld26" localSheetId="18" hidden="1">#REF!</definedName>
    <definedName name="__ld26" localSheetId="7" hidden="1">#REF!</definedName>
    <definedName name="__ld26" localSheetId="23" hidden="1">#REF!</definedName>
    <definedName name="__ld26" hidden="1">#REF!</definedName>
    <definedName name="__ld31" localSheetId="12" hidden="1">#REF!</definedName>
    <definedName name="__ld31" localSheetId="30" hidden="1">#REF!</definedName>
    <definedName name="__ld31" localSheetId="28" hidden="1">#REF!</definedName>
    <definedName name="__ld31" localSheetId="27" hidden="1">#REF!</definedName>
    <definedName name="__ld31" localSheetId="18" hidden="1">#REF!</definedName>
    <definedName name="__ld31" localSheetId="7" hidden="1">#REF!</definedName>
    <definedName name="__ld31" localSheetId="23" hidden="1">#REF!</definedName>
    <definedName name="__ld31" hidden="1">#REF!</definedName>
    <definedName name="__le31" localSheetId="12" hidden="1">#REF!</definedName>
    <definedName name="__le31" localSheetId="30" hidden="1">#REF!</definedName>
    <definedName name="__le31" localSheetId="28" hidden="1">#REF!</definedName>
    <definedName name="__le31" localSheetId="27" hidden="1">#REF!</definedName>
    <definedName name="__le31" localSheetId="18" hidden="1">#REF!</definedName>
    <definedName name="__le31" localSheetId="7" hidden="1">#REF!</definedName>
    <definedName name="__le31" localSheetId="23" hidden="1">#REF!</definedName>
    <definedName name="__le31" hidden="1">#REF!</definedName>
    <definedName name="__lf31" localSheetId="12" hidden="1">#REF!</definedName>
    <definedName name="__lf31" localSheetId="30" hidden="1">#REF!</definedName>
    <definedName name="__lf31" localSheetId="28" hidden="1">#REF!</definedName>
    <definedName name="__lf31" localSheetId="27" hidden="1">#REF!</definedName>
    <definedName name="__lf31" localSheetId="18" hidden="1">#REF!</definedName>
    <definedName name="__lf31" localSheetId="7" hidden="1">#REF!</definedName>
    <definedName name="__lf31" localSheetId="23" hidden="1">#REF!</definedName>
    <definedName name="__lf31" hidden="1">#REF!</definedName>
    <definedName name="__PK2" localSheetId="33" hidden="1">{"'장비'!$A$3:$M$12"}</definedName>
    <definedName name="__PK2" localSheetId="35" hidden="1">{"'장비'!$A$3:$M$12"}</definedName>
    <definedName name="__PK2" hidden="1">{"'장비'!$A$3:$M$12"}</definedName>
    <definedName name="__PKG3" localSheetId="33" hidden="1">{"'장비'!$A$3:$M$12"}</definedName>
    <definedName name="__PKG3" localSheetId="35" hidden="1">{"'장비'!$A$3:$M$12"}</definedName>
    <definedName name="__PKG3" hidden="1">{"'장비'!$A$3:$M$12"}</definedName>
    <definedName name="__qqq222" localSheetId="33" hidden="1">{"'장비'!$A$3:$M$12"}</definedName>
    <definedName name="__qqq222" localSheetId="35" hidden="1">{"'장비'!$A$3:$M$12"}</definedName>
    <definedName name="__qqq222" hidden="1">{"'장비'!$A$3:$M$12"}</definedName>
    <definedName name="__QT100" localSheetId="12">#REF!</definedName>
    <definedName name="__QT100" localSheetId="30">#REF!</definedName>
    <definedName name="__QT100" localSheetId="28">#REF!</definedName>
    <definedName name="__QT100" localSheetId="27">#REF!</definedName>
    <definedName name="__QT100" localSheetId="18">#REF!</definedName>
    <definedName name="__QT100" localSheetId="7">#REF!</definedName>
    <definedName name="__QT100" localSheetId="23">#REF!</definedName>
    <definedName name="__QT100">#REF!</definedName>
    <definedName name="__QT2" localSheetId="12">#REF!</definedName>
    <definedName name="__QT2" localSheetId="30">#REF!</definedName>
    <definedName name="__QT2" localSheetId="28">#REF!</definedName>
    <definedName name="__QT2" localSheetId="27">#REF!</definedName>
    <definedName name="__QT2" localSheetId="18">#REF!</definedName>
    <definedName name="__QT2" localSheetId="7">#REF!</definedName>
    <definedName name="__QT2" localSheetId="23">#REF!</definedName>
    <definedName name="__QT2">#REF!</definedName>
    <definedName name="__QT3" localSheetId="12">#REF!</definedName>
    <definedName name="__QT3" localSheetId="30">#REF!</definedName>
    <definedName name="__QT3" localSheetId="28">#REF!</definedName>
    <definedName name="__QT3" localSheetId="27">#REF!</definedName>
    <definedName name="__QT3" localSheetId="18">#REF!</definedName>
    <definedName name="__QT3" localSheetId="7">#REF!</definedName>
    <definedName name="__QT3" localSheetId="23">#REF!</definedName>
    <definedName name="__QT3">#REF!</definedName>
    <definedName name="__QT4" localSheetId="12">#REF!</definedName>
    <definedName name="__QT4" localSheetId="30">#REF!</definedName>
    <definedName name="__QT4" localSheetId="28">#REF!</definedName>
    <definedName name="__QT4" localSheetId="27">#REF!</definedName>
    <definedName name="__QT4" localSheetId="18">#REF!</definedName>
    <definedName name="__QT4" localSheetId="7">#REF!</definedName>
    <definedName name="__QT4" localSheetId="23">#REF!</definedName>
    <definedName name="__QT4">#REF!</definedName>
    <definedName name="__QT50" localSheetId="12">#REF!</definedName>
    <definedName name="__QT50" localSheetId="30">#REF!</definedName>
    <definedName name="__QT50" localSheetId="28">#REF!</definedName>
    <definedName name="__QT50" localSheetId="27">#REF!</definedName>
    <definedName name="__QT50" localSheetId="18">#REF!</definedName>
    <definedName name="__QT50" localSheetId="7">#REF!</definedName>
    <definedName name="__QT50" localSheetId="23">#REF!</definedName>
    <definedName name="__QT50">#REF!</definedName>
    <definedName name="__QT75" localSheetId="12">#REF!</definedName>
    <definedName name="__QT75" localSheetId="30">#REF!</definedName>
    <definedName name="__QT75" localSheetId="28">#REF!</definedName>
    <definedName name="__QT75" localSheetId="27">#REF!</definedName>
    <definedName name="__QT75" localSheetId="18">#REF!</definedName>
    <definedName name="__QT75" localSheetId="7">#REF!</definedName>
    <definedName name="__QT75" localSheetId="23">#REF!</definedName>
    <definedName name="__QT75">#REF!</definedName>
    <definedName name="__r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localSheetId="12" hidden="1">#REF!</definedName>
    <definedName name="__x10" localSheetId="30" hidden="1">#REF!</definedName>
    <definedName name="__x10" localSheetId="28" hidden="1">#REF!</definedName>
    <definedName name="__x10" localSheetId="27" hidden="1">#REF!</definedName>
    <definedName name="__x10" localSheetId="18" hidden="1">#REF!</definedName>
    <definedName name="__x10" localSheetId="7" hidden="1">#REF!</definedName>
    <definedName name="__x10" localSheetId="23" hidden="1">#REF!</definedName>
    <definedName name="__x10" hidden="1">#REF!</definedName>
    <definedName name="__x11" localSheetId="12" hidden="1">#REF!</definedName>
    <definedName name="__x11" localSheetId="30" hidden="1">#REF!</definedName>
    <definedName name="__x11" localSheetId="28" hidden="1">#REF!</definedName>
    <definedName name="__x11" localSheetId="27" hidden="1">#REF!</definedName>
    <definedName name="__x11" localSheetId="18" hidden="1">#REF!</definedName>
    <definedName name="__x11" localSheetId="7" hidden="1">#REF!</definedName>
    <definedName name="__x11" localSheetId="23" hidden="1">#REF!</definedName>
    <definedName name="__x11" hidden="1">#REF!</definedName>
    <definedName name="__x12" localSheetId="12" hidden="1">#REF!</definedName>
    <definedName name="__x12" localSheetId="30" hidden="1">#REF!</definedName>
    <definedName name="__x12" localSheetId="28" hidden="1">#REF!</definedName>
    <definedName name="__x12" localSheetId="27" hidden="1">#REF!</definedName>
    <definedName name="__x12" localSheetId="18" hidden="1">#REF!</definedName>
    <definedName name="__x12" localSheetId="7" hidden="1">#REF!</definedName>
    <definedName name="__x12" localSheetId="23" hidden="1">#REF!</definedName>
    <definedName name="__x12" hidden="1">#REF!</definedName>
    <definedName name="__x13" localSheetId="12" hidden="1">#REF!</definedName>
    <definedName name="__x13" localSheetId="30" hidden="1">#REF!</definedName>
    <definedName name="__x13" localSheetId="28" hidden="1">#REF!</definedName>
    <definedName name="__x13" localSheetId="27" hidden="1">#REF!</definedName>
    <definedName name="__x13" localSheetId="18" hidden="1">#REF!</definedName>
    <definedName name="__x13" localSheetId="7" hidden="1">#REF!</definedName>
    <definedName name="__x13" localSheetId="23" hidden="1">#REF!</definedName>
    <definedName name="__x13" hidden="1">#REF!</definedName>
    <definedName name="__x14" localSheetId="12" hidden="1">#REF!</definedName>
    <definedName name="__x14" localSheetId="30" hidden="1">#REF!</definedName>
    <definedName name="__x14" localSheetId="28" hidden="1">#REF!</definedName>
    <definedName name="__x14" localSheetId="27" hidden="1">#REF!</definedName>
    <definedName name="__x14" localSheetId="18" hidden="1">#REF!</definedName>
    <definedName name="__x14" localSheetId="7" hidden="1">#REF!</definedName>
    <definedName name="__x14" localSheetId="23" hidden="1">#REF!</definedName>
    <definedName name="__x14" hidden="1">#REF!</definedName>
    <definedName name="__x15" localSheetId="12" hidden="1">#REF!</definedName>
    <definedName name="__x15" localSheetId="30" hidden="1">#REF!</definedName>
    <definedName name="__x15" localSheetId="28" hidden="1">#REF!</definedName>
    <definedName name="__x15" localSheetId="27" hidden="1">#REF!</definedName>
    <definedName name="__x15" localSheetId="18" hidden="1">#REF!</definedName>
    <definedName name="__x15" localSheetId="7" hidden="1">#REF!</definedName>
    <definedName name="__x15" localSheetId="23" hidden="1">#REF!</definedName>
    <definedName name="__x15" hidden="1">#REF!</definedName>
    <definedName name="__x16" localSheetId="12" hidden="1">#REF!</definedName>
    <definedName name="__x16" localSheetId="30" hidden="1">#REF!</definedName>
    <definedName name="__x16" localSheetId="28" hidden="1">#REF!</definedName>
    <definedName name="__x16" localSheetId="27" hidden="1">#REF!</definedName>
    <definedName name="__x16" localSheetId="18" hidden="1">#REF!</definedName>
    <definedName name="__x16" localSheetId="7" hidden="1">#REF!</definedName>
    <definedName name="__x16" localSheetId="23" hidden="1">#REF!</definedName>
    <definedName name="__x16" hidden="1">#REF!</definedName>
    <definedName name="__x17" localSheetId="12" hidden="1">#REF!</definedName>
    <definedName name="__x17" localSheetId="30" hidden="1">#REF!</definedName>
    <definedName name="__x17" localSheetId="28" hidden="1">#REF!</definedName>
    <definedName name="__x17" localSheetId="27" hidden="1">#REF!</definedName>
    <definedName name="__x17" localSheetId="18" hidden="1">#REF!</definedName>
    <definedName name="__x17" localSheetId="7" hidden="1">#REF!</definedName>
    <definedName name="__x17" localSheetId="23" hidden="1">#REF!</definedName>
    <definedName name="__x17" hidden="1">#REF!</definedName>
    <definedName name="__x18" localSheetId="12" hidden="1">#REF!</definedName>
    <definedName name="__x18" localSheetId="30" hidden="1">#REF!</definedName>
    <definedName name="__x18" localSheetId="28" hidden="1">#REF!</definedName>
    <definedName name="__x18" localSheetId="27" hidden="1">#REF!</definedName>
    <definedName name="__x18" localSheetId="18" hidden="1">#REF!</definedName>
    <definedName name="__x18" localSheetId="7" hidden="1">#REF!</definedName>
    <definedName name="__x18" localSheetId="23" hidden="1">#REF!</definedName>
    <definedName name="__x18" hidden="1">#REF!</definedName>
    <definedName name="__x19" localSheetId="12" hidden="1">#REF!</definedName>
    <definedName name="__x19" localSheetId="30" hidden="1">#REF!</definedName>
    <definedName name="__x19" localSheetId="28" hidden="1">#REF!</definedName>
    <definedName name="__x19" localSheetId="27" hidden="1">#REF!</definedName>
    <definedName name="__x19" localSheetId="18" hidden="1">#REF!</definedName>
    <definedName name="__x19" localSheetId="7" hidden="1">#REF!</definedName>
    <definedName name="__x19" localSheetId="23" hidden="1">#REF!</definedName>
    <definedName name="__x19" hidden="1">#REF!</definedName>
    <definedName name="__x20" localSheetId="12" hidden="1">#REF!</definedName>
    <definedName name="__x20" localSheetId="30" hidden="1">#REF!</definedName>
    <definedName name="__x20" localSheetId="28" hidden="1">#REF!</definedName>
    <definedName name="__x20" localSheetId="27" hidden="1">#REF!</definedName>
    <definedName name="__x20" localSheetId="18" hidden="1">#REF!</definedName>
    <definedName name="__x20" localSheetId="7" hidden="1">#REF!</definedName>
    <definedName name="__x20" localSheetId="23" hidden="1">#REF!</definedName>
    <definedName name="__x20" hidden="1">#REF!</definedName>
    <definedName name="__x21" localSheetId="12" hidden="1">#REF!</definedName>
    <definedName name="__x21" localSheetId="30" hidden="1">#REF!</definedName>
    <definedName name="__x21" localSheetId="28" hidden="1">#REF!</definedName>
    <definedName name="__x21" localSheetId="27" hidden="1">#REF!</definedName>
    <definedName name="__x21" localSheetId="18" hidden="1">#REF!</definedName>
    <definedName name="__x21" localSheetId="7" hidden="1">#REF!</definedName>
    <definedName name="__x21" localSheetId="23" hidden="1">#REF!</definedName>
    <definedName name="__x21" hidden="1">#REF!</definedName>
    <definedName name="__x22" localSheetId="12" hidden="1">#REF!</definedName>
    <definedName name="__x22" localSheetId="30" hidden="1">#REF!</definedName>
    <definedName name="__x22" localSheetId="28" hidden="1">#REF!</definedName>
    <definedName name="__x22" localSheetId="27" hidden="1">#REF!</definedName>
    <definedName name="__x22" localSheetId="18" hidden="1">#REF!</definedName>
    <definedName name="__x22" localSheetId="7" hidden="1">#REF!</definedName>
    <definedName name="__x22" localSheetId="23" hidden="1">#REF!</definedName>
    <definedName name="__x22" hidden="1">#REF!</definedName>
    <definedName name="__x23" localSheetId="12" hidden="1">#REF!</definedName>
    <definedName name="__x23" localSheetId="30" hidden="1">#REF!</definedName>
    <definedName name="__x23" localSheetId="28" hidden="1">#REF!</definedName>
    <definedName name="__x23" localSheetId="27" hidden="1">#REF!</definedName>
    <definedName name="__x23" localSheetId="18" hidden="1">#REF!</definedName>
    <definedName name="__x23" localSheetId="7" hidden="1">#REF!</definedName>
    <definedName name="__x23" localSheetId="23" hidden="1">#REF!</definedName>
    <definedName name="__x23" hidden="1">#REF!</definedName>
    <definedName name="__x24" localSheetId="12" hidden="1">#REF!</definedName>
    <definedName name="__x24" localSheetId="30" hidden="1">#REF!</definedName>
    <definedName name="__x24" localSheetId="28" hidden="1">#REF!</definedName>
    <definedName name="__x24" localSheetId="27" hidden="1">#REF!</definedName>
    <definedName name="__x24" localSheetId="18" hidden="1">#REF!</definedName>
    <definedName name="__x24" localSheetId="7" hidden="1">#REF!</definedName>
    <definedName name="__x24" localSheetId="23" hidden="1">#REF!</definedName>
    <definedName name="__x24" hidden="1">#REF!</definedName>
    <definedName name="__x25" localSheetId="12" hidden="1">#REF!</definedName>
    <definedName name="__x25" localSheetId="30" hidden="1">#REF!</definedName>
    <definedName name="__x25" localSheetId="28" hidden="1">#REF!</definedName>
    <definedName name="__x25" localSheetId="27" hidden="1">#REF!</definedName>
    <definedName name="__x25" localSheetId="18" hidden="1">#REF!</definedName>
    <definedName name="__x25" localSheetId="7" hidden="1">#REF!</definedName>
    <definedName name="__x25" localSheetId="23" hidden="1">#REF!</definedName>
    <definedName name="__x25" hidden="1">#REF!</definedName>
    <definedName name="__x28" localSheetId="12" hidden="1">#REF!</definedName>
    <definedName name="__x28" localSheetId="30" hidden="1">#REF!</definedName>
    <definedName name="__x28" localSheetId="28" hidden="1">#REF!</definedName>
    <definedName name="__x28" localSheetId="27" hidden="1">#REF!</definedName>
    <definedName name="__x28" localSheetId="18" hidden="1">#REF!</definedName>
    <definedName name="__x28" localSheetId="7" hidden="1">#REF!</definedName>
    <definedName name="__x28" localSheetId="23" hidden="1">#REF!</definedName>
    <definedName name="__x28" hidden="1">#REF!</definedName>
    <definedName name="__x29" localSheetId="12" hidden="1">#REF!</definedName>
    <definedName name="__x29" localSheetId="30" hidden="1">#REF!</definedName>
    <definedName name="__x29" localSheetId="28" hidden="1">#REF!</definedName>
    <definedName name="__x29" localSheetId="27" hidden="1">#REF!</definedName>
    <definedName name="__x29" localSheetId="18" hidden="1">#REF!</definedName>
    <definedName name="__x29" localSheetId="7" hidden="1">#REF!</definedName>
    <definedName name="__x29" localSheetId="23" hidden="1">#REF!</definedName>
    <definedName name="__x29" hidden="1">#REF!</definedName>
    <definedName name="__x32" localSheetId="12" hidden="1">#REF!</definedName>
    <definedName name="__x32" localSheetId="30" hidden="1">#REF!</definedName>
    <definedName name="__x32" localSheetId="28" hidden="1">#REF!</definedName>
    <definedName name="__x32" localSheetId="27" hidden="1">#REF!</definedName>
    <definedName name="__x32" localSheetId="18" hidden="1">#REF!</definedName>
    <definedName name="__x32" localSheetId="7" hidden="1">#REF!</definedName>
    <definedName name="__x32" localSheetId="23" hidden="1">#REF!</definedName>
    <definedName name="__x32" hidden="1">#REF!</definedName>
    <definedName name="__x4" localSheetId="12" hidden="1">#REF!</definedName>
    <definedName name="__x4" localSheetId="30" hidden="1">#REF!</definedName>
    <definedName name="__x4" localSheetId="28" hidden="1">#REF!</definedName>
    <definedName name="__x4" localSheetId="27" hidden="1">#REF!</definedName>
    <definedName name="__x4" localSheetId="18" hidden="1">#REF!</definedName>
    <definedName name="__x4" localSheetId="7" hidden="1">#REF!</definedName>
    <definedName name="__x4" localSheetId="23" hidden="1">#REF!</definedName>
    <definedName name="__x4" hidden="1">#REF!</definedName>
    <definedName name="__x5" localSheetId="12" hidden="1">#REF!</definedName>
    <definedName name="__x5" localSheetId="30" hidden="1">#REF!</definedName>
    <definedName name="__x5" localSheetId="28" hidden="1">#REF!</definedName>
    <definedName name="__x5" localSheetId="27" hidden="1">#REF!</definedName>
    <definedName name="__x5" localSheetId="18" hidden="1">#REF!</definedName>
    <definedName name="__x5" localSheetId="7" hidden="1">#REF!</definedName>
    <definedName name="__x5" localSheetId="23" hidden="1">#REF!</definedName>
    <definedName name="__x5" hidden="1">#REF!</definedName>
    <definedName name="__x6" localSheetId="12" hidden="1">#REF!</definedName>
    <definedName name="__x6" localSheetId="30" hidden="1">#REF!</definedName>
    <definedName name="__x6" localSheetId="28" hidden="1">#REF!</definedName>
    <definedName name="__x6" localSheetId="27" hidden="1">#REF!</definedName>
    <definedName name="__x6" localSheetId="18" hidden="1">#REF!</definedName>
    <definedName name="__x6" localSheetId="7" hidden="1">#REF!</definedName>
    <definedName name="__x6" localSheetId="23" hidden="1">#REF!</definedName>
    <definedName name="__x6" hidden="1">#REF!</definedName>
    <definedName name="__x7" localSheetId="12" hidden="1">#REF!</definedName>
    <definedName name="__x7" localSheetId="30" hidden="1">#REF!</definedName>
    <definedName name="__x7" localSheetId="28" hidden="1">#REF!</definedName>
    <definedName name="__x7" localSheetId="27" hidden="1">#REF!</definedName>
    <definedName name="__x7" localSheetId="18" hidden="1">#REF!</definedName>
    <definedName name="__x7" localSheetId="7" hidden="1">#REF!</definedName>
    <definedName name="__x7" localSheetId="23" hidden="1">#REF!</definedName>
    <definedName name="__x7" hidden="1">#REF!</definedName>
    <definedName name="__x8" localSheetId="12" hidden="1">#REF!</definedName>
    <definedName name="__x8" localSheetId="30" hidden="1">#REF!</definedName>
    <definedName name="__x8" localSheetId="28" hidden="1">#REF!</definedName>
    <definedName name="__x8" localSheetId="27" hidden="1">#REF!</definedName>
    <definedName name="__x8" localSheetId="18" hidden="1">#REF!</definedName>
    <definedName name="__x8" localSheetId="7" hidden="1">#REF!</definedName>
    <definedName name="__x8" localSheetId="23" hidden="1">#REF!</definedName>
    <definedName name="__x8" hidden="1">#REF!</definedName>
    <definedName name="__x9" localSheetId="12" hidden="1">#REF!</definedName>
    <definedName name="__x9" localSheetId="30" hidden="1">#REF!</definedName>
    <definedName name="__x9" localSheetId="28" hidden="1">#REF!</definedName>
    <definedName name="__x9" localSheetId="27" hidden="1">#REF!</definedName>
    <definedName name="__x9" localSheetId="18" hidden="1">#REF!</definedName>
    <definedName name="__x9" localSheetId="7" hidden="1">#REF!</definedName>
    <definedName name="__x9" localSheetId="23" hidden="1">#REF!</definedName>
    <definedName name="__x9" hidden="1">#REF!</definedName>
    <definedName name="_0.CURVA_OBRA" localSheetId="12">#REF!</definedName>
    <definedName name="_0.CURVA_OBRA" localSheetId="30">#REF!</definedName>
    <definedName name="_0.CURVA_OBRA" localSheetId="28">#REF!</definedName>
    <definedName name="_0.CURVA_OBRA" localSheetId="27">#REF!</definedName>
    <definedName name="_0.CURVA_OBRA" localSheetId="18">#REF!</definedName>
    <definedName name="_0.CURVA_OBRA" localSheetId="7">#REF!</definedName>
    <definedName name="_0.CURVA_OBRA" localSheetId="23">#REF!</definedName>
    <definedName name="_0.CURVA_OBRA">#REF!</definedName>
    <definedName name="_00.VAR._GASTO" localSheetId="12">#REF!</definedName>
    <definedName name="_00.VAR._GASTO" localSheetId="30">#REF!</definedName>
    <definedName name="_00.VAR._GASTO" localSheetId="28">#REF!</definedName>
    <definedName name="_00.VAR._GASTO" localSheetId="27">#REF!</definedName>
    <definedName name="_00.VAR._GASTO" localSheetId="18">#REF!</definedName>
    <definedName name="_00.VAR._GASTO" localSheetId="7">#REF!</definedName>
    <definedName name="_00.VAR._GASTO" localSheetId="23">#REF!</definedName>
    <definedName name="_00.VAR._GASTO">#REF!</definedName>
    <definedName name="_000.CURVA_FINA" localSheetId="12">#REF!</definedName>
    <definedName name="_000.CURVA_FINA" localSheetId="30">#REF!</definedName>
    <definedName name="_000.CURVA_FINA" localSheetId="28">#REF!</definedName>
    <definedName name="_000.CURVA_FINA" localSheetId="27">#REF!</definedName>
    <definedName name="_000.CURVA_FINA" localSheetId="18">#REF!</definedName>
    <definedName name="_000.CURVA_FINA" localSheetId="7">#REF!</definedName>
    <definedName name="_000.CURVA_FINA" localSheetId="23">#REF!</definedName>
    <definedName name="_000.CURVA_FINA">#REF!</definedName>
    <definedName name="_1" localSheetId="12">#REF!</definedName>
    <definedName name="_1" localSheetId="30">#REF!</definedName>
    <definedName name="_1" localSheetId="28">#REF!</definedName>
    <definedName name="_1" localSheetId="27">#REF!</definedName>
    <definedName name="_1" localSheetId="21">#REF!</definedName>
    <definedName name="_1" localSheetId="18">#REF!</definedName>
    <definedName name="_1" localSheetId="7">#REF!</definedName>
    <definedName name="_1" localSheetId="23">#REF!</definedName>
    <definedName name="_1">#REF!</definedName>
    <definedName name="_1__123Graph_ACHART_1" hidden="1">#REF!</definedName>
    <definedName name="_10__123Graph_CCHART_1" hidden="1">#REF!</definedName>
    <definedName name="_11.SERV.TECNIC" localSheetId="12">#REF!</definedName>
    <definedName name="_11.SERV.TECNIC" localSheetId="30">#REF!</definedName>
    <definedName name="_11.SERV.TECNIC" localSheetId="28">#REF!</definedName>
    <definedName name="_11.SERV.TECNIC" localSheetId="27">#REF!</definedName>
    <definedName name="_11.SERV.TECNIC" localSheetId="18">#REF!</definedName>
    <definedName name="_11.SERV.TECNIC" localSheetId="7">#REF!</definedName>
    <definedName name="_11.SERV.TECNIC" localSheetId="23">#REF!</definedName>
    <definedName name="_11.SERV.TECNIC">#REF!</definedName>
    <definedName name="_11__123Graph_DCHART_1" hidden="1">#REF!</definedName>
    <definedName name="_12.GAST_GERAIS" localSheetId="12">#REF!</definedName>
    <definedName name="_12.GAST_GERAIS" localSheetId="30">#REF!</definedName>
    <definedName name="_12.GAST_GERAIS" localSheetId="28">#REF!</definedName>
    <definedName name="_12.GAST_GERAIS" localSheetId="27">#REF!</definedName>
    <definedName name="_12.GAST_GERAIS" localSheetId="18">#REF!</definedName>
    <definedName name="_12.GAST_GERAIS" localSheetId="7">#REF!</definedName>
    <definedName name="_12.GAST_GERAIS" localSheetId="23">#REF!</definedName>
    <definedName name="_12.GAST_GERAIS">#REF!</definedName>
    <definedName name="_12__123Graph_XChart_1A" localSheetId="12" hidden="1">#REF!</definedName>
    <definedName name="_12__123Graph_XChart_1A" localSheetId="30" hidden="1">#REF!</definedName>
    <definedName name="_12__123Graph_XChart_1A" localSheetId="28" hidden="1">#REF!</definedName>
    <definedName name="_12__123Graph_XChart_1A" localSheetId="27" hidden="1">#REF!</definedName>
    <definedName name="_12__123Graph_XChart_1A" localSheetId="18" hidden="1">#REF!</definedName>
    <definedName name="_12__123Graph_XChart_1A" localSheetId="7" hidden="1">#REF!</definedName>
    <definedName name="_12__123Graph_XChart_1A" localSheetId="23" hidden="1">#REF!</definedName>
    <definedName name="_12__123Graph_XChart_1A" hidden="1">#REF!</definedName>
    <definedName name="_13.P._PERMAN." localSheetId="12">#REF!</definedName>
    <definedName name="_13.P._PERMAN." localSheetId="30">#REF!</definedName>
    <definedName name="_13.P._PERMAN." localSheetId="28">#REF!</definedName>
    <definedName name="_13.P._PERMAN." localSheetId="27">#REF!</definedName>
    <definedName name="_13.P._PERMAN." localSheetId="18">#REF!</definedName>
    <definedName name="_13.P._PERMAN." localSheetId="7">#REF!</definedName>
    <definedName name="_13.P._PERMAN." localSheetId="23">#REF!</definedName>
    <definedName name="_13.P._PERMAN.">#REF!</definedName>
    <definedName name="_15.IMPL._CANT" localSheetId="12">#REF!</definedName>
    <definedName name="_15.IMPL._CANT" localSheetId="30">#REF!</definedName>
    <definedName name="_15.IMPL._CANT" localSheetId="28">#REF!</definedName>
    <definedName name="_15.IMPL._CANT" localSheetId="27">#REF!</definedName>
    <definedName name="_15.IMPL._CANT" localSheetId="18">#REF!</definedName>
    <definedName name="_15.IMPL._CANT" localSheetId="7">#REF!</definedName>
    <definedName name="_15.IMPL._CANT" localSheetId="23">#REF!</definedName>
    <definedName name="_15.IMPL._CANT">#REF!</definedName>
    <definedName name="_16.EQUIPAM." localSheetId="12">#REF!</definedName>
    <definedName name="_16.EQUIPAM." localSheetId="30">#REF!</definedName>
    <definedName name="_16.EQUIPAM." localSheetId="28">#REF!</definedName>
    <definedName name="_16.EQUIPAM." localSheetId="27">#REF!</definedName>
    <definedName name="_16.EQUIPAM." localSheetId="18">#REF!</definedName>
    <definedName name="_16.EQUIPAM." localSheetId="7">#REF!</definedName>
    <definedName name="_16.EQUIPAM." localSheetId="23">#REF!</definedName>
    <definedName name="_16.EQUIPAM.">#REF!</definedName>
    <definedName name="_17.OPER._CANT." localSheetId="12">#REF!</definedName>
    <definedName name="_17.OPER._CANT." localSheetId="30">#REF!</definedName>
    <definedName name="_17.OPER._CANT." localSheetId="28">#REF!</definedName>
    <definedName name="_17.OPER._CANT." localSheetId="27">#REF!</definedName>
    <definedName name="_17.OPER._CANT." localSheetId="18">#REF!</definedName>
    <definedName name="_17.OPER._CANT." localSheetId="7">#REF!</definedName>
    <definedName name="_17.OPER._CANT." localSheetId="23">#REF!</definedName>
    <definedName name="_17.OPER._CANT.">#REF!</definedName>
    <definedName name="_19.TRANC_LIMP." localSheetId="12">#REF!</definedName>
    <definedName name="_19.TRANC_LIMP." localSheetId="30">#REF!</definedName>
    <definedName name="_19.TRANC_LIMP." localSheetId="28">#REF!</definedName>
    <definedName name="_19.TRANC_LIMP." localSheetId="27">#REF!</definedName>
    <definedName name="_19.TRANC_LIMP." localSheetId="18">#REF!</definedName>
    <definedName name="_19.TRANC_LIMP." localSheetId="7">#REF!</definedName>
    <definedName name="_19.TRANC_LIMP." localSheetId="23">#REF!</definedName>
    <definedName name="_19.TRANC_LIMP.">#REF!</definedName>
    <definedName name="_1Dist_Val" localSheetId="12" hidden="1">#REF!</definedName>
    <definedName name="_1Dist_Val" localSheetId="30" hidden="1">#REF!</definedName>
    <definedName name="_1Dist_Val" localSheetId="28" hidden="1">#REF!</definedName>
    <definedName name="_1Dist_Val" localSheetId="27" hidden="1">#REF!</definedName>
    <definedName name="_1Dist_Val" localSheetId="18" hidden="1">#REF!</definedName>
    <definedName name="_1Dist_Val" localSheetId="7" hidden="1">#REF!</definedName>
    <definedName name="_1Dist_Val" localSheetId="23" hidden="1">#REF!</definedName>
    <definedName name="_1Dist_Val" hidden="1">#REF!</definedName>
    <definedName name="_2" localSheetId="12">#REF!</definedName>
    <definedName name="_2" localSheetId="30">#REF!</definedName>
    <definedName name="_2" localSheetId="28">#REF!</definedName>
    <definedName name="_2" localSheetId="27">#REF!</definedName>
    <definedName name="_2" localSheetId="21">#REF!</definedName>
    <definedName name="_2" localSheetId="18">#REF!</definedName>
    <definedName name="_2" localSheetId="7">#REF!</definedName>
    <definedName name="_2" localSheetId="23">#REF!</definedName>
    <definedName name="_2">#REF!</definedName>
    <definedName name="_2__123Graph_BCHART_1" hidden="1">#REF!</definedName>
    <definedName name="_25.PREP.TERREN" localSheetId="12">#REF!</definedName>
    <definedName name="_25.PREP.TERREN" localSheetId="30">#REF!</definedName>
    <definedName name="_25.PREP.TERREN" localSheetId="28">#REF!</definedName>
    <definedName name="_25.PREP.TERREN" localSheetId="27">#REF!</definedName>
    <definedName name="_25.PREP.TERREN" localSheetId="18">#REF!</definedName>
    <definedName name="_25.PREP.TERREN" localSheetId="7">#REF!</definedName>
    <definedName name="_25.PREP.TERREN" localSheetId="23">#REF!</definedName>
    <definedName name="_25.PREP.TERREN">#REF!</definedName>
    <definedName name="_27.FUND._ESCOR" localSheetId="12">#REF!</definedName>
    <definedName name="_27.FUND._ESCOR" localSheetId="30">#REF!</definedName>
    <definedName name="_27.FUND._ESCOR" localSheetId="28">#REF!</definedName>
    <definedName name="_27.FUND._ESCOR" localSheetId="27">#REF!</definedName>
    <definedName name="_27.FUND._ESCOR" localSheetId="18">#REF!</definedName>
    <definedName name="_27.FUND._ESCOR" localSheetId="7">#REF!</definedName>
    <definedName name="_27.FUND._ESCOR" localSheetId="23">#REF!</definedName>
    <definedName name="_27.FUND._ESCOR">#REF!</definedName>
    <definedName name="_2F" localSheetId="12" hidden="1">#REF!</definedName>
    <definedName name="_2F" localSheetId="30" hidden="1">#REF!</definedName>
    <definedName name="_2F" localSheetId="28" hidden="1">#REF!</definedName>
    <definedName name="_2F" localSheetId="27" hidden="1">#REF!</definedName>
    <definedName name="_2F" localSheetId="18" hidden="1">#REF!</definedName>
    <definedName name="_2F" localSheetId="7" hidden="1">#REF!</definedName>
    <definedName name="_2F" localSheetId="23" hidden="1">#REF!</definedName>
    <definedName name="_2F" hidden="1">#REF!</definedName>
    <definedName name="_3__123Graph_XCHART_1" hidden="1">#REF!</definedName>
    <definedName name="_31_32_33.C_A" localSheetId="12">#REF!</definedName>
    <definedName name="_31_32_33.C_A" localSheetId="30">#REF!</definedName>
    <definedName name="_31_32_33.C_A" localSheetId="28">#REF!</definedName>
    <definedName name="_31_32_33.C_A" localSheetId="27">#REF!</definedName>
    <definedName name="_31_32_33.C_A" localSheetId="18">#REF!</definedName>
    <definedName name="_31_32_33.C_A" localSheetId="7">#REF!</definedName>
    <definedName name="_31_32_33.C_A" localSheetId="23">#REF!</definedName>
    <definedName name="_31_32_33.C_A">#REF!</definedName>
    <definedName name="_41.ALVENARIA" localSheetId="12">#REF!</definedName>
    <definedName name="_41.ALVENARIA" localSheetId="30">#REF!</definedName>
    <definedName name="_41.ALVENARIA" localSheetId="28">#REF!</definedName>
    <definedName name="_41.ALVENARIA" localSheetId="27">#REF!</definedName>
    <definedName name="_41.ALVENARIA" localSheetId="18">#REF!</definedName>
    <definedName name="_41.ALVENARIA" localSheetId="7">#REF!</definedName>
    <definedName name="_41.ALVENARIA" localSheetId="23">#REF!</definedName>
    <definedName name="_41.ALVENARIA">#REF!</definedName>
    <definedName name="_47.IMP._ISOLA." localSheetId="12">#REF!</definedName>
    <definedName name="_47.IMP._ISOLA." localSheetId="30">#REF!</definedName>
    <definedName name="_47.IMP._ISOLA." localSheetId="28">#REF!</definedName>
    <definedName name="_47.IMP._ISOLA." localSheetId="27">#REF!</definedName>
    <definedName name="_47.IMP._ISOLA." localSheetId="18">#REF!</definedName>
    <definedName name="_47.IMP._ISOLA." localSheetId="7">#REF!</definedName>
    <definedName name="_47.IMP._ISOLA." localSheetId="23">#REF!</definedName>
    <definedName name="_47.IMP._ISOLA.">#REF!</definedName>
    <definedName name="_5__123Graph_ACHART_1" hidden="1">#REF!</definedName>
    <definedName name="_51.REV.ARGAMAS" localSheetId="12">#REF!</definedName>
    <definedName name="_51.REV.ARGAMAS" localSheetId="30">#REF!</definedName>
    <definedName name="_51.REV.ARGAMAS" localSheetId="28">#REF!</definedName>
    <definedName name="_51.REV.ARGAMAS" localSheetId="27">#REF!</definedName>
    <definedName name="_51.REV.ARGAMAS" localSheetId="18">#REF!</definedName>
    <definedName name="_51.REV.ARGAMAS" localSheetId="7">#REF!</definedName>
    <definedName name="_51.REV.ARGAMAS" localSheetId="23">#REF!</definedName>
    <definedName name="_51.REV.ARGAMAS">#REF!</definedName>
    <definedName name="_52.REV.CERAM.I" localSheetId="12">#REF!</definedName>
    <definedName name="_52.REV.CERAM.I" localSheetId="30">#REF!</definedName>
    <definedName name="_52.REV.CERAM.I" localSheetId="28">#REF!</definedName>
    <definedName name="_52.REV.CERAM.I" localSheetId="27">#REF!</definedName>
    <definedName name="_52.REV.CERAM.I" localSheetId="18">#REF!</definedName>
    <definedName name="_52.REV.CERAM.I" localSheetId="7">#REF!</definedName>
    <definedName name="_52.REV.CERAM.I" localSheetId="23">#REF!</definedName>
    <definedName name="_52.REV.CERAM.I">#REF!</definedName>
    <definedName name="_53.REV.CERAM.E" localSheetId="12">#REF!</definedName>
    <definedName name="_53.REV.CERAM.E" localSheetId="30">#REF!</definedName>
    <definedName name="_53.REV.CERAM.E" localSheetId="28">#REF!</definedName>
    <definedName name="_53.REV.CERAM.E" localSheetId="27">#REF!</definedName>
    <definedName name="_53.REV.CERAM.E" localSheetId="18">#REF!</definedName>
    <definedName name="_53.REV.CERAM.E" localSheetId="7">#REF!</definedName>
    <definedName name="_53.REV.CERAM.E" localSheetId="23">#REF!</definedName>
    <definedName name="_53.REV.CERAM.E">#REF!</definedName>
    <definedName name="_54.TACOS_E_ASS" localSheetId="12">#REF!</definedName>
    <definedName name="_54.TACOS_E_ASS" localSheetId="30">#REF!</definedName>
    <definedName name="_54.TACOS_E_ASS" localSheetId="28">#REF!</definedName>
    <definedName name="_54.TACOS_E_ASS" localSheetId="27">#REF!</definedName>
    <definedName name="_54.TACOS_E_ASS" localSheetId="18">#REF!</definedName>
    <definedName name="_54.TACOS_E_ASS" localSheetId="7">#REF!</definedName>
    <definedName name="_54.TACOS_E_ASS" localSheetId="23">#REF!</definedName>
    <definedName name="_54.TACOS_E_ASS">#REF!</definedName>
    <definedName name="_55.MARM._E_GRA" localSheetId="12">#REF!</definedName>
    <definedName name="_55.MARM._E_GRA" localSheetId="30">#REF!</definedName>
    <definedName name="_55.MARM._E_GRA" localSheetId="28">#REF!</definedName>
    <definedName name="_55.MARM._E_GRA" localSheetId="27">#REF!</definedName>
    <definedName name="_55.MARM._E_GRA" localSheetId="18">#REF!</definedName>
    <definedName name="_55.MARM._E_GRA" localSheetId="7">#REF!</definedName>
    <definedName name="_55.MARM._E_GRA" localSheetId="23">#REF!</definedName>
    <definedName name="_55.MARM._E_GRA">#REF!</definedName>
    <definedName name="_56.MARMORITE" localSheetId="12">#REF!</definedName>
    <definedName name="_56.MARMORITE" localSheetId="30">#REF!</definedName>
    <definedName name="_56.MARMORITE" localSheetId="28">#REF!</definedName>
    <definedName name="_56.MARMORITE" localSheetId="27">#REF!</definedName>
    <definedName name="_56.MARMORITE" localSheetId="18">#REF!</definedName>
    <definedName name="_56.MARMORITE" localSheetId="7">#REF!</definedName>
    <definedName name="_56.MARMORITE" localSheetId="23">#REF!</definedName>
    <definedName name="_56.MARMORITE">#REF!</definedName>
    <definedName name="_59.OUTRS_REVES" localSheetId="12">#REF!</definedName>
    <definedName name="_59.OUTRS_REVES" localSheetId="30">#REF!</definedName>
    <definedName name="_59.OUTRS_REVES" localSheetId="28">#REF!</definedName>
    <definedName name="_59.OUTRS_REVES" localSheetId="27">#REF!</definedName>
    <definedName name="_59.OUTRS_REVES" localSheetId="18">#REF!</definedName>
    <definedName name="_59.OUTRS_REVES" localSheetId="7">#REF!</definedName>
    <definedName name="_59.OUTRS_REVES" localSheetId="23">#REF!</definedName>
    <definedName name="_59.OUTRS_REVES">#REF!</definedName>
    <definedName name="_6__123Graph_AChart_1A" localSheetId="12" hidden="1">#REF!</definedName>
    <definedName name="_6__123Graph_AChart_1A" localSheetId="30" hidden="1">#REF!</definedName>
    <definedName name="_6__123Graph_AChart_1A" localSheetId="28" hidden="1">#REF!</definedName>
    <definedName name="_6__123Graph_AChart_1A" localSheetId="27" hidden="1">#REF!</definedName>
    <definedName name="_6__123Graph_AChart_1A" localSheetId="18" hidden="1">#REF!</definedName>
    <definedName name="_6__123Graph_AChart_1A" localSheetId="7" hidden="1">#REF!</definedName>
    <definedName name="_6__123Graph_AChart_1A" localSheetId="23" hidden="1">#REF!</definedName>
    <definedName name="_6__123Graph_AChart_1A" hidden="1">#REF!</definedName>
    <definedName name="_61.ESQUAD._MAD" localSheetId="12">#REF!</definedName>
    <definedName name="_61.ESQUAD._MAD" localSheetId="30">#REF!</definedName>
    <definedName name="_61.ESQUAD._MAD" localSheetId="28">#REF!</definedName>
    <definedName name="_61.ESQUAD._MAD" localSheetId="27">#REF!</definedName>
    <definedName name="_61.ESQUAD._MAD" localSheetId="18">#REF!</definedName>
    <definedName name="_61.ESQUAD._MAD" localSheetId="7">#REF!</definedName>
    <definedName name="_61.ESQUAD._MAD" localSheetId="23">#REF!</definedName>
    <definedName name="_61.ESQUAD._MAD">#REF!</definedName>
    <definedName name="_63.ESQUAD._ALU" localSheetId="12">#REF!</definedName>
    <definedName name="_63.ESQUAD._ALU" localSheetId="30">#REF!</definedName>
    <definedName name="_63.ESQUAD._ALU" localSheetId="28">#REF!</definedName>
    <definedName name="_63.ESQUAD._ALU" localSheetId="27">#REF!</definedName>
    <definedName name="_63.ESQUAD._ALU" localSheetId="18">#REF!</definedName>
    <definedName name="_63.ESQUAD._ALU" localSheetId="7">#REF!</definedName>
    <definedName name="_63.ESQUAD._ALU" localSheetId="23">#REF!</definedName>
    <definedName name="_63.ESQUAD._ALU">#REF!</definedName>
    <definedName name="_65.ESQUAD._FER" localSheetId="12">#REF!</definedName>
    <definedName name="_65.ESQUAD._FER" localSheetId="30">#REF!</definedName>
    <definedName name="_65.ESQUAD._FER" localSheetId="28">#REF!</definedName>
    <definedName name="_65.ESQUAD._FER" localSheetId="27">#REF!</definedName>
    <definedName name="_65.ESQUAD._FER" localSheetId="18">#REF!</definedName>
    <definedName name="_65.ESQUAD._FER" localSheetId="7">#REF!</definedName>
    <definedName name="_65.ESQUAD._FER" localSheetId="23">#REF!</definedName>
    <definedName name="_65.ESQUAD._FER">#REF!</definedName>
    <definedName name="_67.VIDROS" localSheetId="12">#REF!</definedName>
    <definedName name="_67.VIDROS" localSheetId="30">#REF!</definedName>
    <definedName name="_67.VIDROS" localSheetId="28">#REF!</definedName>
    <definedName name="_67.VIDROS" localSheetId="27">#REF!</definedName>
    <definedName name="_67.VIDROS" localSheetId="18">#REF!</definedName>
    <definedName name="_67.VIDROS" localSheetId="7">#REF!</definedName>
    <definedName name="_67.VIDROS" localSheetId="23">#REF!</definedName>
    <definedName name="_67.VIDROS">#REF!</definedName>
    <definedName name="_7__123Graph_ACHART_2" hidden="1">#REF!</definedName>
    <definedName name="_71_73.I.ELET_H" localSheetId="12">#REF!</definedName>
    <definedName name="_71_73.I.ELET_H" localSheetId="30">#REF!</definedName>
    <definedName name="_71_73.I.ELET_H" localSheetId="28">#REF!</definedName>
    <definedName name="_71_73.I.ELET_H" localSheetId="27">#REF!</definedName>
    <definedName name="_71_73.I.ELET_H" localSheetId="18">#REF!</definedName>
    <definedName name="_71_73.I.ELET_H" localSheetId="7">#REF!</definedName>
    <definedName name="_71_73.I.ELET_H" localSheetId="23">#REF!</definedName>
    <definedName name="_71_73.I.ELET_H">#REF!</definedName>
    <definedName name="_77.OUTRAS_INST." localSheetId="12">#REF!</definedName>
    <definedName name="_77.OUTRAS_INST." localSheetId="30">#REF!</definedName>
    <definedName name="_77.OUTRAS_INST." localSheetId="28">#REF!</definedName>
    <definedName name="_77.OUTRAS_INST." localSheetId="27">#REF!</definedName>
    <definedName name="_77.OUTRAS_INST." localSheetId="18">#REF!</definedName>
    <definedName name="_77.OUTRAS_INST." localSheetId="7">#REF!</definedName>
    <definedName name="_77.OUTRAS_INST." localSheetId="23">#REF!</definedName>
    <definedName name="_77.OUTRAS_INST.">#REF!</definedName>
    <definedName name="_78.ELEVADORES" localSheetId="12">#REF!</definedName>
    <definedName name="_78.ELEVADORES" localSheetId="30">#REF!</definedName>
    <definedName name="_78.ELEVADORES" localSheetId="28">#REF!</definedName>
    <definedName name="_78.ELEVADORES" localSheetId="27">#REF!</definedName>
    <definedName name="_78.ELEVADORES" localSheetId="18">#REF!</definedName>
    <definedName name="_78.ELEVADORES" localSheetId="7">#REF!</definedName>
    <definedName name="_78.ELEVADORES" localSheetId="23">#REF!</definedName>
    <definedName name="_78.ELEVADORES">#REF!</definedName>
    <definedName name="_8__123Graph_BChart_1A" localSheetId="12" hidden="1">#REF!</definedName>
    <definedName name="_8__123Graph_BChart_1A" localSheetId="30" hidden="1">#REF!</definedName>
    <definedName name="_8__123Graph_BChart_1A" localSheetId="28" hidden="1">#REF!</definedName>
    <definedName name="_8__123Graph_BChart_1A" localSheetId="27" hidden="1">#REF!</definedName>
    <definedName name="_8__123Graph_BChart_1A" localSheetId="18" hidden="1">#REF!</definedName>
    <definedName name="_8__123Graph_BChart_1A" localSheetId="7" hidden="1">#REF!</definedName>
    <definedName name="_8__123Graph_BChart_1A" localSheetId="23" hidden="1">#REF!</definedName>
    <definedName name="_8__123Graph_BChart_1A" hidden="1">#REF!</definedName>
    <definedName name="_81.APAR._SANIT" localSheetId="12">#REF!</definedName>
    <definedName name="_81.APAR._SANIT" localSheetId="30">#REF!</definedName>
    <definedName name="_81.APAR._SANIT" localSheetId="28">#REF!</definedName>
    <definedName name="_81.APAR._SANIT" localSheetId="27">#REF!</definedName>
    <definedName name="_81.APAR._SANIT" localSheetId="18">#REF!</definedName>
    <definedName name="_81.APAR._SANIT" localSheetId="7">#REF!</definedName>
    <definedName name="_81.APAR._SANIT" localSheetId="23">#REF!</definedName>
    <definedName name="_81.APAR._SANIT">#REF!</definedName>
    <definedName name="_83_85.PINT_LIM" localSheetId="12">#REF!</definedName>
    <definedName name="_83_85.PINT_LIM" localSheetId="30">#REF!</definedName>
    <definedName name="_83_85.PINT_LIM" localSheetId="28">#REF!</definedName>
    <definedName name="_83_85.PINT_LIM" localSheetId="27">#REF!</definedName>
    <definedName name="_83_85.PINT_LIM" localSheetId="18">#REF!</definedName>
    <definedName name="_83_85.PINT_LIM" localSheetId="7">#REF!</definedName>
    <definedName name="_83_85.PINT_LIM" localSheetId="23">#REF!</definedName>
    <definedName name="_83_85.PINT_LIM">#REF!</definedName>
    <definedName name="_9__123Graph_BCHART_2" hidden="1">#REF!</definedName>
    <definedName name="_ACR10" localSheetId="12">#REF!</definedName>
    <definedName name="_ACR10" localSheetId="30">#REF!</definedName>
    <definedName name="_ACR10" localSheetId="28">#REF!</definedName>
    <definedName name="_ACR10" localSheetId="27">#REF!</definedName>
    <definedName name="_ACR10" localSheetId="18">#REF!</definedName>
    <definedName name="_ACR10" localSheetId="7">#REF!</definedName>
    <definedName name="_ACR10" localSheetId="23">#REF!</definedName>
    <definedName name="_ACR10">#REF!</definedName>
    <definedName name="_ACR15" localSheetId="12">#REF!</definedName>
    <definedName name="_ACR15" localSheetId="30">#REF!</definedName>
    <definedName name="_ACR15" localSheetId="28">#REF!</definedName>
    <definedName name="_ACR15" localSheetId="27">#REF!</definedName>
    <definedName name="_ACR15" localSheetId="18">#REF!</definedName>
    <definedName name="_ACR15" localSheetId="7">#REF!</definedName>
    <definedName name="_ACR15" localSheetId="23">#REF!</definedName>
    <definedName name="_ACR15">#REF!</definedName>
    <definedName name="_acr20" localSheetId="12">#REF!</definedName>
    <definedName name="_acr20" localSheetId="30">#REF!</definedName>
    <definedName name="_acr20" localSheetId="28">#REF!</definedName>
    <definedName name="_acr20" localSheetId="27">#REF!</definedName>
    <definedName name="_acr20" localSheetId="18">#REF!</definedName>
    <definedName name="_acr20" localSheetId="7">#REF!</definedName>
    <definedName name="_acr20" localSheetId="23">#REF!</definedName>
    <definedName name="_acr20">#REF!</definedName>
    <definedName name="_acr5" localSheetId="12">#REF!</definedName>
    <definedName name="_acr5" localSheetId="30">#REF!</definedName>
    <definedName name="_acr5" localSheetId="28">#REF!</definedName>
    <definedName name="_acr5" localSheetId="27">#REF!</definedName>
    <definedName name="_acr5" localSheetId="18">#REF!</definedName>
    <definedName name="_acr5" localSheetId="7">#REF!</definedName>
    <definedName name="_acr5" localSheetId="23">#REF!</definedName>
    <definedName name="_acr5">#REF!</definedName>
    <definedName name="_akhnsdkjsdb">#REF!</definedName>
    <definedName name="_AMO_UniqueIdentifier" hidden="1">"'54256040-62ff-475a-9348-dbdfce08df30'"</definedName>
    <definedName name="_ARQ1" localSheetId="12">#REF!</definedName>
    <definedName name="_ARQ1" localSheetId="30">#REF!</definedName>
    <definedName name="_ARQ1" localSheetId="28">#REF!</definedName>
    <definedName name="_ARQ1" localSheetId="27">#REF!</definedName>
    <definedName name="_ARQ1" localSheetId="18">#REF!</definedName>
    <definedName name="_ARQ1" localSheetId="7">#REF!</definedName>
    <definedName name="_ARQ1" localSheetId="23">#REF!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 localSheetId="12">#REF!</definedName>
    <definedName name="_Axe3" localSheetId="30">#REF!</definedName>
    <definedName name="_Axe3" localSheetId="28">#REF!</definedName>
    <definedName name="_Axe3" localSheetId="27">#REF!</definedName>
    <definedName name="_Axe3" localSheetId="18">#REF!</definedName>
    <definedName name="_Axe3" localSheetId="7">#REF!</definedName>
    <definedName name="_Axe3" localSheetId="23">#REF!</definedName>
    <definedName name="_Axe3">#REF!</definedName>
    <definedName name="_Axe4" localSheetId="12">#REF!</definedName>
    <definedName name="_Axe4" localSheetId="30">#REF!</definedName>
    <definedName name="_Axe4" localSheetId="28">#REF!</definedName>
    <definedName name="_Axe4" localSheetId="27">#REF!</definedName>
    <definedName name="_Axe4" localSheetId="18">#REF!</definedName>
    <definedName name="_Axe4" localSheetId="7">#REF!</definedName>
    <definedName name="_Axe4" localSheetId="23">#REF!</definedName>
    <definedName name="_Axe4">#REF!</definedName>
    <definedName name="_Builtin13" localSheetId="12" hidden="1">#REF!</definedName>
    <definedName name="_Builtin13" localSheetId="30" hidden="1">#REF!</definedName>
    <definedName name="_Builtin13" localSheetId="28" hidden="1">#REF!</definedName>
    <definedName name="_Builtin13" localSheetId="27" hidden="1">#REF!</definedName>
    <definedName name="_Builtin13" localSheetId="18" hidden="1">#REF!</definedName>
    <definedName name="_Builtin13" localSheetId="7" hidden="1">#REF!</definedName>
    <definedName name="_Builtin13" localSheetId="23" hidden="1">#REF!</definedName>
    <definedName name="_Builtin13" hidden="1">#REF!</definedName>
    <definedName name="_CAB1" localSheetId="12">#REF!</definedName>
    <definedName name="_CAB1" localSheetId="30">#REF!</definedName>
    <definedName name="_CAB1" localSheetId="28">#REF!</definedName>
    <definedName name="_CAB1" localSheetId="27">#REF!</definedName>
    <definedName name="_CAB1" localSheetId="18">#REF!</definedName>
    <definedName name="_CAB1" localSheetId="7">#REF!</definedName>
    <definedName name="_CAB1" localSheetId="23">#REF!</definedName>
    <definedName name="_CAB1">#REF!</definedName>
    <definedName name="_CAB2" localSheetId="12">#REF!</definedName>
    <definedName name="_CAB2" localSheetId="30">#REF!</definedName>
    <definedName name="_CAB2" localSheetId="28">#REF!</definedName>
    <definedName name="_CAB2" localSheetId="27">#REF!</definedName>
    <definedName name="_CAB2" localSheetId="18">#REF!</definedName>
    <definedName name="_CAB2" localSheetId="7">#REF!</definedName>
    <definedName name="_CAB2" localSheetId="23">#REF!</definedName>
    <definedName name="_CAB2">#REF!</definedName>
    <definedName name="_CO2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localSheetId="12" hidden="1">#REF!</definedName>
    <definedName name="_Dist_Bin" localSheetId="30" hidden="1">#REF!</definedName>
    <definedName name="_Dist_Bin" localSheetId="28" hidden="1">#REF!</definedName>
    <definedName name="_Dist_Bin" localSheetId="27" hidden="1">#REF!</definedName>
    <definedName name="_Dist_Bin" localSheetId="18" hidden="1">#REF!</definedName>
    <definedName name="_Dist_Bin" localSheetId="7" hidden="1">#REF!</definedName>
    <definedName name="_Dist_Bin" localSheetId="23" hidden="1">#REF!</definedName>
    <definedName name="_Dist_Bin" hidden="1">#REF!</definedName>
    <definedName name="_Dist_Values" localSheetId="3" hidden="1">#REF!</definedName>
    <definedName name="_Dist_Values" localSheetId="12" hidden="1">#REF!</definedName>
    <definedName name="_Dist_Values" localSheetId="30" hidden="1">#REF!</definedName>
    <definedName name="_Dist_Values" localSheetId="28" hidden="1">#REF!</definedName>
    <definedName name="_Dist_Values" localSheetId="27" hidden="1">#REF!</definedName>
    <definedName name="_Dist_Values" localSheetId="18" hidden="1">#REF!</definedName>
    <definedName name="_Dist_Values" localSheetId="7" hidden="1">#REF!</definedName>
    <definedName name="_Dist_Values" localSheetId="23" hidden="1">#REF!</definedName>
    <definedName name="_Dist_Values" hidden="1">#REF!</definedName>
    <definedName name="_ECS1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localSheetId="14" hidden="1">#REF!</definedName>
    <definedName name="_Fill" localSheetId="11" hidden="1">#REF!</definedName>
    <definedName name="_Fill" localSheetId="19" hidden="1">#REF!</definedName>
    <definedName name="_Fill" localSheetId="3" hidden="1">#REF!</definedName>
    <definedName name="_Fill" localSheetId="12" hidden="1">#REF!</definedName>
    <definedName name="_Fill" localSheetId="30" hidden="1">#REF!</definedName>
    <definedName name="_Fill" localSheetId="28" hidden="1">#REF!</definedName>
    <definedName name="_Fill" localSheetId="27" hidden="1">#REF!</definedName>
    <definedName name="_Fill" localSheetId="21" hidden="1">#REF!</definedName>
    <definedName name="_Fill" localSheetId="18" hidden="1">#REF!</definedName>
    <definedName name="_Fill" localSheetId="7" hidden="1">#REF!</definedName>
    <definedName name="_Fill" localSheetId="23" hidden="1">#REF!</definedName>
    <definedName name="_Fill" localSheetId="25" hidden="1">#REF!</definedName>
    <definedName name="_Fill" localSheetId="15" hidden="1">#REF!</definedName>
    <definedName name="_Fill" hidden="1">#REF!</definedName>
    <definedName name="_fill1" localSheetId="12" hidden="1">#REF!</definedName>
    <definedName name="_fill1" localSheetId="30" hidden="1">#REF!</definedName>
    <definedName name="_fill1" localSheetId="28" hidden="1">#REF!</definedName>
    <definedName name="_fill1" localSheetId="27" hidden="1">#REF!</definedName>
    <definedName name="_fill1" localSheetId="18" hidden="1">#REF!</definedName>
    <definedName name="_fill1" localSheetId="7" hidden="1">#REF!</definedName>
    <definedName name="_fill1" localSheetId="23" hidden="1">#REF!</definedName>
    <definedName name="_fill1" hidden="1">#REF!</definedName>
    <definedName name="_FiltrarBancoDados2" localSheetId="12" hidden="1">#REF!</definedName>
    <definedName name="_FiltrarBancoDados2" localSheetId="30" hidden="1">#REF!</definedName>
    <definedName name="_FiltrarBancoDados2" localSheetId="28" hidden="1">#REF!</definedName>
    <definedName name="_FiltrarBancoDados2" localSheetId="27" hidden="1">#REF!</definedName>
    <definedName name="_FiltrarBancoDados2" localSheetId="18" hidden="1">#REF!</definedName>
    <definedName name="_FiltrarBancoDados2" localSheetId="7" hidden="1">#REF!</definedName>
    <definedName name="_FiltrarBancoDados2" localSheetId="23" hidden="1">#REF!</definedName>
    <definedName name="_FiltrarBancoDados2" hidden="1">#REF!</definedName>
    <definedName name="_xlnm._FilterDatabase" localSheetId="14" hidden="1">'Arm. Cortina'!$A$7:$P$16</definedName>
    <definedName name="_xlnm._FilterDatabase" localSheetId="11" hidden="1">'Arm. Estacas'!$A$45:$Q$52</definedName>
    <definedName name="_xlnm._FilterDatabase" localSheetId="19" hidden="1">'Arm. Fund. Dir'!$A$15:$P$16</definedName>
    <definedName name="_xlnm._FilterDatabase" localSheetId="3" hidden="1">CONTROLE_TEC!$A$5:$G$12</definedName>
    <definedName name="_xlnm._FilterDatabase" localSheetId="12" hidden="1">#REF!</definedName>
    <definedName name="_xlnm._FilterDatabase" localSheetId="1" hidden="1">'EPC''s'!#REF!</definedName>
    <definedName name="_xlnm._FilterDatabase" localSheetId="29" hidden="1">'ESQ. ALUM.'!$E$6:$M$93</definedName>
    <definedName name="_xlnm._FilterDatabase" localSheetId="31" hidden="1">'ESQ. MAD. E PCF'!$E$6:$L$48</definedName>
    <definedName name="_xlnm._FilterDatabase" localSheetId="30" hidden="1">'ESQ. MET E SERR'!$E$6:$L$14</definedName>
    <definedName name="_xlnm._FilterDatabase" localSheetId="28" hidden="1">#REF!</definedName>
    <definedName name="_xlnm._FilterDatabase" localSheetId="32" hidden="1">'GC-CORRIMÃO'!$E$6:$L$35</definedName>
    <definedName name="_xlnm._FilterDatabase" localSheetId="27" hidden="1">#REF!</definedName>
    <definedName name="_xlnm._FilterDatabase" localSheetId="33" hidden="1">INTERFONIA!$B$11:$B$21</definedName>
    <definedName name="_xlnm._FilterDatabase" localSheetId="36" hidden="1">'LOUÇAS&amp;METAIS'!#REF!</definedName>
    <definedName name="_xlnm._FilterDatabase" localSheetId="37" hidden="1">'LOUÇAS&amp;METAIS RESUMO'!#REF!</definedName>
    <definedName name="_xlnm._FilterDatabase" localSheetId="34" hidden="1">MOBILIARIO!$D$6:$H$149</definedName>
    <definedName name="_xlnm._FilterDatabase" localSheetId="0" hidden="1">OBRA!#REF!</definedName>
    <definedName name="_xlnm._FilterDatabase" localSheetId="4" hidden="1">ORÇAMENTO!$G$7:$P$253</definedName>
    <definedName name="_xlnm._FilterDatabase" localSheetId="18" hidden="1">#REF!</definedName>
    <definedName name="_xlnm._FilterDatabase" localSheetId="35" hidden="1">PISCINA!$C$13:$C$22</definedName>
    <definedName name="_xlnm._FilterDatabase" localSheetId="7" hidden="1">#REF!</definedName>
    <definedName name="_xlnm._FilterDatabase" localSheetId="23" hidden="1">#REF!</definedName>
    <definedName name="_xlnm._FilterDatabase" localSheetId="25" hidden="1">SUPRA!$A$51:$O$52</definedName>
    <definedName name="_xlnm._FilterDatabase" localSheetId="15" hidden="1">'Tabela de Aço'!$A$19:$A$29</definedName>
    <definedName name="_xlnm._FilterDatabase" hidden="1">#REF!</definedName>
    <definedName name="_htm2" localSheetId="12">#REF!</definedName>
    <definedName name="_htm2" localSheetId="30">#REF!</definedName>
    <definedName name="_htm2" localSheetId="28">#REF!</definedName>
    <definedName name="_htm2" localSheetId="27">#REF!</definedName>
    <definedName name="_htm2" localSheetId="18">#REF!</definedName>
    <definedName name="_htm2" localSheetId="7">#REF!</definedName>
    <definedName name="_htm2" localSheetId="23">#REF!</definedName>
    <definedName name="_htm2">#REF!</definedName>
    <definedName name="_htn2" localSheetId="12">#REF!</definedName>
    <definedName name="_htn2" localSheetId="30">#REF!</definedName>
    <definedName name="_htn2" localSheetId="28">#REF!</definedName>
    <definedName name="_htn2" localSheetId="27">#REF!</definedName>
    <definedName name="_htn2" localSheetId="18">#REF!</definedName>
    <definedName name="_htn2" localSheetId="7">#REF!</definedName>
    <definedName name="_htn2" localSheetId="23">#REF!</definedName>
    <definedName name="_htn2">#REF!</definedName>
    <definedName name="_IA0542" localSheetId="3" hidden="1">{#N/A,#N/A,FALSE,"Plan1";#N/A,#N/A,FALSE,"Plan2"}</definedName>
    <definedName name="_IA0542" localSheetId="33" hidden="1">{#N/A,#N/A,FALSE,"Plan1";#N/A,#N/A,FALSE,"Plan2"}</definedName>
    <definedName name="_IA0542" localSheetId="35" hidden="1">{#N/A,#N/A,FALSE,"Plan1";#N/A,#N/A,FALSE,"Plan2"}</definedName>
    <definedName name="_IA0542" hidden="1">{#N/A,#N/A,FALSE,"Plan1";#N/A,#N/A,FALSE,"Plan2"}</definedName>
    <definedName name="_iss2" localSheetId="12">#REF!</definedName>
    <definedName name="_iss2" localSheetId="30">#REF!</definedName>
    <definedName name="_iss2" localSheetId="28">#REF!</definedName>
    <definedName name="_iss2" localSheetId="27">#REF!</definedName>
    <definedName name="_iss2" localSheetId="18">#REF!</definedName>
    <definedName name="_iss2" localSheetId="7">#REF!</definedName>
    <definedName name="_iss2" localSheetId="23">#REF!</definedName>
    <definedName name="_iss2">#REF!</definedName>
    <definedName name="_IV65617" localSheetId="12">#REF!</definedName>
    <definedName name="_IV65617" localSheetId="30">#REF!</definedName>
    <definedName name="_IV65617" localSheetId="28">#REF!</definedName>
    <definedName name="_IV65617" localSheetId="27">#REF!</definedName>
    <definedName name="_IV65617" localSheetId="18">#REF!</definedName>
    <definedName name="_IV65617" localSheetId="7">#REF!</definedName>
    <definedName name="_IV65617" localSheetId="23">#REF!</definedName>
    <definedName name="_IV65617">#REF!</definedName>
    <definedName name="_IV65999" localSheetId="12">#REF!</definedName>
    <definedName name="_IV65999" localSheetId="30">#REF!</definedName>
    <definedName name="_IV65999" localSheetId="28">#REF!</definedName>
    <definedName name="_IV65999" localSheetId="27">#REF!</definedName>
    <definedName name="_IV65999" localSheetId="18">#REF!</definedName>
    <definedName name="_IV65999" localSheetId="7">#REF!</definedName>
    <definedName name="_IV65999" localSheetId="23">#REF!</definedName>
    <definedName name="_IV65999">#REF!</definedName>
    <definedName name="_IV66000" localSheetId="12">#REF!</definedName>
    <definedName name="_IV66000" localSheetId="30">#REF!</definedName>
    <definedName name="_IV66000" localSheetId="28">#REF!</definedName>
    <definedName name="_IV66000" localSheetId="27">#REF!</definedName>
    <definedName name="_IV66000" localSheetId="18">#REF!</definedName>
    <definedName name="_IV66000" localSheetId="7">#REF!</definedName>
    <definedName name="_IV66000" localSheetId="23">#REF!</definedName>
    <definedName name="_IV66000">#REF!</definedName>
    <definedName name="_IV67021" localSheetId="12">#REF!</definedName>
    <definedName name="_IV67021" localSheetId="30">#REF!</definedName>
    <definedName name="_IV67021" localSheetId="28">#REF!</definedName>
    <definedName name="_IV67021" localSheetId="27">#REF!</definedName>
    <definedName name="_IV67021" localSheetId="18">#REF!</definedName>
    <definedName name="_IV67021" localSheetId="7">#REF!</definedName>
    <definedName name="_IV67021" localSheetId="23">#REF!</definedName>
    <definedName name="_IV67021">#REF!</definedName>
    <definedName name="_IV67022" localSheetId="12">#REF!</definedName>
    <definedName name="_IV67022" localSheetId="30">#REF!</definedName>
    <definedName name="_IV67022" localSheetId="28">#REF!</definedName>
    <definedName name="_IV67022" localSheetId="27">#REF!</definedName>
    <definedName name="_IV67022" localSheetId="18">#REF!</definedName>
    <definedName name="_IV67022" localSheetId="7">#REF!</definedName>
    <definedName name="_IV67022" localSheetId="23">#REF!</definedName>
    <definedName name="_IV67022">#REF!</definedName>
    <definedName name="_Key1" localSheetId="3" hidden="1">#REF!</definedName>
    <definedName name="_Key1" localSheetId="12" hidden="1">#REF!</definedName>
    <definedName name="_Key1" localSheetId="30" hidden="1">#REF!</definedName>
    <definedName name="_Key1" localSheetId="28" hidden="1">#REF!</definedName>
    <definedName name="_Key1" localSheetId="27" hidden="1">#REF!</definedName>
    <definedName name="_Key1" localSheetId="18" hidden="1">#REF!</definedName>
    <definedName name="_Key1" localSheetId="7" hidden="1">#REF!</definedName>
    <definedName name="_Key1" localSheetId="23" hidden="1">#REF!</definedName>
    <definedName name="_Key1" hidden="1">#REF!</definedName>
    <definedName name="_Key2" localSheetId="12" hidden="1">#REF!</definedName>
    <definedName name="_Key2" localSheetId="30" hidden="1">#REF!</definedName>
    <definedName name="_Key2" localSheetId="28" hidden="1">#REF!</definedName>
    <definedName name="_Key2" localSheetId="27" hidden="1">#REF!</definedName>
    <definedName name="_Key2" localSheetId="18" hidden="1">#REF!</definedName>
    <definedName name="_Key2" localSheetId="7" hidden="1">#REF!</definedName>
    <definedName name="_Key2" localSheetId="23" hidden="1">#REF!</definedName>
    <definedName name="_Key2" hidden="1">#REF!</definedName>
    <definedName name="_KEY3" localSheetId="12" hidden="1">#REF!</definedName>
    <definedName name="_KEY3" localSheetId="30" hidden="1">#REF!</definedName>
    <definedName name="_KEY3" localSheetId="28" hidden="1">#REF!</definedName>
    <definedName name="_KEY3" localSheetId="27" hidden="1">#REF!</definedName>
    <definedName name="_KEY3" localSheetId="18" hidden="1">#REF!</definedName>
    <definedName name="_KEY3" localSheetId="7" hidden="1">#REF!</definedName>
    <definedName name="_KEY3" localSheetId="23" hidden="1">#REF!</definedName>
    <definedName name="_KEY3" hidden="1">#REF!</definedName>
    <definedName name="_key4" localSheetId="12" hidden="1">#REF!</definedName>
    <definedName name="_key4" localSheetId="30" hidden="1">#REF!</definedName>
    <definedName name="_key4" localSheetId="28" hidden="1">#REF!</definedName>
    <definedName name="_key4" localSheetId="27" hidden="1">#REF!</definedName>
    <definedName name="_key4" localSheetId="18" hidden="1">#REF!</definedName>
    <definedName name="_key4" localSheetId="7" hidden="1">#REF!</definedName>
    <definedName name="_key4" localSheetId="23" hidden="1">#REF!</definedName>
    <definedName name="_key4" hidden="1">#REF!</definedName>
    <definedName name="_l" localSheetId="12">#REF!</definedName>
    <definedName name="_l" localSheetId="30">#REF!</definedName>
    <definedName name="_l" localSheetId="28">#REF!</definedName>
    <definedName name="_l" localSheetId="27">#REF!</definedName>
    <definedName name="_l" localSheetId="18">#REF!</definedName>
    <definedName name="_l" localSheetId="7">#REF!</definedName>
    <definedName name="_l" localSheetId="23">#REF!</definedName>
    <definedName name="_l">#REF!</definedName>
    <definedName name="_la29" localSheetId="12" hidden="1">#REF!</definedName>
    <definedName name="_la29" localSheetId="30" hidden="1">#REF!</definedName>
    <definedName name="_la29" localSheetId="28" hidden="1">#REF!</definedName>
    <definedName name="_la29" localSheetId="27" hidden="1">#REF!</definedName>
    <definedName name="_la29" localSheetId="18" hidden="1">#REF!</definedName>
    <definedName name="_la29" localSheetId="7" hidden="1">#REF!</definedName>
    <definedName name="_la29" localSheetId="23" hidden="1">#REF!</definedName>
    <definedName name="_la29" hidden="1">#REF!</definedName>
    <definedName name="_la3" localSheetId="12" hidden="1">#REF!</definedName>
    <definedName name="_la3" localSheetId="30" hidden="1">#REF!</definedName>
    <definedName name="_la3" localSheetId="28" hidden="1">#REF!</definedName>
    <definedName name="_la3" localSheetId="27" hidden="1">#REF!</definedName>
    <definedName name="_la3" localSheetId="18" hidden="1">#REF!</definedName>
    <definedName name="_la3" localSheetId="7" hidden="1">#REF!</definedName>
    <definedName name="_la3" localSheetId="23" hidden="1">#REF!</definedName>
    <definedName name="_la3" hidden="1">#REF!</definedName>
    <definedName name="_la31" localSheetId="12" hidden="1">#REF!</definedName>
    <definedName name="_la31" localSheetId="30" hidden="1">#REF!</definedName>
    <definedName name="_la31" localSheetId="28" hidden="1">#REF!</definedName>
    <definedName name="_la31" localSheetId="27" hidden="1">#REF!</definedName>
    <definedName name="_la31" localSheetId="18" hidden="1">#REF!</definedName>
    <definedName name="_la31" localSheetId="7" hidden="1">#REF!</definedName>
    <definedName name="_la31" localSheetId="23" hidden="1">#REF!</definedName>
    <definedName name="_la31" hidden="1">#REF!</definedName>
    <definedName name="_la32" localSheetId="12" hidden="1">#REF!</definedName>
    <definedName name="_la32" localSheetId="30" hidden="1">#REF!</definedName>
    <definedName name="_la32" localSheetId="28" hidden="1">#REF!</definedName>
    <definedName name="_la32" localSheetId="27" hidden="1">#REF!</definedName>
    <definedName name="_la32" localSheetId="18" hidden="1">#REF!</definedName>
    <definedName name="_la32" localSheetId="7" hidden="1">#REF!</definedName>
    <definedName name="_la32" localSheetId="23" hidden="1">#REF!</definedName>
    <definedName name="_la32" hidden="1">#REF!</definedName>
    <definedName name="_la4" localSheetId="12" hidden="1">#REF!</definedName>
    <definedName name="_la4" localSheetId="30" hidden="1">#REF!</definedName>
    <definedName name="_la4" localSheetId="28" hidden="1">#REF!</definedName>
    <definedName name="_la4" localSheetId="27" hidden="1">#REF!</definedName>
    <definedName name="_la4" localSheetId="18" hidden="1">#REF!</definedName>
    <definedName name="_la4" localSheetId="7" hidden="1">#REF!</definedName>
    <definedName name="_la4" localSheetId="23" hidden="1">#REF!</definedName>
    <definedName name="_la4" hidden="1">#REF!</definedName>
    <definedName name="_la5" localSheetId="12" hidden="1">#REF!</definedName>
    <definedName name="_la5" localSheetId="30" hidden="1">#REF!</definedName>
    <definedName name="_la5" localSheetId="28" hidden="1">#REF!</definedName>
    <definedName name="_la5" localSheetId="27" hidden="1">#REF!</definedName>
    <definedName name="_la5" localSheetId="18" hidden="1">#REF!</definedName>
    <definedName name="_la5" localSheetId="7" hidden="1">#REF!</definedName>
    <definedName name="_la5" localSheetId="23" hidden="1">#REF!</definedName>
    <definedName name="_la5" hidden="1">#REF!</definedName>
    <definedName name="_la6" localSheetId="12" hidden="1">#REF!</definedName>
    <definedName name="_la6" localSheetId="30" hidden="1">#REF!</definedName>
    <definedName name="_la6" localSheetId="28" hidden="1">#REF!</definedName>
    <definedName name="_la6" localSheetId="27" hidden="1">#REF!</definedName>
    <definedName name="_la6" localSheetId="18" hidden="1">#REF!</definedName>
    <definedName name="_la6" localSheetId="7" hidden="1">#REF!</definedName>
    <definedName name="_la6" localSheetId="23" hidden="1">#REF!</definedName>
    <definedName name="_la6" hidden="1">#REF!</definedName>
    <definedName name="_la7" localSheetId="12" hidden="1">#REF!</definedName>
    <definedName name="_la7" localSheetId="30" hidden="1">#REF!</definedName>
    <definedName name="_la7" localSheetId="28" hidden="1">#REF!</definedName>
    <definedName name="_la7" localSheetId="27" hidden="1">#REF!</definedName>
    <definedName name="_la7" localSheetId="18" hidden="1">#REF!</definedName>
    <definedName name="_la7" localSheetId="7" hidden="1">#REF!</definedName>
    <definedName name="_la7" localSheetId="23" hidden="1">#REF!</definedName>
    <definedName name="_la7" hidden="1">#REF!</definedName>
    <definedName name="_la8" localSheetId="12" hidden="1">#REF!</definedName>
    <definedName name="_la8" localSheetId="30" hidden="1">#REF!</definedName>
    <definedName name="_la8" localSheetId="28" hidden="1">#REF!</definedName>
    <definedName name="_la8" localSheetId="27" hidden="1">#REF!</definedName>
    <definedName name="_la8" localSheetId="18" hidden="1">#REF!</definedName>
    <definedName name="_la8" localSheetId="7" hidden="1">#REF!</definedName>
    <definedName name="_la8" localSheetId="23" hidden="1">#REF!</definedName>
    <definedName name="_la8" hidden="1">#REF!</definedName>
    <definedName name="_la9" localSheetId="12" hidden="1">#REF!</definedName>
    <definedName name="_la9" localSheetId="30" hidden="1">#REF!</definedName>
    <definedName name="_la9" localSheetId="28" hidden="1">#REF!</definedName>
    <definedName name="_la9" localSheetId="27" hidden="1">#REF!</definedName>
    <definedName name="_la9" localSheetId="18" hidden="1">#REF!</definedName>
    <definedName name="_la9" localSheetId="7" hidden="1">#REF!</definedName>
    <definedName name="_la9" localSheetId="23" hidden="1">#REF!</definedName>
    <definedName name="_la9" hidden="1">#REF!</definedName>
    <definedName name="_lb1" localSheetId="12" hidden="1">#REF!</definedName>
    <definedName name="_lb1" localSheetId="30" hidden="1">#REF!</definedName>
    <definedName name="_lb1" localSheetId="28" hidden="1">#REF!</definedName>
    <definedName name="_lb1" localSheetId="27" hidden="1">#REF!</definedName>
    <definedName name="_lb1" localSheetId="18" hidden="1">#REF!</definedName>
    <definedName name="_lb1" localSheetId="7" hidden="1">#REF!</definedName>
    <definedName name="_lb1" localSheetId="23" hidden="1">#REF!</definedName>
    <definedName name="_lb1" hidden="1">#REF!</definedName>
    <definedName name="_lb10" localSheetId="12" hidden="1">#REF!</definedName>
    <definedName name="_lb10" localSheetId="30" hidden="1">#REF!</definedName>
    <definedName name="_lb10" localSheetId="28" hidden="1">#REF!</definedName>
    <definedName name="_lb10" localSheetId="27" hidden="1">#REF!</definedName>
    <definedName name="_lb10" localSheetId="18" hidden="1">#REF!</definedName>
    <definedName name="_lb10" localSheetId="7" hidden="1">#REF!</definedName>
    <definedName name="_lb10" localSheetId="23" hidden="1">#REF!</definedName>
    <definedName name="_lb10" hidden="1">#REF!</definedName>
    <definedName name="_lb11" localSheetId="12" hidden="1">#REF!</definedName>
    <definedName name="_lb11" localSheetId="30" hidden="1">#REF!</definedName>
    <definedName name="_lb11" localSheetId="28" hidden="1">#REF!</definedName>
    <definedName name="_lb11" localSheetId="27" hidden="1">#REF!</definedName>
    <definedName name="_lb11" localSheetId="18" hidden="1">#REF!</definedName>
    <definedName name="_lb11" localSheetId="7" hidden="1">#REF!</definedName>
    <definedName name="_lb11" localSheetId="23" hidden="1">#REF!</definedName>
    <definedName name="_lb11" hidden="1">#REF!</definedName>
    <definedName name="_lb12" localSheetId="12" hidden="1">#REF!</definedName>
    <definedName name="_lb12" localSheetId="30" hidden="1">#REF!</definedName>
    <definedName name="_lb12" localSheetId="28" hidden="1">#REF!</definedName>
    <definedName name="_lb12" localSheetId="27" hidden="1">#REF!</definedName>
    <definedName name="_lb12" localSheetId="18" hidden="1">#REF!</definedName>
    <definedName name="_lb12" localSheetId="7" hidden="1">#REF!</definedName>
    <definedName name="_lb12" localSheetId="23" hidden="1">#REF!</definedName>
    <definedName name="_lb12" hidden="1">#REF!</definedName>
    <definedName name="_lb13" localSheetId="12" hidden="1">#REF!</definedName>
    <definedName name="_lb13" localSheetId="30" hidden="1">#REF!</definedName>
    <definedName name="_lb13" localSheetId="28" hidden="1">#REF!</definedName>
    <definedName name="_lb13" localSheetId="27" hidden="1">#REF!</definedName>
    <definedName name="_lb13" localSheetId="18" hidden="1">#REF!</definedName>
    <definedName name="_lb13" localSheetId="7" hidden="1">#REF!</definedName>
    <definedName name="_lb13" localSheetId="23" hidden="1">#REF!</definedName>
    <definedName name="_lb13" hidden="1">#REF!</definedName>
    <definedName name="_lb14" localSheetId="12" hidden="1">#REF!</definedName>
    <definedName name="_lb14" localSheetId="30" hidden="1">#REF!</definedName>
    <definedName name="_lb14" localSheetId="28" hidden="1">#REF!</definedName>
    <definedName name="_lb14" localSheetId="27" hidden="1">#REF!</definedName>
    <definedName name="_lb14" localSheetId="18" hidden="1">#REF!</definedName>
    <definedName name="_lb14" localSheetId="7" hidden="1">#REF!</definedName>
    <definedName name="_lb14" localSheetId="23" hidden="1">#REF!</definedName>
    <definedName name="_lb14" hidden="1">#REF!</definedName>
    <definedName name="_lb15" localSheetId="12" hidden="1">#REF!</definedName>
    <definedName name="_lb15" localSheetId="30" hidden="1">#REF!</definedName>
    <definedName name="_lb15" localSheetId="28" hidden="1">#REF!</definedName>
    <definedName name="_lb15" localSheetId="27" hidden="1">#REF!</definedName>
    <definedName name="_lb15" localSheetId="18" hidden="1">#REF!</definedName>
    <definedName name="_lb15" localSheetId="7" hidden="1">#REF!</definedName>
    <definedName name="_lb15" localSheetId="23" hidden="1">#REF!</definedName>
    <definedName name="_lb15" hidden="1">#REF!</definedName>
    <definedName name="_lb16" localSheetId="12" hidden="1">#REF!</definedName>
    <definedName name="_lb16" localSheetId="30" hidden="1">#REF!</definedName>
    <definedName name="_lb16" localSheetId="28" hidden="1">#REF!</definedName>
    <definedName name="_lb16" localSheetId="27" hidden="1">#REF!</definedName>
    <definedName name="_lb16" localSheetId="18" hidden="1">#REF!</definedName>
    <definedName name="_lb16" localSheetId="7" hidden="1">#REF!</definedName>
    <definedName name="_lb16" localSheetId="23" hidden="1">#REF!</definedName>
    <definedName name="_lb16" hidden="1">#REF!</definedName>
    <definedName name="_lb17" localSheetId="12" hidden="1">#REF!</definedName>
    <definedName name="_lb17" localSheetId="30" hidden="1">#REF!</definedName>
    <definedName name="_lb17" localSheetId="28" hidden="1">#REF!</definedName>
    <definedName name="_lb17" localSheetId="27" hidden="1">#REF!</definedName>
    <definedName name="_lb17" localSheetId="18" hidden="1">#REF!</definedName>
    <definedName name="_lb17" localSheetId="7" hidden="1">#REF!</definedName>
    <definedName name="_lb17" localSheetId="23" hidden="1">#REF!</definedName>
    <definedName name="_lb17" hidden="1">#REF!</definedName>
    <definedName name="_lb18" localSheetId="12" hidden="1">#REF!</definedName>
    <definedName name="_lb18" localSheetId="30" hidden="1">#REF!</definedName>
    <definedName name="_lb18" localSheetId="28" hidden="1">#REF!</definedName>
    <definedName name="_lb18" localSheetId="27" hidden="1">#REF!</definedName>
    <definedName name="_lb18" localSheetId="18" hidden="1">#REF!</definedName>
    <definedName name="_lb18" localSheetId="7" hidden="1">#REF!</definedName>
    <definedName name="_lb18" localSheetId="23" hidden="1">#REF!</definedName>
    <definedName name="_lb18" hidden="1">#REF!</definedName>
    <definedName name="_lb19" localSheetId="12" hidden="1">#REF!</definedName>
    <definedName name="_lb19" localSheetId="30" hidden="1">#REF!</definedName>
    <definedName name="_lb19" localSheetId="28" hidden="1">#REF!</definedName>
    <definedName name="_lb19" localSheetId="27" hidden="1">#REF!</definedName>
    <definedName name="_lb19" localSheetId="18" hidden="1">#REF!</definedName>
    <definedName name="_lb19" localSheetId="7" hidden="1">#REF!</definedName>
    <definedName name="_lb19" localSheetId="23" hidden="1">#REF!</definedName>
    <definedName name="_lb19" hidden="1">#REF!</definedName>
    <definedName name="_lb2" localSheetId="12" hidden="1">#REF!</definedName>
    <definedName name="_lb2" localSheetId="30" hidden="1">#REF!</definedName>
    <definedName name="_lb2" localSheetId="28" hidden="1">#REF!</definedName>
    <definedName name="_lb2" localSheetId="27" hidden="1">#REF!</definedName>
    <definedName name="_lb2" localSheetId="18" hidden="1">#REF!</definedName>
    <definedName name="_lb2" localSheetId="7" hidden="1">#REF!</definedName>
    <definedName name="_lb2" localSheetId="23" hidden="1">#REF!</definedName>
    <definedName name="_lb2" hidden="1">#REF!</definedName>
    <definedName name="_lb20" localSheetId="12" hidden="1">#REF!</definedName>
    <definedName name="_lb20" localSheetId="30" hidden="1">#REF!</definedName>
    <definedName name="_lb20" localSheetId="28" hidden="1">#REF!</definedName>
    <definedName name="_lb20" localSheetId="27" hidden="1">#REF!</definedName>
    <definedName name="_lb20" localSheetId="18" hidden="1">#REF!</definedName>
    <definedName name="_lb20" localSheetId="7" hidden="1">#REF!</definedName>
    <definedName name="_lb20" localSheetId="23" hidden="1">#REF!</definedName>
    <definedName name="_lb20" hidden="1">#REF!</definedName>
    <definedName name="_lb21" localSheetId="12" hidden="1">#REF!</definedName>
    <definedName name="_lb21" localSheetId="30" hidden="1">#REF!</definedName>
    <definedName name="_lb21" localSheetId="28" hidden="1">#REF!</definedName>
    <definedName name="_lb21" localSheetId="27" hidden="1">#REF!</definedName>
    <definedName name="_lb21" localSheetId="18" hidden="1">#REF!</definedName>
    <definedName name="_lb21" localSheetId="7" hidden="1">#REF!</definedName>
    <definedName name="_lb21" localSheetId="23" hidden="1">#REF!</definedName>
    <definedName name="_lb21" hidden="1">#REF!</definedName>
    <definedName name="_lb22" localSheetId="12" hidden="1">#REF!</definedName>
    <definedName name="_lb22" localSheetId="30" hidden="1">#REF!</definedName>
    <definedName name="_lb22" localSheetId="28" hidden="1">#REF!</definedName>
    <definedName name="_lb22" localSheetId="27" hidden="1">#REF!</definedName>
    <definedName name="_lb22" localSheetId="18" hidden="1">#REF!</definedName>
    <definedName name="_lb22" localSheetId="7" hidden="1">#REF!</definedName>
    <definedName name="_lb22" localSheetId="23" hidden="1">#REF!</definedName>
    <definedName name="_lb22" hidden="1">#REF!</definedName>
    <definedName name="_lb23" localSheetId="12" hidden="1">#REF!</definedName>
    <definedName name="_lb23" localSheetId="30" hidden="1">#REF!</definedName>
    <definedName name="_lb23" localSheetId="28" hidden="1">#REF!</definedName>
    <definedName name="_lb23" localSheetId="27" hidden="1">#REF!</definedName>
    <definedName name="_lb23" localSheetId="18" hidden="1">#REF!</definedName>
    <definedName name="_lb23" localSheetId="7" hidden="1">#REF!</definedName>
    <definedName name="_lb23" localSheetId="23" hidden="1">#REF!</definedName>
    <definedName name="_lb23" hidden="1">#REF!</definedName>
    <definedName name="_lb24" localSheetId="12" hidden="1">#REF!</definedName>
    <definedName name="_lb24" localSheetId="30" hidden="1">#REF!</definedName>
    <definedName name="_lb24" localSheetId="28" hidden="1">#REF!</definedName>
    <definedName name="_lb24" localSheetId="27" hidden="1">#REF!</definedName>
    <definedName name="_lb24" localSheetId="18" hidden="1">#REF!</definedName>
    <definedName name="_lb24" localSheetId="7" hidden="1">#REF!</definedName>
    <definedName name="_lb24" localSheetId="23" hidden="1">#REF!</definedName>
    <definedName name="_lb24" hidden="1">#REF!</definedName>
    <definedName name="_lb25" localSheetId="12" hidden="1">#REF!</definedName>
    <definedName name="_lb25" localSheetId="30" hidden="1">#REF!</definedName>
    <definedName name="_lb25" localSheetId="28" hidden="1">#REF!</definedName>
    <definedName name="_lb25" localSheetId="27" hidden="1">#REF!</definedName>
    <definedName name="_lb25" localSheetId="18" hidden="1">#REF!</definedName>
    <definedName name="_lb25" localSheetId="7" hidden="1">#REF!</definedName>
    <definedName name="_lb25" localSheetId="23" hidden="1">#REF!</definedName>
    <definedName name="_lb25" hidden="1">#REF!</definedName>
    <definedName name="_lb27" localSheetId="12" hidden="1">#REF!</definedName>
    <definedName name="_lb27" localSheetId="30" hidden="1">#REF!</definedName>
    <definedName name="_lb27" localSheetId="28" hidden="1">#REF!</definedName>
    <definedName name="_lb27" localSheetId="27" hidden="1">#REF!</definedName>
    <definedName name="_lb27" localSheetId="18" hidden="1">#REF!</definedName>
    <definedName name="_lb27" localSheetId="7" hidden="1">#REF!</definedName>
    <definedName name="_lb27" localSheetId="23" hidden="1">#REF!</definedName>
    <definedName name="_lb27" hidden="1">#REF!</definedName>
    <definedName name="_lb28" localSheetId="12" hidden="1">#REF!</definedName>
    <definedName name="_lb28" localSheetId="30" hidden="1">#REF!</definedName>
    <definedName name="_lb28" localSheetId="28" hidden="1">#REF!</definedName>
    <definedName name="_lb28" localSheetId="27" hidden="1">#REF!</definedName>
    <definedName name="_lb28" localSheetId="18" hidden="1">#REF!</definedName>
    <definedName name="_lb28" localSheetId="7" hidden="1">#REF!</definedName>
    <definedName name="_lb28" localSheetId="23" hidden="1">#REF!</definedName>
    <definedName name="_lb28" hidden="1">#REF!</definedName>
    <definedName name="_lb29" localSheetId="12" hidden="1">#REF!</definedName>
    <definedName name="_lb29" localSheetId="30" hidden="1">#REF!</definedName>
    <definedName name="_lb29" localSheetId="28" hidden="1">#REF!</definedName>
    <definedName name="_lb29" localSheetId="27" hidden="1">#REF!</definedName>
    <definedName name="_lb29" localSheetId="18" hidden="1">#REF!</definedName>
    <definedName name="_lb29" localSheetId="7" hidden="1">#REF!</definedName>
    <definedName name="_lb29" localSheetId="23" hidden="1">#REF!</definedName>
    <definedName name="_lb29" hidden="1">#REF!</definedName>
    <definedName name="_lb3" localSheetId="12" hidden="1">#REF!</definedName>
    <definedName name="_lb3" localSheetId="30" hidden="1">#REF!</definedName>
    <definedName name="_lb3" localSheetId="28" hidden="1">#REF!</definedName>
    <definedName name="_lb3" localSheetId="27" hidden="1">#REF!</definedName>
    <definedName name="_lb3" localSheetId="18" hidden="1">#REF!</definedName>
    <definedName name="_lb3" localSheetId="7" hidden="1">#REF!</definedName>
    <definedName name="_lb3" localSheetId="23" hidden="1">#REF!</definedName>
    <definedName name="_lb3" hidden="1">#REF!</definedName>
    <definedName name="_lb30" localSheetId="12" hidden="1">#REF!</definedName>
    <definedName name="_lb30" localSheetId="30" hidden="1">#REF!</definedName>
    <definedName name="_lb30" localSheetId="28" hidden="1">#REF!</definedName>
    <definedName name="_lb30" localSheetId="27" hidden="1">#REF!</definedName>
    <definedName name="_lb30" localSheetId="18" hidden="1">#REF!</definedName>
    <definedName name="_lb30" localSheetId="7" hidden="1">#REF!</definedName>
    <definedName name="_lb30" localSheetId="23" hidden="1">#REF!</definedName>
    <definedName name="_lb30" hidden="1">#REF!</definedName>
    <definedName name="_lb31" localSheetId="12" hidden="1">#REF!</definedName>
    <definedName name="_lb31" localSheetId="30" hidden="1">#REF!</definedName>
    <definedName name="_lb31" localSheetId="28" hidden="1">#REF!</definedName>
    <definedName name="_lb31" localSheetId="27" hidden="1">#REF!</definedName>
    <definedName name="_lb31" localSheetId="18" hidden="1">#REF!</definedName>
    <definedName name="_lb31" localSheetId="7" hidden="1">#REF!</definedName>
    <definedName name="_lb31" localSheetId="23" hidden="1">#REF!</definedName>
    <definedName name="_lb31" hidden="1">#REF!</definedName>
    <definedName name="_lb32" localSheetId="12" hidden="1">#REF!</definedName>
    <definedName name="_lb32" localSheetId="30" hidden="1">#REF!</definedName>
    <definedName name="_lb32" localSheetId="28" hidden="1">#REF!</definedName>
    <definedName name="_lb32" localSheetId="27" hidden="1">#REF!</definedName>
    <definedName name="_lb32" localSheetId="18" hidden="1">#REF!</definedName>
    <definedName name="_lb32" localSheetId="7" hidden="1">#REF!</definedName>
    <definedName name="_lb32" localSheetId="23" hidden="1">#REF!</definedName>
    <definedName name="_lb32" hidden="1">#REF!</definedName>
    <definedName name="_lb4" localSheetId="12" hidden="1">#REF!</definedName>
    <definedName name="_lb4" localSheetId="30" hidden="1">#REF!</definedName>
    <definedName name="_lb4" localSheetId="28" hidden="1">#REF!</definedName>
    <definedName name="_lb4" localSheetId="27" hidden="1">#REF!</definedName>
    <definedName name="_lb4" localSheetId="18" hidden="1">#REF!</definedName>
    <definedName name="_lb4" localSheetId="7" hidden="1">#REF!</definedName>
    <definedName name="_lb4" localSheetId="23" hidden="1">#REF!</definedName>
    <definedName name="_lb4" hidden="1">#REF!</definedName>
    <definedName name="_lb5" localSheetId="12" hidden="1">#REF!</definedName>
    <definedName name="_lb5" localSheetId="30" hidden="1">#REF!</definedName>
    <definedName name="_lb5" localSheetId="28" hidden="1">#REF!</definedName>
    <definedName name="_lb5" localSheetId="27" hidden="1">#REF!</definedName>
    <definedName name="_lb5" localSheetId="18" hidden="1">#REF!</definedName>
    <definedName name="_lb5" localSheetId="7" hidden="1">#REF!</definedName>
    <definedName name="_lb5" localSheetId="23" hidden="1">#REF!</definedName>
    <definedName name="_lb5" hidden="1">#REF!</definedName>
    <definedName name="_lb6" localSheetId="12" hidden="1">#REF!</definedName>
    <definedName name="_lb6" localSheetId="30" hidden="1">#REF!</definedName>
    <definedName name="_lb6" localSheetId="28" hidden="1">#REF!</definedName>
    <definedName name="_lb6" localSheetId="27" hidden="1">#REF!</definedName>
    <definedName name="_lb6" localSheetId="18" hidden="1">#REF!</definedName>
    <definedName name="_lb6" localSheetId="7" hidden="1">#REF!</definedName>
    <definedName name="_lb6" localSheetId="23" hidden="1">#REF!</definedName>
    <definedName name="_lb6" hidden="1">#REF!</definedName>
    <definedName name="_lb7" localSheetId="12" hidden="1">#REF!</definedName>
    <definedName name="_lb7" localSheetId="30" hidden="1">#REF!</definedName>
    <definedName name="_lb7" localSheetId="28" hidden="1">#REF!</definedName>
    <definedName name="_lb7" localSheetId="27" hidden="1">#REF!</definedName>
    <definedName name="_lb7" localSheetId="18" hidden="1">#REF!</definedName>
    <definedName name="_lb7" localSheetId="7" hidden="1">#REF!</definedName>
    <definedName name="_lb7" localSheetId="23" hidden="1">#REF!</definedName>
    <definedName name="_lb7" hidden="1">#REF!</definedName>
    <definedName name="_lb8" localSheetId="12" hidden="1">#REF!</definedName>
    <definedName name="_lb8" localSheetId="30" hidden="1">#REF!</definedName>
    <definedName name="_lb8" localSheetId="28" hidden="1">#REF!</definedName>
    <definedName name="_lb8" localSheetId="27" hidden="1">#REF!</definedName>
    <definedName name="_lb8" localSheetId="18" hidden="1">#REF!</definedName>
    <definedName name="_lb8" localSheetId="7" hidden="1">#REF!</definedName>
    <definedName name="_lb8" localSheetId="23" hidden="1">#REF!</definedName>
    <definedName name="_lb8" hidden="1">#REF!</definedName>
    <definedName name="_lb9" localSheetId="12" hidden="1">#REF!</definedName>
    <definedName name="_lb9" localSheetId="30" hidden="1">#REF!</definedName>
    <definedName name="_lb9" localSheetId="28" hidden="1">#REF!</definedName>
    <definedName name="_lb9" localSheetId="27" hidden="1">#REF!</definedName>
    <definedName name="_lb9" localSheetId="18" hidden="1">#REF!</definedName>
    <definedName name="_lb9" localSheetId="7" hidden="1">#REF!</definedName>
    <definedName name="_lb9" localSheetId="23" hidden="1">#REF!</definedName>
    <definedName name="_lb9" hidden="1">#REF!</definedName>
    <definedName name="_lbc1" localSheetId="12" hidden="1">#REF!</definedName>
    <definedName name="_lbc1" localSheetId="30" hidden="1">#REF!</definedName>
    <definedName name="_lbc1" localSheetId="28" hidden="1">#REF!</definedName>
    <definedName name="_lbc1" localSheetId="27" hidden="1">#REF!</definedName>
    <definedName name="_lbc1" localSheetId="18" hidden="1">#REF!</definedName>
    <definedName name="_lbc1" localSheetId="7" hidden="1">#REF!</definedName>
    <definedName name="_lbc1" localSheetId="23" hidden="1">#REF!</definedName>
    <definedName name="_lbc1" hidden="1">#REF!</definedName>
    <definedName name="_lbc10" localSheetId="12" hidden="1">#REF!</definedName>
    <definedName name="_lbc10" localSheetId="30" hidden="1">#REF!</definedName>
    <definedName name="_lbc10" localSheetId="28" hidden="1">#REF!</definedName>
    <definedName name="_lbc10" localSheetId="27" hidden="1">#REF!</definedName>
    <definedName name="_lbc10" localSheetId="18" hidden="1">#REF!</definedName>
    <definedName name="_lbc10" localSheetId="7" hidden="1">#REF!</definedName>
    <definedName name="_lbc10" localSheetId="23" hidden="1">#REF!</definedName>
    <definedName name="_lbc10" hidden="1">#REF!</definedName>
    <definedName name="_lbc11" localSheetId="12" hidden="1">#REF!</definedName>
    <definedName name="_lbc11" localSheetId="30" hidden="1">#REF!</definedName>
    <definedName name="_lbc11" localSheetId="28" hidden="1">#REF!</definedName>
    <definedName name="_lbc11" localSheetId="27" hidden="1">#REF!</definedName>
    <definedName name="_lbc11" localSheetId="18" hidden="1">#REF!</definedName>
    <definedName name="_lbc11" localSheetId="7" hidden="1">#REF!</definedName>
    <definedName name="_lbc11" localSheetId="23" hidden="1">#REF!</definedName>
    <definedName name="_lbc11" hidden="1">#REF!</definedName>
    <definedName name="_lbc12" localSheetId="12" hidden="1">#REF!</definedName>
    <definedName name="_lbc12" localSheetId="30" hidden="1">#REF!</definedName>
    <definedName name="_lbc12" localSheetId="28" hidden="1">#REF!</definedName>
    <definedName name="_lbc12" localSheetId="27" hidden="1">#REF!</definedName>
    <definedName name="_lbc12" localSheetId="18" hidden="1">#REF!</definedName>
    <definedName name="_lbc12" localSheetId="7" hidden="1">#REF!</definedName>
    <definedName name="_lbc12" localSheetId="23" hidden="1">#REF!</definedName>
    <definedName name="_lbc12" hidden="1">#REF!</definedName>
    <definedName name="_lbc13" localSheetId="12" hidden="1">#REF!</definedName>
    <definedName name="_lbc13" localSheetId="30" hidden="1">#REF!</definedName>
    <definedName name="_lbc13" localSheetId="28" hidden="1">#REF!</definedName>
    <definedName name="_lbc13" localSheetId="27" hidden="1">#REF!</definedName>
    <definedName name="_lbc13" localSheetId="18" hidden="1">#REF!</definedName>
    <definedName name="_lbc13" localSheetId="7" hidden="1">#REF!</definedName>
    <definedName name="_lbc13" localSheetId="23" hidden="1">#REF!</definedName>
    <definedName name="_lbc13" hidden="1">#REF!</definedName>
    <definedName name="_lbc14" localSheetId="12" hidden="1">#REF!</definedName>
    <definedName name="_lbc14" localSheetId="30" hidden="1">#REF!</definedName>
    <definedName name="_lbc14" localSheetId="28" hidden="1">#REF!</definedName>
    <definedName name="_lbc14" localSheetId="27" hidden="1">#REF!</definedName>
    <definedName name="_lbc14" localSheetId="18" hidden="1">#REF!</definedName>
    <definedName name="_lbc14" localSheetId="7" hidden="1">#REF!</definedName>
    <definedName name="_lbc14" localSheetId="23" hidden="1">#REF!</definedName>
    <definedName name="_lbc14" hidden="1">#REF!</definedName>
    <definedName name="_lbc15" localSheetId="12" hidden="1">#REF!</definedName>
    <definedName name="_lbc15" localSheetId="30" hidden="1">#REF!</definedName>
    <definedName name="_lbc15" localSheetId="28" hidden="1">#REF!</definedName>
    <definedName name="_lbc15" localSheetId="27" hidden="1">#REF!</definedName>
    <definedName name="_lbc15" localSheetId="18" hidden="1">#REF!</definedName>
    <definedName name="_lbc15" localSheetId="7" hidden="1">#REF!</definedName>
    <definedName name="_lbc15" localSheetId="23" hidden="1">#REF!</definedName>
    <definedName name="_lbc15" hidden="1">#REF!</definedName>
    <definedName name="_lbc16" localSheetId="12" hidden="1">#REF!</definedName>
    <definedName name="_lbc16" localSheetId="30" hidden="1">#REF!</definedName>
    <definedName name="_lbc16" localSheetId="28" hidden="1">#REF!</definedName>
    <definedName name="_lbc16" localSheetId="27" hidden="1">#REF!</definedName>
    <definedName name="_lbc16" localSheetId="18" hidden="1">#REF!</definedName>
    <definedName name="_lbc16" localSheetId="7" hidden="1">#REF!</definedName>
    <definedName name="_lbc16" localSheetId="23" hidden="1">#REF!</definedName>
    <definedName name="_lbc16" hidden="1">#REF!</definedName>
    <definedName name="_lbc17" localSheetId="12" hidden="1">#REF!</definedName>
    <definedName name="_lbc17" localSheetId="30" hidden="1">#REF!</definedName>
    <definedName name="_lbc17" localSheetId="28" hidden="1">#REF!</definedName>
    <definedName name="_lbc17" localSheetId="27" hidden="1">#REF!</definedName>
    <definedName name="_lbc17" localSheetId="18" hidden="1">#REF!</definedName>
    <definedName name="_lbc17" localSheetId="7" hidden="1">#REF!</definedName>
    <definedName name="_lbc17" localSheetId="23" hidden="1">#REF!</definedName>
    <definedName name="_lbc17" hidden="1">#REF!</definedName>
    <definedName name="_lbc18" localSheetId="12" hidden="1">#REF!</definedName>
    <definedName name="_lbc18" localSheetId="30" hidden="1">#REF!</definedName>
    <definedName name="_lbc18" localSheetId="28" hidden="1">#REF!</definedName>
    <definedName name="_lbc18" localSheetId="27" hidden="1">#REF!</definedName>
    <definedName name="_lbc18" localSheetId="18" hidden="1">#REF!</definedName>
    <definedName name="_lbc18" localSheetId="7" hidden="1">#REF!</definedName>
    <definedName name="_lbc18" localSheetId="23" hidden="1">#REF!</definedName>
    <definedName name="_lbc18" hidden="1">#REF!</definedName>
    <definedName name="_lbc19" localSheetId="12" hidden="1">#REF!</definedName>
    <definedName name="_lbc19" localSheetId="30" hidden="1">#REF!</definedName>
    <definedName name="_lbc19" localSheetId="28" hidden="1">#REF!</definedName>
    <definedName name="_lbc19" localSheetId="27" hidden="1">#REF!</definedName>
    <definedName name="_lbc19" localSheetId="18" hidden="1">#REF!</definedName>
    <definedName name="_lbc19" localSheetId="7" hidden="1">#REF!</definedName>
    <definedName name="_lbc19" localSheetId="23" hidden="1">#REF!</definedName>
    <definedName name="_lbc19" hidden="1">#REF!</definedName>
    <definedName name="_lbc2" localSheetId="12" hidden="1">#REF!</definedName>
    <definedName name="_lbc2" localSheetId="30" hidden="1">#REF!</definedName>
    <definedName name="_lbc2" localSheetId="28" hidden="1">#REF!</definedName>
    <definedName name="_lbc2" localSheetId="27" hidden="1">#REF!</definedName>
    <definedName name="_lbc2" localSheetId="18" hidden="1">#REF!</definedName>
    <definedName name="_lbc2" localSheetId="7" hidden="1">#REF!</definedName>
    <definedName name="_lbc2" localSheetId="23" hidden="1">#REF!</definedName>
    <definedName name="_lbc2" hidden="1">#REF!</definedName>
    <definedName name="_lbc20" localSheetId="12" hidden="1">#REF!</definedName>
    <definedName name="_lbc20" localSheetId="30" hidden="1">#REF!</definedName>
    <definedName name="_lbc20" localSheetId="28" hidden="1">#REF!</definedName>
    <definedName name="_lbc20" localSheetId="27" hidden="1">#REF!</definedName>
    <definedName name="_lbc20" localSheetId="18" hidden="1">#REF!</definedName>
    <definedName name="_lbc20" localSheetId="7" hidden="1">#REF!</definedName>
    <definedName name="_lbc20" localSheetId="23" hidden="1">#REF!</definedName>
    <definedName name="_lbc20" hidden="1">#REF!</definedName>
    <definedName name="_lbc21" localSheetId="12" hidden="1">#REF!</definedName>
    <definedName name="_lbc21" localSheetId="30" hidden="1">#REF!</definedName>
    <definedName name="_lbc21" localSheetId="28" hidden="1">#REF!</definedName>
    <definedName name="_lbc21" localSheetId="27" hidden="1">#REF!</definedName>
    <definedName name="_lbc21" localSheetId="18" hidden="1">#REF!</definedName>
    <definedName name="_lbc21" localSheetId="7" hidden="1">#REF!</definedName>
    <definedName name="_lbc21" localSheetId="23" hidden="1">#REF!</definedName>
    <definedName name="_lbc21" hidden="1">#REF!</definedName>
    <definedName name="_lbc22" localSheetId="12" hidden="1">#REF!</definedName>
    <definedName name="_lbc22" localSheetId="30" hidden="1">#REF!</definedName>
    <definedName name="_lbc22" localSheetId="28" hidden="1">#REF!</definedName>
    <definedName name="_lbc22" localSheetId="27" hidden="1">#REF!</definedName>
    <definedName name="_lbc22" localSheetId="18" hidden="1">#REF!</definedName>
    <definedName name="_lbc22" localSheetId="7" hidden="1">#REF!</definedName>
    <definedName name="_lbc22" localSheetId="23" hidden="1">#REF!</definedName>
    <definedName name="_lbc22" hidden="1">#REF!</definedName>
    <definedName name="_lbc23" localSheetId="12" hidden="1">#REF!</definedName>
    <definedName name="_lbc23" localSheetId="30" hidden="1">#REF!</definedName>
    <definedName name="_lbc23" localSheetId="28" hidden="1">#REF!</definedName>
    <definedName name="_lbc23" localSheetId="27" hidden="1">#REF!</definedName>
    <definedName name="_lbc23" localSheetId="18" hidden="1">#REF!</definedName>
    <definedName name="_lbc23" localSheetId="7" hidden="1">#REF!</definedName>
    <definedName name="_lbc23" localSheetId="23" hidden="1">#REF!</definedName>
    <definedName name="_lbc23" hidden="1">#REF!</definedName>
    <definedName name="_lbc24" localSheetId="12" hidden="1">#REF!</definedName>
    <definedName name="_lbc24" localSheetId="30" hidden="1">#REF!</definedName>
    <definedName name="_lbc24" localSheetId="28" hidden="1">#REF!</definedName>
    <definedName name="_lbc24" localSheetId="27" hidden="1">#REF!</definedName>
    <definedName name="_lbc24" localSheetId="18" hidden="1">#REF!</definedName>
    <definedName name="_lbc24" localSheetId="7" hidden="1">#REF!</definedName>
    <definedName name="_lbc24" localSheetId="23" hidden="1">#REF!</definedName>
    <definedName name="_lbc24" hidden="1">#REF!</definedName>
    <definedName name="_lbc25" localSheetId="12" hidden="1">#REF!</definedName>
    <definedName name="_lbc25" localSheetId="30" hidden="1">#REF!</definedName>
    <definedName name="_lbc25" localSheetId="28" hidden="1">#REF!</definedName>
    <definedName name="_lbc25" localSheetId="27" hidden="1">#REF!</definedName>
    <definedName name="_lbc25" localSheetId="18" hidden="1">#REF!</definedName>
    <definedName name="_lbc25" localSheetId="7" hidden="1">#REF!</definedName>
    <definedName name="_lbc25" localSheetId="23" hidden="1">#REF!</definedName>
    <definedName name="_lbc25" hidden="1">#REF!</definedName>
    <definedName name="_lbc26" localSheetId="12" hidden="1">#REF!</definedName>
    <definedName name="_lbc26" localSheetId="30" hidden="1">#REF!</definedName>
    <definedName name="_lbc26" localSheetId="28" hidden="1">#REF!</definedName>
    <definedName name="_lbc26" localSheetId="27" hidden="1">#REF!</definedName>
    <definedName name="_lbc26" localSheetId="18" hidden="1">#REF!</definedName>
    <definedName name="_lbc26" localSheetId="7" hidden="1">#REF!</definedName>
    <definedName name="_lbc26" localSheetId="23" hidden="1">#REF!</definedName>
    <definedName name="_lbc26" hidden="1">#REF!</definedName>
    <definedName name="_lbc27" localSheetId="12" hidden="1">#REF!</definedName>
    <definedName name="_lbc27" localSheetId="30" hidden="1">#REF!</definedName>
    <definedName name="_lbc27" localSheetId="28" hidden="1">#REF!</definedName>
    <definedName name="_lbc27" localSheetId="27" hidden="1">#REF!</definedName>
    <definedName name="_lbc27" localSheetId="18" hidden="1">#REF!</definedName>
    <definedName name="_lbc27" localSheetId="7" hidden="1">#REF!</definedName>
    <definedName name="_lbc27" localSheetId="23" hidden="1">#REF!</definedName>
    <definedName name="_lbc27" hidden="1">#REF!</definedName>
    <definedName name="_lbc28" localSheetId="12" hidden="1">#REF!</definedName>
    <definedName name="_lbc28" localSheetId="30" hidden="1">#REF!</definedName>
    <definedName name="_lbc28" localSheetId="28" hidden="1">#REF!</definedName>
    <definedName name="_lbc28" localSheetId="27" hidden="1">#REF!</definedName>
    <definedName name="_lbc28" localSheetId="18" hidden="1">#REF!</definedName>
    <definedName name="_lbc28" localSheetId="7" hidden="1">#REF!</definedName>
    <definedName name="_lbc28" localSheetId="23" hidden="1">#REF!</definedName>
    <definedName name="_lbc28" hidden="1">#REF!</definedName>
    <definedName name="_lbc29" localSheetId="12" hidden="1">#REF!</definedName>
    <definedName name="_lbc29" localSheetId="30" hidden="1">#REF!</definedName>
    <definedName name="_lbc29" localSheetId="28" hidden="1">#REF!</definedName>
    <definedName name="_lbc29" localSheetId="27" hidden="1">#REF!</definedName>
    <definedName name="_lbc29" localSheetId="18" hidden="1">#REF!</definedName>
    <definedName name="_lbc29" localSheetId="7" hidden="1">#REF!</definedName>
    <definedName name="_lbc29" localSheetId="23" hidden="1">#REF!</definedName>
    <definedName name="_lbc29" hidden="1">#REF!</definedName>
    <definedName name="_lbc3" localSheetId="12" hidden="1">#REF!</definedName>
    <definedName name="_lbc3" localSheetId="30" hidden="1">#REF!</definedName>
    <definedName name="_lbc3" localSheetId="28" hidden="1">#REF!</definedName>
    <definedName name="_lbc3" localSheetId="27" hidden="1">#REF!</definedName>
    <definedName name="_lbc3" localSheetId="18" hidden="1">#REF!</definedName>
    <definedName name="_lbc3" localSheetId="7" hidden="1">#REF!</definedName>
    <definedName name="_lbc3" localSheetId="23" hidden="1">#REF!</definedName>
    <definedName name="_lbc3" hidden="1">#REF!</definedName>
    <definedName name="_lbc31" localSheetId="12" hidden="1">#REF!</definedName>
    <definedName name="_lbc31" localSheetId="30" hidden="1">#REF!</definedName>
    <definedName name="_lbc31" localSheetId="28" hidden="1">#REF!</definedName>
    <definedName name="_lbc31" localSheetId="27" hidden="1">#REF!</definedName>
    <definedName name="_lbc31" localSheetId="18" hidden="1">#REF!</definedName>
    <definedName name="_lbc31" localSheetId="7" hidden="1">#REF!</definedName>
    <definedName name="_lbc31" localSheetId="23" hidden="1">#REF!</definedName>
    <definedName name="_lbc31" hidden="1">#REF!</definedName>
    <definedName name="_lbc32" localSheetId="12" hidden="1">#REF!</definedName>
    <definedName name="_lbc32" localSheetId="30" hidden="1">#REF!</definedName>
    <definedName name="_lbc32" localSheetId="28" hidden="1">#REF!</definedName>
    <definedName name="_lbc32" localSheetId="27" hidden="1">#REF!</definedName>
    <definedName name="_lbc32" localSheetId="18" hidden="1">#REF!</definedName>
    <definedName name="_lbc32" localSheetId="7" hidden="1">#REF!</definedName>
    <definedName name="_lbc32" localSheetId="23" hidden="1">#REF!</definedName>
    <definedName name="_lbc32" hidden="1">#REF!</definedName>
    <definedName name="_lbc4" localSheetId="12" hidden="1">#REF!</definedName>
    <definedName name="_lbc4" localSheetId="30" hidden="1">#REF!</definedName>
    <definedName name="_lbc4" localSheetId="28" hidden="1">#REF!</definedName>
    <definedName name="_lbc4" localSheetId="27" hidden="1">#REF!</definedName>
    <definedName name="_lbc4" localSheetId="18" hidden="1">#REF!</definedName>
    <definedName name="_lbc4" localSheetId="7" hidden="1">#REF!</definedName>
    <definedName name="_lbc4" localSheetId="23" hidden="1">#REF!</definedName>
    <definedName name="_lbc4" hidden="1">#REF!</definedName>
    <definedName name="_lbc5" localSheetId="12" hidden="1">#REF!</definedName>
    <definedName name="_lbc5" localSheetId="30" hidden="1">#REF!</definedName>
    <definedName name="_lbc5" localSheetId="28" hidden="1">#REF!</definedName>
    <definedName name="_lbc5" localSheetId="27" hidden="1">#REF!</definedName>
    <definedName name="_lbc5" localSheetId="18" hidden="1">#REF!</definedName>
    <definedName name="_lbc5" localSheetId="7" hidden="1">#REF!</definedName>
    <definedName name="_lbc5" localSheetId="23" hidden="1">#REF!</definedName>
    <definedName name="_lbc5" hidden="1">#REF!</definedName>
    <definedName name="_lbc6" localSheetId="12" hidden="1">#REF!</definedName>
    <definedName name="_lbc6" localSheetId="30" hidden="1">#REF!</definedName>
    <definedName name="_lbc6" localSheetId="28" hidden="1">#REF!</definedName>
    <definedName name="_lbc6" localSheetId="27" hidden="1">#REF!</definedName>
    <definedName name="_lbc6" localSheetId="18" hidden="1">#REF!</definedName>
    <definedName name="_lbc6" localSheetId="7" hidden="1">#REF!</definedName>
    <definedName name="_lbc6" localSheetId="23" hidden="1">#REF!</definedName>
    <definedName name="_lbc6" hidden="1">#REF!</definedName>
    <definedName name="_lbc7" localSheetId="12" hidden="1">#REF!</definedName>
    <definedName name="_lbc7" localSheetId="30" hidden="1">#REF!</definedName>
    <definedName name="_lbc7" localSheetId="28" hidden="1">#REF!</definedName>
    <definedName name="_lbc7" localSheetId="27" hidden="1">#REF!</definedName>
    <definedName name="_lbc7" localSheetId="18" hidden="1">#REF!</definedName>
    <definedName name="_lbc7" localSheetId="7" hidden="1">#REF!</definedName>
    <definedName name="_lbc7" localSheetId="23" hidden="1">#REF!</definedName>
    <definedName name="_lbc7" hidden="1">#REF!</definedName>
    <definedName name="_lbc8" localSheetId="12" hidden="1">#REF!</definedName>
    <definedName name="_lbc8" localSheetId="30" hidden="1">#REF!</definedName>
    <definedName name="_lbc8" localSheetId="28" hidden="1">#REF!</definedName>
    <definedName name="_lbc8" localSheetId="27" hidden="1">#REF!</definedName>
    <definedName name="_lbc8" localSheetId="18" hidden="1">#REF!</definedName>
    <definedName name="_lbc8" localSheetId="7" hidden="1">#REF!</definedName>
    <definedName name="_lbc8" localSheetId="23" hidden="1">#REF!</definedName>
    <definedName name="_lbc8" hidden="1">#REF!</definedName>
    <definedName name="_lbc9" localSheetId="12" hidden="1">#REF!</definedName>
    <definedName name="_lbc9" localSheetId="30" hidden="1">#REF!</definedName>
    <definedName name="_lbc9" localSheetId="28" hidden="1">#REF!</definedName>
    <definedName name="_lbc9" localSheetId="27" hidden="1">#REF!</definedName>
    <definedName name="_lbc9" localSheetId="18" hidden="1">#REF!</definedName>
    <definedName name="_lbc9" localSheetId="7" hidden="1">#REF!</definedName>
    <definedName name="_lbc9" localSheetId="23" hidden="1">#REF!</definedName>
    <definedName name="_lbc9" hidden="1">#REF!</definedName>
    <definedName name="_ld26" localSheetId="12" hidden="1">#REF!</definedName>
    <definedName name="_ld26" localSheetId="30" hidden="1">#REF!</definedName>
    <definedName name="_ld26" localSheetId="28" hidden="1">#REF!</definedName>
    <definedName name="_ld26" localSheetId="27" hidden="1">#REF!</definedName>
    <definedName name="_ld26" localSheetId="18" hidden="1">#REF!</definedName>
    <definedName name="_ld26" localSheetId="7" hidden="1">#REF!</definedName>
    <definedName name="_ld26" localSheetId="23" hidden="1">#REF!</definedName>
    <definedName name="_ld26" hidden="1">#REF!</definedName>
    <definedName name="_ld31" localSheetId="12" hidden="1">#REF!</definedName>
    <definedName name="_ld31" localSheetId="30" hidden="1">#REF!</definedName>
    <definedName name="_ld31" localSheetId="28" hidden="1">#REF!</definedName>
    <definedName name="_ld31" localSheetId="27" hidden="1">#REF!</definedName>
    <definedName name="_ld31" localSheetId="18" hidden="1">#REF!</definedName>
    <definedName name="_ld31" localSheetId="7" hidden="1">#REF!</definedName>
    <definedName name="_ld31" localSheetId="23" hidden="1">#REF!</definedName>
    <definedName name="_ld31" hidden="1">#REF!</definedName>
    <definedName name="_le31" localSheetId="12" hidden="1">#REF!</definedName>
    <definedName name="_le31" localSheetId="30" hidden="1">#REF!</definedName>
    <definedName name="_le31" localSheetId="28" hidden="1">#REF!</definedName>
    <definedName name="_le31" localSheetId="27" hidden="1">#REF!</definedName>
    <definedName name="_le31" localSheetId="18" hidden="1">#REF!</definedName>
    <definedName name="_le31" localSheetId="7" hidden="1">#REF!</definedName>
    <definedName name="_le31" localSheetId="23" hidden="1">#REF!</definedName>
    <definedName name="_le31" hidden="1">#REF!</definedName>
    <definedName name="_lf31" localSheetId="12" hidden="1">#REF!</definedName>
    <definedName name="_lf31" localSheetId="30" hidden="1">#REF!</definedName>
    <definedName name="_lf31" localSheetId="28" hidden="1">#REF!</definedName>
    <definedName name="_lf31" localSheetId="27" hidden="1">#REF!</definedName>
    <definedName name="_lf31" localSheetId="18" hidden="1">#REF!</definedName>
    <definedName name="_lf31" localSheetId="7" hidden="1">#REF!</definedName>
    <definedName name="_lf31" localSheetId="23" hidden="1">#REF!</definedName>
    <definedName name="_lf31" hidden="1">#REF!</definedName>
    <definedName name="_MatInverse_In" localSheetId="12" hidden="1">#REF!</definedName>
    <definedName name="_MatInverse_In" localSheetId="30" hidden="1">#REF!</definedName>
    <definedName name="_MatInverse_In" localSheetId="28" hidden="1">#REF!</definedName>
    <definedName name="_MatInverse_In" localSheetId="27" hidden="1">#REF!</definedName>
    <definedName name="_MatInverse_In" localSheetId="18" hidden="1">#REF!</definedName>
    <definedName name="_MatInverse_In" localSheetId="7" hidden="1">#REF!</definedName>
    <definedName name="_MatInverse_In" localSheetId="23" hidden="1">#REF!</definedName>
    <definedName name="_MatInverse_In" hidden="1">#REF!</definedName>
    <definedName name="_MatMult_A" localSheetId="12" hidden="1">#REF!</definedName>
    <definedName name="_MatMult_A" localSheetId="30" hidden="1">#REF!</definedName>
    <definedName name="_MatMult_A" localSheetId="28" hidden="1">#REF!</definedName>
    <definedName name="_MatMult_A" localSheetId="27" hidden="1">#REF!</definedName>
    <definedName name="_MatMult_A" localSheetId="18" hidden="1">#REF!</definedName>
    <definedName name="_MatMult_A" localSheetId="7" hidden="1">#REF!</definedName>
    <definedName name="_MatMult_A" localSheetId="23" hidden="1">#REF!</definedName>
    <definedName name="_MatMult_A" hidden="1">#REF!</definedName>
    <definedName name="_MatMult_AxB" localSheetId="12" hidden="1">#REF!</definedName>
    <definedName name="_MatMult_AxB" localSheetId="30" hidden="1">#REF!</definedName>
    <definedName name="_MatMult_AxB" localSheetId="28" hidden="1">#REF!</definedName>
    <definedName name="_MatMult_AxB" localSheetId="27" hidden="1">#REF!</definedName>
    <definedName name="_MatMult_AxB" localSheetId="18" hidden="1">#REF!</definedName>
    <definedName name="_MatMult_AxB" localSheetId="7" hidden="1">#REF!</definedName>
    <definedName name="_MatMult_AxB" localSheetId="23" hidden="1">#REF!</definedName>
    <definedName name="_MatMult_AxB" hidden="1">#REF!</definedName>
    <definedName name="_MatMult_B" localSheetId="12" hidden="1">#REF!</definedName>
    <definedName name="_MatMult_B" localSheetId="30" hidden="1">#REF!</definedName>
    <definedName name="_MatMult_B" localSheetId="28" hidden="1">#REF!</definedName>
    <definedName name="_MatMult_B" localSheetId="27" hidden="1">#REF!</definedName>
    <definedName name="_MatMult_B" localSheetId="18" hidden="1">#REF!</definedName>
    <definedName name="_MatMult_B" localSheetId="7" hidden="1">#REF!</definedName>
    <definedName name="_MatMult_B" localSheetId="23" hidden="1">#REF!</definedName>
    <definedName name="_MatMult_B" hidden="1">#REF!</definedName>
    <definedName name="_new11" localSheetId="33" hidden="1">{#N/A,#N/A,FALSE,"Global by BU";#N/A,#N/A,FALSE,"U.S. by BU";#N/A,#N/A,FALSE,"Canada by BU";#N/A,#N/A,FALSE,"Europe by BU";#N/A,#N/A,FALSE,"Asia by BU";#N/A,#N/A,FALSE,"Cala by BU"}</definedName>
    <definedName name="_new11" localSheetId="35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hidden="1">255</definedName>
    <definedName name="_Parse_Out" localSheetId="12" hidden="1">#REF!</definedName>
    <definedName name="_Parse_Out" localSheetId="30" hidden="1">#REF!</definedName>
    <definedName name="_Parse_Out" localSheetId="28" hidden="1">#REF!</definedName>
    <definedName name="_Parse_Out" localSheetId="27" hidden="1">#REF!</definedName>
    <definedName name="_Parse_Out" localSheetId="18" hidden="1">#REF!</definedName>
    <definedName name="_Parse_Out" localSheetId="7" hidden="1">#REF!</definedName>
    <definedName name="_Parse_Out" localSheetId="23" hidden="1">#REF!</definedName>
    <definedName name="_Parse_Out" hidden="1">#REF!</definedName>
    <definedName name="_PAV01" localSheetId="12">#REF!</definedName>
    <definedName name="_PAV01" localSheetId="30">#REF!</definedName>
    <definedName name="_PAV01" localSheetId="28">#REF!</definedName>
    <definedName name="_PAV01" localSheetId="27">#REF!</definedName>
    <definedName name="_PAV01" localSheetId="18">#REF!</definedName>
    <definedName name="_PAV01" localSheetId="7">#REF!</definedName>
    <definedName name="_PAV01" localSheetId="23">#REF!</definedName>
    <definedName name="_PAV01">#REF!</definedName>
    <definedName name="_PAV02" localSheetId="12">#REF!</definedName>
    <definedName name="_PAV02" localSheetId="30">#REF!</definedName>
    <definedName name="_PAV02" localSheetId="28">#REF!</definedName>
    <definedName name="_PAV02" localSheetId="27">#REF!</definedName>
    <definedName name="_PAV02" localSheetId="18">#REF!</definedName>
    <definedName name="_PAV02" localSheetId="7">#REF!</definedName>
    <definedName name="_PAV02" localSheetId="23">#REF!</definedName>
    <definedName name="_PAV02">#REF!</definedName>
    <definedName name="_PAV03" localSheetId="12">#REF!</definedName>
    <definedName name="_PAV03" localSheetId="30">#REF!</definedName>
    <definedName name="_PAV03" localSheetId="28">#REF!</definedName>
    <definedName name="_PAV03" localSheetId="27">#REF!</definedName>
    <definedName name="_PAV03" localSheetId="18">#REF!</definedName>
    <definedName name="_PAV03" localSheetId="7">#REF!</definedName>
    <definedName name="_PAV03" localSheetId="23">#REF!</definedName>
    <definedName name="_PAV03">#REF!</definedName>
    <definedName name="_PAV04" localSheetId="12">#REF!</definedName>
    <definedName name="_PAV04" localSheetId="30">#REF!</definedName>
    <definedName name="_PAV04" localSheetId="28">#REF!</definedName>
    <definedName name="_PAV04" localSheetId="27">#REF!</definedName>
    <definedName name="_PAV04" localSheetId="18">#REF!</definedName>
    <definedName name="_PAV04" localSheetId="7">#REF!</definedName>
    <definedName name="_PAV04" localSheetId="23">#REF!</definedName>
    <definedName name="_PAV04">#REF!</definedName>
    <definedName name="_PAV05" localSheetId="12">#REF!</definedName>
    <definedName name="_PAV05" localSheetId="30">#REF!</definedName>
    <definedName name="_PAV05" localSheetId="28">#REF!</definedName>
    <definedName name="_PAV05" localSheetId="27">#REF!</definedName>
    <definedName name="_PAV05" localSheetId="18">#REF!</definedName>
    <definedName name="_PAV05" localSheetId="7">#REF!</definedName>
    <definedName name="_PAV05" localSheetId="23">#REF!</definedName>
    <definedName name="_PAV05">#REF!</definedName>
    <definedName name="_PAV06" localSheetId="12">#REF!</definedName>
    <definedName name="_PAV06" localSheetId="30">#REF!</definedName>
    <definedName name="_PAV06" localSheetId="28">#REF!</definedName>
    <definedName name="_PAV06" localSheetId="27">#REF!</definedName>
    <definedName name="_PAV06" localSheetId="18">#REF!</definedName>
    <definedName name="_PAV06" localSheetId="7">#REF!</definedName>
    <definedName name="_PAV06" localSheetId="23">#REF!</definedName>
    <definedName name="_PAV06">#REF!</definedName>
    <definedName name="_PAV07" localSheetId="12">#REF!</definedName>
    <definedName name="_PAV07" localSheetId="30">#REF!</definedName>
    <definedName name="_PAV07" localSheetId="28">#REF!</definedName>
    <definedName name="_PAV07" localSheetId="27">#REF!</definedName>
    <definedName name="_PAV07" localSheetId="18">#REF!</definedName>
    <definedName name="_PAV07" localSheetId="7">#REF!</definedName>
    <definedName name="_PAV07" localSheetId="23">#REF!</definedName>
    <definedName name="_PAV07">#REF!</definedName>
    <definedName name="_PAV08" localSheetId="12">#REF!</definedName>
    <definedName name="_PAV08" localSheetId="30">#REF!</definedName>
    <definedName name="_PAV08" localSheetId="28">#REF!</definedName>
    <definedName name="_PAV08" localSheetId="27">#REF!</definedName>
    <definedName name="_PAV08" localSheetId="18">#REF!</definedName>
    <definedName name="_PAV08" localSheetId="7">#REF!</definedName>
    <definedName name="_PAV08" localSheetId="23">#REF!</definedName>
    <definedName name="_PAV08">#REF!</definedName>
    <definedName name="_PAV09" localSheetId="12">#REF!</definedName>
    <definedName name="_PAV09" localSheetId="30">#REF!</definedName>
    <definedName name="_PAV09" localSheetId="28">#REF!</definedName>
    <definedName name="_PAV09" localSheetId="27">#REF!</definedName>
    <definedName name="_PAV09" localSheetId="18">#REF!</definedName>
    <definedName name="_PAV09" localSheetId="7">#REF!</definedName>
    <definedName name="_PAV09" localSheetId="23">#REF!</definedName>
    <definedName name="_PAV09">#REF!</definedName>
    <definedName name="_PAV10" localSheetId="12">#REF!</definedName>
    <definedName name="_PAV10" localSheetId="30">#REF!</definedName>
    <definedName name="_PAV10" localSheetId="28">#REF!</definedName>
    <definedName name="_PAV10" localSheetId="27">#REF!</definedName>
    <definedName name="_PAV10" localSheetId="18">#REF!</definedName>
    <definedName name="_PAV10" localSheetId="7">#REF!</definedName>
    <definedName name="_PAV10" localSheetId="23">#REF!</definedName>
    <definedName name="_PAV10">#REF!</definedName>
    <definedName name="_PAV11" localSheetId="12">#REF!</definedName>
    <definedName name="_PAV11" localSheetId="30">#REF!</definedName>
    <definedName name="_PAV11" localSheetId="28">#REF!</definedName>
    <definedName name="_PAV11" localSheetId="27">#REF!</definedName>
    <definedName name="_PAV11" localSheetId="18">#REF!</definedName>
    <definedName name="_PAV11" localSheetId="7">#REF!</definedName>
    <definedName name="_PAV11" localSheetId="23">#REF!</definedName>
    <definedName name="_PAV11">#REF!</definedName>
    <definedName name="_PK2" localSheetId="33" hidden="1">{"'장비'!$A$3:$M$12"}</definedName>
    <definedName name="_PK2" localSheetId="35" hidden="1">{"'장비'!$A$3:$M$12"}</definedName>
    <definedName name="_PK2" hidden="1">{"'장비'!$A$3:$M$12"}</definedName>
    <definedName name="_PKG3" localSheetId="33" hidden="1">{"'장비'!$A$3:$M$12"}</definedName>
    <definedName name="_PKG3" localSheetId="35" hidden="1">{"'장비'!$A$3:$M$12"}</definedName>
    <definedName name="_PKG3" hidden="1">{"'장비'!$A$3:$M$12"}</definedName>
    <definedName name="_qqq222" localSheetId="33" hidden="1">{"'장비'!$A$3:$M$12"}</definedName>
    <definedName name="_qqq222" localSheetId="35" hidden="1">{"'장비'!$A$3:$M$12"}</definedName>
    <definedName name="_qqq222" hidden="1">{"'장비'!$A$3:$M$12"}</definedName>
    <definedName name="_QT100" localSheetId="12">#REF!</definedName>
    <definedName name="_QT100" localSheetId="30">#REF!</definedName>
    <definedName name="_QT100" localSheetId="28">#REF!</definedName>
    <definedName name="_QT100" localSheetId="27">#REF!</definedName>
    <definedName name="_QT100" localSheetId="18">#REF!</definedName>
    <definedName name="_QT100" localSheetId="7">#REF!</definedName>
    <definedName name="_QT100" localSheetId="23">#REF!</definedName>
    <definedName name="_QT100">#REF!</definedName>
    <definedName name="_QT2" localSheetId="12">#REF!</definedName>
    <definedName name="_QT2" localSheetId="30">#REF!</definedName>
    <definedName name="_QT2" localSheetId="28">#REF!</definedName>
    <definedName name="_QT2" localSheetId="27">#REF!</definedName>
    <definedName name="_QT2" localSheetId="18">#REF!</definedName>
    <definedName name="_QT2" localSheetId="7">#REF!</definedName>
    <definedName name="_QT2" localSheetId="23">#REF!</definedName>
    <definedName name="_QT2">#REF!</definedName>
    <definedName name="_QT3" localSheetId="12">#REF!</definedName>
    <definedName name="_QT3" localSheetId="30">#REF!</definedName>
    <definedName name="_QT3" localSheetId="28">#REF!</definedName>
    <definedName name="_QT3" localSheetId="27">#REF!</definedName>
    <definedName name="_QT3" localSheetId="18">#REF!</definedName>
    <definedName name="_QT3" localSheetId="7">#REF!</definedName>
    <definedName name="_QT3" localSheetId="23">#REF!</definedName>
    <definedName name="_QT3">#REF!</definedName>
    <definedName name="_QT4" localSheetId="12">#REF!</definedName>
    <definedName name="_QT4" localSheetId="30">#REF!</definedName>
    <definedName name="_QT4" localSheetId="28">#REF!</definedName>
    <definedName name="_QT4" localSheetId="27">#REF!</definedName>
    <definedName name="_QT4" localSheetId="18">#REF!</definedName>
    <definedName name="_QT4" localSheetId="7">#REF!</definedName>
    <definedName name="_QT4" localSheetId="23">#REF!</definedName>
    <definedName name="_QT4">#REF!</definedName>
    <definedName name="_QT50" localSheetId="12">#REF!</definedName>
    <definedName name="_QT50" localSheetId="30">#REF!</definedName>
    <definedName name="_QT50" localSheetId="28">#REF!</definedName>
    <definedName name="_QT50" localSheetId="27">#REF!</definedName>
    <definedName name="_QT50" localSheetId="18">#REF!</definedName>
    <definedName name="_QT50" localSheetId="7">#REF!</definedName>
    <definedName name="_QT50" localSheetId="23">#REF!</definedName>
    <definedName name="_QT50">#REF!</definedName>
    <definedName name="_QT75" localSheetId="12">#REF!</definedName>
    <definedName name="_QT75" localSheetId="30">#REF!</definedName>
    <definedName name="_QT75" localSheetId="28">#REF!</definedName>
    <definedName name="_QT75" localSheetId="27">#REF!</definedName>
    <definedName name="_QT75" localSheetId="18">#REF!</definedName>
    <definedName name="_QT75" localSheetId="7">#REF!</definedName>
    <definedName name="_QT75" localSheetId="23">#REF!</definedName>
    <definedName name="_QT75">#REF!</definedName>
    <definedName name="_r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localSheetId="12" hidden="1">#REF!</definedName>
    <definedName name="_Regression_Out" localSheetId="30" hidden="1">#REF!</definedName>
    <definedName name="_Regression_Out" localSheetId="28" hidden="1">#REF!</definedName>
    <definedName name="_Regression_Out" localSheetId="27" hidden="1">#REF!</definedName>
    <definedName name="_Regression_Out" localSheetId="18" hidden="1">#REF!</definedName>
    <definedName name="_Regression_Out" localSheetId="7" hidden="1">#REF!</definedName>
    <definedName name="_Regression_Out" localSheetId="23" hidden="1">#REF!</definedName>
    <definedName name="_Regression_Out" hidden="1">#REF!</definedName>
    <definedName name="_Regression_X" localSheetId="12" hidden="1">#REF!</definedName>
    <definedName name="_Regression_X" localSheetId="30" hidden="1">#REF!</definedName>
    <definedName name="_Regression_X" localSheetId="28" hidden="1">#REF!</definedName>
    <definedName name="_Regression_X" localSheetId="27" hidden="1">#REF!</definedName>
    <definedName name="_Regression_X" localSheetId="18" hidden="1">#REF!</definedName>
    <definedName name="_Regression_X" localSheetId="7" hidden="1">#REF!</definedName>
    <definedName name="_Regression_X" localSheetId="23" hidden="1">#REF!</definedName>
    <definedName name="_Regression_X" hidden="1">#REF!</definedName>
    <definedName name="_Regression_Y" localSheetId="12" hidden="1">#REF!</definedName>
    <definedName name="_Regression_Y" localSheetId="30" hidden="1">#REF!</definedName>
    <definedName name="_Regression_Y" localSheetId="28" hidden="1">#REF!</definedName>
    <definedName name="_Regression_Y" localSheetId="27" hidden="1">#REF!</definedName>
    <definedName name="_Regression_Y" localSheetId="18" hidden="1">#REF!</definedName>
    <definedName name="_Regression_Y" localSheetId="7" hidden="1">#REF!</definedName>
    <definedName name="_Regression_Y" localSheetId="23" hidden="1">#REF!</definedName>
    <definedName name="_Regression_Y" hidden="1">#REF!</definedName>
    <definedName name="_sfe5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localSheetId="3" hidden="1">#REF!</definedName>
    <definedName name="_Sort" localSheetId="12" hidden="1">#REF!</definedName>
    <definedName name="_Sort" localSheetId="30" hidden="1">#REF!</definedName>
    <definedName name="_Sort" localSheetId="28" hidden="1">#REF!</definedName>
    <definedName name="_Sort" localSheetId="27" hidden="1">#REF!</definedName>
    <definedName name="_Sort" localSheetId="18" hidden="1">#REF!</definedName>
    <definedName name="_Sort" localSheetId="7" hidden="1">#REF!</definedName>
    <definedName name="_Sort" localSheetId="23" hidden="1">#REF!</definedName>
    <definedName name="_Sort" hidden="1">#REF!</definedName>
    <definedName name="_T" localSheetId="12">#REF!</definedName>
    <definedName name="_T" localSheetId="30">#REF!</definedName>
    <definedName name="_T" localSheetId="28">#REF!</definedName>
    <definedName name="_T" localSheetId="27">#REF!</definedName>
    <definedName name="_T" localSheetId="18">#REF!</definedName>
    <definedName name="_T" localSheetId="7">#REF!</definedName>
    <definedName name="_T" localSheetId="23">#REF!</definedName>
    <definedName name="_T">#REF!</definedName>
    <definedName name="_Table1_In1" localSheetId="12" hidden="1">#REF!</definedName>
    <definedName name="_Table1_In1" localSheetId="30" hidden="1">#REF!</definedName>
    <definedName name="_Table1_In1" localSheetId="28" hidden="1">#REF!</definedName>
    <definedName name="_Table1_In1" localSheetId="27" hidden="1">#REF!</definedName>
    <definedName name="_Table1_In1" localSheetId="18" hidden="1">#REF!</definedName>
    <definedName name="_Table1_In1" localSheetId="7" hidden="1">#REF!</definedName>
    <definedName name="_Table1_In1" localSheetId="23" hidden="1">#REF!</definedName>
    <definedName name="_Table1_In1" hidden="1">#REF!</definedName>
    <definedName name="_Table1_Out" localSheetId="12" hidden="1">#REF!</definedName>
    <definedName name="_Table1_Out" localSheetId="30" hidden="1">#REF!</definedName>
    <definedName name="_Table1_Out" localSheetId="28" hidden="1">#REF!</definedName>
    <definedName name="_Table1_Out" localSheetId="27" hidden="1">#REF!</definedName>
    <definedName name="_Table1_Out" localSheetId="18" hidden="1">#REF!</definedName>
    <definedName name="_Table1_Out" localSheetId="7" hidden="1">#REF!</definedName>
    <definedName name="_Table1_Out" localSheetId="23" hidden="1">#REF!</definedName>
    <definedName name="_Table1_Out" hidden="1">#REF!</definedName>
    <definedName name="_wer3" localSheetId="3" hidden="1">{#N/A,#N/A,FALSE,"Plan1";#N/A,#N/A,FALSE,"Plan2"}</definedName>
    <definedName name="_wer3" localSheetId="33" hidden="1">{#N/A,#N/A,FALSE,"Plan1";#N/A,#N/A,FALSE,"Plan2"}</definedName>
    <definedName name="_wer3" localSheetId="35" hidden="1">{#N/A,#N/A,FALSE,"Plan1";#N/A,#N/A,FALSE,"Plan2"}</definedName>
    <definedName name="_wer3" hidden="1">{#N/A,#N/A,FALSE,"Plan1";#N/A,#N/A,FALSE,"Plan2"}</definedName>
    <definedName name="_wrn.pendencia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localSheetId="3" hidden="1">#REF!</definedName>
    <definedName name="_x10" localSheetId="12" hidden="1">#REF!</definedName>
    <definedName name="_x10" localSheetId="30" hidden="1">#REF!</definedName>
    <definedName name="_x10" localSheetId="28" hidden="1">#REF!</definedName>
    <definedName name="_x10" localSheetId="27" hidden="1">#REF!</definedName>
    <definedName name="_x10" localSheetId="18" hidden="1">#REF!</definedName>
    <definedName name="_x10" localSheetId="7" hidden="1">#REF!</definedName>
    <definedName name="_x10" localSheetId="23" hidden="1">#REF!</definedName>
    <definedName name="_x10" hidden="1">#REF!</definedName>
    <definedName name="_x11" localSheetId="12" hidden="1">#REF!</definedName>
    <definedName name="_x11" localSheetId="30" hidden="1">#REF!</definedName>
    <definedName name="_x11" localSheetId="28" hidden="1">#REF!</definedName>
    <definedName name="_x11" localSheetId="27" hidden="1">#REF!</definedName>
    <definedName name="_x11" localSheetId="18" hidden="1">#REF!</definedName>
    <definedName name="_x11" localSheetId="7" hidden="1">#REF!</definedName>
    <definedName name="_x11" localSheetId="23" hidden="1">#REF!</definedName>
    <definedName name="_x11" hidden="1">#REF!</definedName>
    <definedName name="_x12" localSheetId="12" hidden="1">#REF!</definedName>
    <definedName name="_x12" localSheetId="30" hidden="1">#REF!</definedName>
    <definedName name="_x12" localSheetId="28" hidden="1">#REF!</definedName>
    <definedName name="_x12" localSheetId="27" hidden="1">#REF!</definedName>
    <definedName name="_x12" localSheetId="18" hidden="1">#REF!</definedName>
    <definedName name="_x12" localSheetId="7" hidden="1">#REF!</definedName>
    <definedName name="_x12" localSheetId="23" hidden="1">#REF!</definedName>
    <definedName name="_x12" hidden="1">#REF!</definedName>
    <definedName name="_x13" localSheetId="12" hidden="1">#REF!</definedName>
    <definedName name="_x13" localSheetId="30" hidden="1">#REF!</definedName>
    <definedName name="_x13" localSheetId="28" hidden="1">#REF!</definedName>
    <definedName name="_x13" localSheetId="27" hidden="1">#REF!</definedName>
    <definedName name="_x13" localSheetId="18" hidden="1">#REF!</definedName>
    <definedName name="_x13" localSheetId="7" hidden="1">#REF!</definedName>
    <definedName name="_x13" localSheetId="23" hidden="1">#REF!</definedName>
    <definedName name="_x13" hidden="1">#REF!</definedName>
    <definedName name="_x14" localSheetId="12" hidden="1">#REF!</definedName>
    <definedName name="_x14" localSheetId="30" hidden="1">#REF!</definedName>
    <definedName name="_x14" localSheetId="28" hidden="1">#REF!</definedName>
    <definedName name="_x14" localSheetId="27" hidden="1">#REF!</definedName>
    <definedName name="_x14" localSheetId="18" hidden="1">#REF!</definedName>
    <definedName name="_x14" localSheetId="7" hidden="1">#REF!</definedName>
    <definedName name="_x14" localSheetId="23" hidden="1">#REF!</definedName>
    <definedName name="_x14" hidden="1">#REF!</definedName>
    <definedName name="_x15" localSheetId="12" hidden="1">#REF!</definedName>
    <definedName name="_x15" localSheetId="30" hidden="1">#REF!</definedName>
    <definedName name="_x15" localSheetId="28" hidden="1">#REF!</definedName>
    <definedName name="_x15" localSheetId="27" hidden="1">#REF!</definedName>
    <definedName name="_x15" localSheetId="18" hidden="1">#REF!</definedName>
    <definedName name="_x15" localSheetId="7" hidden="1">#REF!</definedName>
    <definedName name="_x15" localSheetId="23" hidden="1">#REF!</definedName>
    <definedName name="_x15" hidden="1">#REF!</definedName>
    <definedName name="_x16" localSheetId="12" hidden="1">#REF!</definedName>
    <definedName name="_x16" localSheetId="30" hidden="1">#REF!</definedName>
    <definedName name="_x16" localSheetId="28" hidden="1">#REF!</definedName>
    <definedName name="_x16" localSheetId="27" hidden="1">#REF!</definedName>
    <definedName name="_x16" localSheetId="18" hidden="1">#REF!</definedName>
    <definedName name="_x16" localSheetId="7" hidden="1">#REF!</definedName>
    <definedName name="_x16" localSheetId="23" hidden="1">#REF!</definedName>
    <definedName name="_x16" hidden="1">#REF!</definedName>
    <definedName name="_x17" localSheetId="12" hidden="1">#REF!</definedName>
    <definedName name="_x17" localSheetId="30" hidden="1">#REF!</definedName>
    <definedName name="_x17" localSheetId="28" hidden="1">#REF!</definedName>
    <definedName name="_x17" localSheetId="27" hidden="1">#REF!</definedName>
    <definedName name="_x17" localSheetId="18" hidden="1">#REF!</definedName>
    <definedName name="_x17" localSheetId="7" hidden="1">#REF!</definedName>
    <definedName name="_x17" localSheetId="23" hidden="1">#REF!</definedName>
    <definedName name="_x17" hidden="1">#REF!</definedName>
    <definedName name="_x18" localSheetId="12" hidden="1">#REF!</definedName>
    <definedName name="_x18" localSheetId="30" hidden="1">#REF!</definedName>
    <definedName name="_x18" localSheetId="28" hidden="1">#REF!</definedName>
    <definedName name="_x18" localSheetId="27" hidden="1">#REF!</definedName>
    <definedName name="_x18" localSheetId="18" hidden="1">#REF!</definedName>
    <definedName name="_x18" localSheetId="7" hidden="1">#REF!</definedName>
    <definedName name="_x18" localSheetId="23" hidden="1">#REF!</definedName>
    <definedName name="_x18" hidden="1">#REF!</definedName>
    <definedName name="_x19" localSheetId="12" hidden="1">#REF!</definedName>
    <definedName name="_x19" localSheetId="30" hidden="1">#REF!</definedName>
    <definedName name="_x19" localSheetId="28" hidden="1">#REF!</definedName>
    <definedName name="_x19" localSheetId="27" hidden="1">#REF!</definedName>
    <definedName name="_x19" localSheetId="18" hidden="1">#REF!</definedName>
    <definedName name="_x19" localSheetId="7" hidden="1">#REF!</definedName>
    <definedName name="_x19" localSheetId="23" hidden="1">#REF!</definedName>
    <definedName name="_x19" hidden="1">#REF!</definedName>
    <definedName name="_x20" localSheetId="12" hidden="1">#REF!</definedName>
    <definedName name="_x20" localSheetId="30" hidden="1">#REF!</definedName>
    <definedName name="_x20" localSheetId="28" hidden="1">#REF!</definedName>
    <definedName name="_x20" localSheetId="27" hidden="1">#REF!</definedName>
    <definedName name="_x20" localSheetId="18" hidden="1">#REF!</definedName>
    <definedName name="_x20" localSheetId="7" hidden="1">#REF!</definedName>
    <definedName name="_x20" localSheetId="23" hidden="1">#REF!</definedName>
    <definedName name="_x20" hidden="1">#REF!</definedName>
    <definedName name="_x21" localSheetId="12" hidden="1">#REF!</definedName>
    <definedName name="_x21" localSheetId="30" hidden="1">#REF!</definedName>
    <definedName name="_x21" localSheetId="28" hidden="1">#REF!</definedName>
    <definedName name="_x21" localSheetId="27" hidden="1">#REF!</definedName>
    <definedName name="_x21" localSheetId="18" hidden="1">#REF!</definedName>
    <definedName name="_x21" localSheetId="7" hidden="1">#REF!</definedName>
    <definedName name="_x21" localSheetId="23" hidden="1">#REF!</definedName>
    <definedName name="_x21" hidden="1">#REF!</definedName>
    <definedName name="_x22" localSheetId="12" hidden="1">#REF!</definedName>
    <definedName name="_x22" localSheetId="30" hidden="1">#REF!</definedName>
    <definedName name="_x22" localSheetId="28" hidden="1">#REF!</definedName>
    <definedName name="_x22" localSheetId="27" hidden="1">#REF!</definedName>
    <definedName name="_x22" localSheetId="18" hidden="1">#REF!</definedName>
    <definedName name="_x22" localSheetId="7" hidden="1">#REF!</definedName>
    <definedName name="_x22" localSheetId="23" hidden="1">#REF!</definedName>
    <definedName name="_x22" hidden="1">#REF!</definedName>
    <definedName name="_x23" localSheetId="12" hidden="1">#REF!</definedName>
    <definedName name="_x23" localSheetId="30" hidden="1">#REF!</definedName>
    <definedName name="_x23" localSheetId="28" hidden="1">#REF!</definedName>
    <definedName name="_x23" localSheetId="27" hidden="1">#REF!</definedName>
    <definedName name="_x23" localSheetId="18" hidden="1">#REF!</definedName>
    <definedName name="_x23" localSheetId="7" hidden="1">#REF!</definedName>
    <definedName name="_x23" localSheetId="23" hidden="1">#REF!</definedName>
    <definedName name="_x23" hidden="1">#REF!</definedName>
    <definedName name="_x24" localSheetId="12" hidden="1">#REF!</definedName>
    <definedName name="_x24" localSheetId="30" hidden="1">#REF!</definedName>
    <definedName name="_x24" localSheetId="28" hidden="1">#REF!</definedName>
    <definedName name="_x24" localSheetId="27" hidden="1">#REF!</definedName>
    <definedName name="_x24" localSheetId="18" hidden="1">#REF!</definedName>
    <definedName name="_x24" localSheetId="7" hidden="1">#REF!</definedName>
    <definedName name="_x24" localSheetId="23" hidden="1">#REF!</definedName>
    <definedName name="_x24" hidden="1">#REF!</definedName>
    <definedName name="_x25" localSheetId="12" hidden="1">#REF!</definedName>
    <definedName name="_x25" localSheetId="30" hidden="1">#REF!</definedName>
    <definedName name="_x25" localSheetId="28" hidden="1">#REF!</definedName>
    <definedName name="_x25" localSheetId="27" hidden="1">#REF!</definedName>
    <definedName name="_x25" localSheetId="18" hidden="1">#REF!</definedName>
    <definedName name="_x25" localSheetId="7" hidden="1">#REF!</definedName>
    <definedName name="_x25" localSheetId="23" hidden="1">#REF!</definedName>
    <definedName name="_x25" hidden="1">#REF!</definedName>
    <definedName name="_x28" localSheetId="12" hidden="1">#REF!</definedName>
    <definedName name="_x28" localSheetId="30" hidden="1">#REF!</definedName>
    <definedName name="_x28" localSheetId="28" hidden="1">#REF!</definedName>
    <definedName name="_x28" localSheetId="27" hidden="1">#REF!</definedName>
    <definedName name="_x28" localSheetId="18" hidden="1">#REF!</definedName>
    <definedName name="_x28" localSheetId="7" hidden="1">#REF!</definedName>
    <definedName name="_x28" localSheetId="23" hidden="1">#REF!</definedName>
    <definedName name="_x28" hidden="1">#REF!</definedName>
    <definedName name="_x29" localSheetId="12" hidden="1">#REF!</definedName>
    <definedName name="_x29" localSheetId="30" hidden="1">#REF!</definedName>
    <definedName name="_x29" localSheetId="28" hidden="1">#REF!</definedName>
    <definedName name="_x29" localSheetId="27" hidden="1">#REF!</definedName>
    <definedName name="_x29" localSheetId="18" hidden="1">#REF!</definedName>
    <definedName name="_x29" localSheetId="7" hidden="1">#REF!</definedName>
    <definedName name="_x29" localSheetId="23" hidden="1">#REF!</definedName>
    <definedName name="_x29" hidden="1">#REF!</definedName>
    <definedName name="_x32" localSheetId="12" hidden="1">#REF!</definedName>
    <definedName name="_x32" localSheetId="30" hidden="1">#REF!</definedName>
    <definedName name="_x32" localSheetId="28" hidden="1">#REF!</definedName>
    <definedName name="_x32" localSheetId="27" hidden="1">#REF!</definedName>
    <definedName name="_x32" localSheetId="18" hidden="1">#REF!</definedName>
    <definedName name="_x32" localSheetId="7" hidden="1">#REF!</definedName>
    <definedName name="_x32" localSheetId="23" hidden="1">#REF!</definedName>
    <definedName name="_x32" hidden="1">#REF!</definedName>
    <definedName name="_x4" localSheetId="12" hidden="1">#REF!</definedName>
    <definedName name="_x4" localSheetId="30" hidden="1">#REF!</definedName>
    <definedName name="_x4" localSheetId="28" hidden="1">#REF!</definedName>
    <definedName name="_x4" localSheetId="27" hidden="1">#REF!</definedName>
    <definedName name="_x4" localSheetId="18" hidden="1">#REF!</definedName>
    <definedName name="_x4" localSheetId="7" hidden="1">#REF!</definedName>
    <definedName name="_x4" localSheetId="23" hidden="1">#REF!</definedName>
    <definedName name="_x4" hidden="1">#REF!</definedName>
    <definedName name="_x5" localSheetId="12" hidden="1">#REF!</definedName>
    <definedName name="_x5" localSheetId="30" hidden="1">#REF!</definedName>
    <definedName name="_x5" localSheetId="28" hidden="1">#REF!</definedName>
    <definedName name="_x5" localSheetId="27" hidden="1">#REF!</definedName>
    <definedName name="_x5" localSheetId="18" hidden="1">#REF!</definedName>
    <definedName name="_x5" localSheetId="7" hidden="1">#REF!</definedName>
    <definedName name="_x5" localSheetId="23" hidden="1">#REF!</definedName>
    <definedName name="_x5" hidden="1">#REF!</definedName>
    <definedName name="_x6" localSheetId="12" hidden="1">#REF!</definedName>
    <definedName name="_x6" localSheetId="30" hidden="1">#REF!</definedName>
    <definedName name="_x6" localSheetId="28" hidden="1">#REF!</definedName>
    <definedName name="_x6" localSheetId="27" hidden="1">#REF!</definedName>
    <definedName name="_x6" localSheetId="18" hidden="1">#REF!</definedName>
    <definedName name="_x6" localSheetId="7" hidden="1">#REF!</definedName>
    <definedName name="_x6" localSheetId="23" hidden="1">#REF!</definedName>
    <definedName name="_x6" hidden="1">#REF!</definedName>
    <definedName name="_x7" localSheetId="12" hidden="1">#REF!</definedName>
    <definedName name="_x7" localSheetId="30" hidden="1">#REF!</definedName>
    <definedName name="_x7" localSheetId="28" hidden="1">#REF!</definedName>
    <definedName name="_x7" localSheetId="27" hidden="1">#REF!</definedName>
    <definedName name="_x7" localSheetId="18" hidden="1">#REF!</definedName>
    <definedName name="_x7" localSheetId="7" hidden="1">#REF!</definedName>
    <definedName name="_x7" localSheetId="23" hidden="1">#REF!</definedName>
    <definedName name="_x7" hidden="1">#REF!</definedName>
    <definedName name="_x8" localSheetId="12" hidden="1">#REF!</definedName>
    <definedName name="_x8" localSheetId="30" hidden="1">#REF!</definedName>
    <definedName name="_x8" localSheetId="28" hidden="1">#REF!</definedName>
    <definedName name="_x8" localSheetId="27" hidden="1">#REF!</definedName>
    <definedName name="_x8" localSheetId="18" hidden="1">#REF!</definedName>
    <definedName name="_x8" localSheetId="7" hidden="1">#REF!</definedName>
    <definedName name="_x8" localSheetId="23" hidden="1">#REF!</definedName>
    <definedName name="_x8" hidden="1">#REF!</definedName>
    <definedName name="_x9" localSheetId="12" hidden="1">#REF!</definedName>
    <definedName name="_x9" localSheetId="30" hidden="1">#REF!</definedName>
    <definedName name="_x9" localSheetId="28" hidden="1">#REF!</definedName>
    <definedName name="_x9" localSheetId="27" hidden="1">#REF!</definedName>
    <definedName name="_x9" localSheetId="18" hidden="1">#REF!</definedName>
    <definedName name="_x9" localSheetId="7" hidden="1">#REF!</definedName>
    <definedName name="_x9" localSheetId="23" hidden="1">#REF!</definedName>
    <definedName name="_x9" hidden="1">#REF!</definedName>
    <definedName name="_xlcn.WorksheetConnection_2018_03ResumoRGOObrasRJ.xlsbTabela1" hidden="1">#REF!</definedName>
    <definedName name="_xlcn.WorksheetConnection_ProjetocontrolefisicoefinanceiroRJ.xlsxTabela31" hidden="1">#REF!</definedName>
    <definedName name="´cAE°eE¹" localSheetId="12" hidden="1">#REF!</definedName>
    <definedName name="´cAE°eE¹" localSheetId="30" hidden="1">#REF!</definedName>
    <definedName name="´cAE°eE¹" localSheetId="28" hidden="1">#REF!</definedName>
    <definedName name="´cAE°eE¹" localSheetId="27" hidden="1">#REF!</definedName>
    <definedName name="´cAE°eE¹" localSheetId="18" hidden="1">#REF!</definedName>
    <definedName name="´cAE°eE¹" localSheetId="7" hidden="1">#REF!</definedName>
    <definedName name="´cAE°eE¹" localSheetId="23" hidden="1">#REF!</definedName>
    <definedName name="´cAE°eE¹" hidden="1">#REF!</definedName>
    <definedName name="￠￥cAE¡ÆeEⓒo" localSheetId="12" hidden="1">#REF!</definedName>
    <definedName name="￠￥cAE¡ÆeEⓒo" localSheetId="30" hidden="1">#REF!</definedName>
    <definedName name="￠￥cAE¡ÆeEⓒo" localSheetId="28" hidden="1">#REF!</definedName>
    <definedName name="￠￥cAE¡ÆeEⓒo" localSheetId="27" hidden="1">#REF!</definedName>
    <definedName name="￠￥cAE¡ÆeEⓒo" localSheetId="18" hidden="1">#REF!</definedName>
    <definedName name="￠￥cAE¡ÆeEⓒo" localSheetId="7" hidden="1">#REF!</definedName>
    <definedName name="￠￥cAE¡ÆeEⓒo" localSheetId="23" hidden="1">#REF!</definedName>
    <definedName name="￠￥cAE¡ÆeEⓒo" hidden="1">#REF!</definedName>
    <definedName name="a" localSheetId="12">#REF!</definedName>
    <definedName name="a" localSheetId="30">#REF!</definedName>
    <definedName name="a" localSheetId="28">#REF!</definedName>
    <definedName name="a" localSheetId="27">#REF!</definedName>
    <definedName name="a" localSheetId="18">#REF!</definedName>
    <definedName name="a" localSheetId="35" hidden="1">#REF!</definedName>
    <definedName name="a" localSheetId="7">#REF!</definedName>
    <definedName name="a" localSheetId="23">#REF!</definedName>
    <definedName name="a">#REF!</definedName>
    <definedName name="a\sgt" localSheetId="3" hidden="1">{#N/A,#N/A,FALSE,"Plan1";#N/A,#N/A,FALSE,"Plan2"}</definedName>
    <definedName name="a\sgt" localSheetId="33" hidden="1">{#N/A,#N/A,FALSE,"Plan1";#N/A,#N/A,FALSE,"Plan2"}</definedName>
    <definedName name="a\sgt" localSheetId="35" hidden="1">{#N/A,#N/A,FALSE,"Plan1";#N/A,#N/A,FALSE,"Plan2"}</definedName>
    <definedName name="a\sgt" hidden="1">{#N/A,#N/A,FALSE,"Plan1";#N/A,#N/A,FALSE,"Plan2"}</definedName>
    <definedName name="aa" localSheetId="2">#REF!</definedName>
    <definedName name="aa" localSheetId="12">#REF!</definedName>
    <definedName name="aa" localSheetId="1">#REF!</definedName>
    <definedName name="aa" localSheetId="30">#REF!</definedName>
    <definedName name="aa" localSheetId="28">#REF!</definedName>
    <definedName name="aa" localSheetId="27">#REF!</definedName>
    <definedName name="aa" localSheetId="0">#REF!</definedName>
    <definedName name="aa" localSheetId="18">#REF!</definedName>
    <definedName name="aa" localSheetId="7">#REF!</definedName>
    <definedName name="aa" localSheetId="23">#REF!</definedName>
    <definedName name="aa">#REF!</definedName>
    <definedName name="aaa" localSheetId="12">#REF!</definedName>
    <definedName name="aaa" localSheetId="30">#REF!</definedName>
    <definedName name="aaa" localSheetId="28">#REF!</definedName>
    <definedName name="aaa" localSheetId="27">#REF!</definedName>
    <definedName name="aaa" localSheetId="18">#REF!</definedName>
    <definedName name="aaa" localSheetId="7">#REF!</definedName>
    <definedName name="aaa" localSheetId="23">#REF!</definedName>
    <definedName name="aaa">#REF!</definedName>
    <definedName name="aaaa" localSheetId="2">'[2]M.O.'!#REF!</definedName>
    <definedName name="AAAA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1">'[2]M.O.'!#REF!</definedName>
    <definedName name="AAAA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0">'[2]M.O.'!#REF!</definedName>
    <definedName name="AAAA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 localSheetId="12">#REF!</definedName>
    <definedName name="aaaadc" localSheetId="30">#REF!</definedName>
    <definedName name="aaaadc" localSheetId="28">#REF!</definedName>
    <definedName name="aaaadc" localSheetId="27">#REF!</definedName>
    <definedName name="aaaadc" localSheetId="18">#REF!</definedName>
    <definedName name="aaaadc" localSheetId="7">#REF!</definedName>
    <definedName name="aaaadc" localSheetId="23">#REF!</definedName>
    <definedName name="aaaadc">#REF!</definedName>
    <definedName name="aaacccc" localSheetId="3" hidden="1">{#N/A,#N/A,FALSE,"Plan1";#N/A,#N/A,FALSE,"Plan2"}</definedName>
    <definedName name="aaacccc" localSheetId="33" hidden="1">{#N/A,#N/A,FALSE,"Plan1";#N/A,#N/A,FALSE,"Plan2"}</definedName>
    <definedName name="aaacccc" localSheetId="35" hidden="1">{#N/A,#N/A,FALSE,"Plan1";#N/A,#N/A,FALSE,"Plan2"}</definedName>
    <definedName name="aaacccc" hidden="1">{#N/A,#N/A,FALSE,"Plan1";#N/A,#N/A,FALSE,"Plan2"}</definedName>
    <definedName name="aaas" localSheetId="12">#REF!</definedName>
    <definedName name="aaas" localSheetId="30">#REF!</definedName>
    <definedName name="aaas" localSheetId="28">#REF!</definedName>
    <definedName name="aaas" localSheetId="27">#REF!</definedName>
    <definedName name="aaas" localSheetId="18">#REF!</definedName>
    <definedName name="aaas" localSheetId="7">#REF!</definedName>
    <definedName name="aaas" localSheetId="23">#REF!</definedName>
    <definedName name="aaas">#REF!</definedName>
    <definedName name="AB" localSheetId="12">#REF!</definedName>
    <definedName name="AB" localSheetId="30">#REF!</definedName>
    <definedName name="AB" localSheetId="28">#REF!</definedName>
    <definedName name="AB" localSheetId="27">#REF!</definedName>
    <definedName name="AB" localSheetId="21">#REF!</definedName>
    <definedName name="AB" localSheetId="18">#REF!</definedName>
    <definedName name="AB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7">#REF!</definedName>
    <definedName name="AB" localSheetId="23">#REF!</definedName>
    <definedName name="AB">#REF!</definedName>
    <definedName name="Abat_ISS" localSheetId="12">#REF!</definedName>
    <definedName name="Abat_ISS" localSheetId="30">#REF!</definedName>
    <definedName name="Abat_ISS" localSheetId="28">#REF!</definedName>
    <definedName name="Abat_ISS" localSheetId="27">#REF!</definedName>
    <definedName name="Abat_ISS" localSheetId="18">#REF!</definedName>
    <definedName name="Abat_ISS" localSheetId="7">#REF!</definedName>
    <definedName name="Abat_ISS" localSheetId="23">#REF!</definedName>
    <definedName name="Abat_ISS">#REF!</definedName>
    <definedName name="abc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localSheetId="12" hidden="1">#REF!</definedName>
    <definedName name="ABCD" localSheetId="30" hidden="1">#REF!</definedName>
    <definedName name="ABCD" localSheetId="28" hidden="1">#REF!</definedName>
    <definedName name="ABCD" localSheetId="27" hidden="1">#REF!</definedName>
    <definedName name="ABCD" localSheetId="18" hidden="1">#REF!</definedName>
    <definedName name="ABCD" localSheetId="7" hidden="1">#REF!</definedName>
    <definedName name="ABCD" localSheetId="23" hidden="1">#REF!</definedName>
    <definedName name="ABCD" hidden="1">#REF!</definedName>
    <definedName name="abebqt" localSheetId="12">#REF!</definedName>
    <definedName name="abebqt" localSheetId="30">#REF!</definedName>
    <definedName name="abebqt" localSheetId="28">#REF!</definedName>
    <definedName name="abebqt" localSheetId="27">#REF!</definedName>
    <definedName name="abebqt" localSheetId="18">#REF!</definedName>
    <definedName name="abebqt" localSheetId="7">#REF!</definedName>
    <definedName name="abebqt" localSheetId="23">#REF!</definedName>
    <definedName name="abebqt">#REF!</definedName>
    <definedName name="abr17RJ" localSheetId="12">#REF!</definedName>
    <definedName name="abr17RJ" localSheetId="30">#REF!</definedName>
    <definedName name="abr17RJ" localSheetId="28">#REF!</definedName>
    <definedName name="abr17RJ" localSheetId="27">#REF!</definedName>
    <definedName name="abr17RJ" localSheetId="18">#REF!</definedName>
    <definedName name="abr17RJ" localSheetId="7">#REF!</definedName>
    <definedName name="abr17RJ" localSheetId="23">#REF!</definedName>
    <definedName name="abr17RJ">#REF!</definedName>
    <definedName name="ABRIL" localSheetId="12">#REF!</definedName>
    <definedName name="ABRIL" localSheetId="30">#REF!</definedName>
    <definedName name="ABRIL" localSheetId="28">#REF!</definedName>
    <definedName name="ABRIL" localSheetId="27">#REF!</definedName>
    <definedName name="ABRIL" localSheetId="18">#REF!</definedName>
    <definedName name="ABRIL" localSheetId="7">#REF!</definedName>
    <definedName name="ABRIL" localSheetId="23">#REF!</definedName>
    <definedName name="ABRIL">#REF!</definedName>
    <definedName name="ABRIL2001" localSheetId="12">#REF!</definedName>
    <definedName name="ABRIL2001" localSheetId="30">#REF!</definedName>
    <definedName name="ABRIL2001" localSheetId="28">#REF!</definedName>
    <definedName name="ABRIL2001" localSheetId="27">#REF!</definedName>
    <definedName name="ABRIL2001" localSheetId="18">#REF!</definedName>
    <definedName name="ABRIL2001" localSheetId="7">#REF!</definedName>
    <definedName name="ABRIL2001" localSheetId="23">#REF!</definedName>
    <definedName name="ABRIL2001">#REF!</definedName>
    <definedName name="ac" localSheetId="12" hidden="1">#REF!</definedName>
    <definedName name="ac" localSheetId="30" hidden="1">#REF!</definedName>
    <definedName name="ac" localSheetId="28" hidden="1">#REF!</definedName>
    <definedName name="ac" localSheetId="27" hidden="1">#REF!</definedName>
    <definedName name="ac" localSheetId="18" hidden="1">#REF!</definedName>
    <definedName name="ac" localSheetId="7" hidden="1">#REF!</definedName>
    <definedName name="ac" localSheetId="23" hidden="1">#REF!</definedName>
    <definedName name="ac" hidden="1">#REF!</definedName>
    <definedName name="Acabam." localSheetId="12">#REF!</definedName>
    <definedName name="Acabam." localSheetId="30">#REF!</definedName>
    <definedName name="Acabam." localSheetId="28">#REF!</definedName>
    <definedName name="Acabam." localSheetId="27">#REF!</definedName>
    <definedName name="Acabam." localSheetId="18">#REF!</definedName>
    <definedName name="Acabam." localSheetId="7">#REF!</definedName>
    <definedName name="Acabam." localSheetId="23">#REF!</definedName>
    <definedName name="Acabam.">#REF!</definedName>
    <definedName name="ACADUC" localSheetId="12">#REF!</definedName>
    <definedName name="ACADUC" localSheetId="30">#REF!</definedName>
    <definedName name="ACADUC" localSheetId="28">#REF!</definedName>
    <definedName name="ACADUC" localSheetId="27">#REF!</definedName>
    <definedName name="ACADUC" localSheetId="18">#REF!</definedName>
    <definedName name="ACADUC" localSheetId="7">#REF!</definedName>
    <definedName name="ACADUC" localSheetId="23">#REF!</definedName>
    <definedName name="ACADUC">#REF!</definedName>
    <definedName name="ACBEB" localSheetId="12">#REF!</definedName>
    <definedName name="ACBEB" localSheetId="30">#REF!</definedName>
    <definedName name="ACBEB" localSheetId="28">#REF!</definedName>
    <definedName name="ACBEB" localSheetId="27">#REF!</definedName>
    <definedName name="ACBEB" localSheetId="18">#REF!</definedName>
    <definedName name="ACBEB" localSheetId="7">#REF!</definedName>
    <definedName name="ACBEB" localSheetId="23">#REF!</definedName>
    <definedName name="ACBEB">#REF!</definedName>
    <definedName name="ACBOMB" localSheetId="12">#REF!</definedName>
    <definedName name="ACBOMB" localSheetId="30">#REF!</definedName>
    <definedName name="ACBOMB" localSheetId="28">#REF!</definedName>
    <definedName name="ACBOMB" localSheetId="27">#REF!</definedName>
    <definedName name="ACBOMB" localSheetId="18">#REF!</definedName>
    <definedName name="ACBOMB" localSheetId="7">#REF!</definedName>
    <definedName name="ACBOMB" localSheetId="23">#REF!</definedName>
    <definedName name="ACBOMB">#REF!</definedName>
    <definedName name="AccessDatabase" hidden="1">"C:\posec\DATABASE\vlv_list\vlvlist1.mdb"</definedName>
    <definedName name="ACCHAF" localSheetId="12">#REF!</definedName>
    <definedName name="ACCHAF" localSheetId="30">#REF!</definedName>
    <definedName name="ACCHAF" localSheetId="28">#REF!</definedName>
    <definedName name="ACCHAF" localSheetId="27">#REF!</definedName>
    <definedName name="ACCHAF" localSheetId="18">#REF!</definedName>
    <definedName name="ACCHAF" localSheetId="7">#REF!</definedName>
    <definedName name="ACCHAF" localSheetId="23">#REF!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localSheetId="12" hidden="1">#REF!</definedName>
    <definedName name="acdb" localSheetId="30" hidden="1">#REF!</definedName>
    <definedName name="acdb" localSheetId="28" hidden="1">#REF!</definedName>
    <definedName name="acdb" localSheetId="27" hidden="1">#REF!</definedName>
    <definedName name="acdb" localSheetId="18" hidden="1">#REF!</definedName>
    <definedName name="acdb" localSheetId="7" hidden="1">#REF!</definedName>
    <definedName name="acdb" localSheetId="23" hidden="1">#REF!</definedName>
    <definedName name="acdb" hidden="1">#REF!</definedName>
    <definedName name="ACDER" localSheetId="12">#REF!</definedName>
    <definedName name="ACDER" localSheetId="30">#REF!</definedName>
    <definedName name="ACDER" localSheetId="28">#REF!</definedName>
    <definedName name="ACDER" localSheetId="27">#REF!</definedName>
    <definedName name="ACDER" localSheetId="18">#REF!</definedName>
    <definedName name="ACDER" localSheetId="7">#REF!</definedName>
    <definedName name="ACDER" localSheetId="23">#REF!</definedName>
    <definedName name="ACDER">#REF!</definedName>
    <definedName name="ACDIV" localSheetId="12">#REF!</definedName>
    <definedName name="ACDIV" localSheetId="30">#REF!</definedName>
    <definedName name="ACDIV" localSheetId="28">#REF!</definedName>
    <definedName name="ACDIV" localSheetId="27">#REF!</definedName>
    <definedName name="ACDIV" localSheetId="18">#REF!</definedName>
    <definedName name="ACDIV" localSheetId="7">#REF!</definedName>
    <definedName name="ACDIV" localSheetId="23">#REF!</definedName>
    <definedName name="ACDIV">#REF!</definedName>
    <definedName name="ACDS" localSheetId="12" hidden="1">#REF!</definedName>
    <definedName name="ACDS" localSheetId="30" hidden="1">#REF!</definedName>
    <definedName name="ACDS" localSheetId="28" hidden="1">#REF!</definedName>
    <definedName name="ACDS" localSheetId="27" hidden="1">#REF!</definedName>
    <definedName name="ACDS" localSheetId="18" hidden="1">#REF!</definedName>
    <definedName name="ACDS" localSheetId="7" hidden="1">#REF!</definedName>
    <definedName name="ACDS" localSheetId="23" hidden="1">#REF!</definedName>
    <definedName name="ACDS" hidden="1">#REF!</definedName>
    <definedName name="ACEQP" localSheetId="12">#REF!</definedName>
    <definedName name="ACEQP" localSheetId="30">#REF!</definedName>
    <definedName name="ACEQP" localSheetId="28">#REF!</definedName>
    <definedName name="ACEQP" localSheetId="27">#REF!</definedName>
    <definedName name="ACEQP" localSheetId="18">#REF!</definedName>
    <definedName name="ACEQP" localSheetId="7">#REF!</definedName>
    <definedName name="ACEQP" localSheetId="23">#REF!</definedName>
    <definedName name="ACEQP">#REF!</definedName>
    <definedName name="ACHAFQT" localSheetId="12">#REF!</definedName>
    <definedName name="ACHAFQT" localSheetId="30">#REF!</definedName>
    <definedName name="ACHAFQT" localSheetId="28">#REF!</definedName>
    <definedName name="ACHAFQT" localSheetId="27">#REF!</definedName>
    <definedName name="ACHAFQT" localSheetId="18">#REF!</definedName>
    <definedName name="ACHAFQT" localSheetId="7">#REF!</definedName>
    <definedName name="ACHAFQT" localSheetId="23">#REF!</definedName>
    <definedName name="ACHAFQT">#REF!</definedName>
    <definedName name="achar18" localSheetId="12" hidden="1">#REF!</definedName>
    <definedName name="achar18" localSheetId="30" hidden="1">#REF!</definedName>
    <definedName name="achar18" localSheetId="28" hidden="1">#REF!</definedName>
    <definedName name="achar18" localSheetId="27" hidden="1">#REF!</definedName>
    <definedName name="achar18" localSheetId="18" hidden="1">#REF!</definedName>
    <definedName name="achar18" localSheetId="7" hidden="1">#REF!</definedName>
    <definedName name="achar18" localSheetId="23" hidden="1">#REF!</definedName>
    <definedName name="achar18" hidden="1">#REF!</definedName>
    <definedName name="achar19" localSheetId="12" hidden="1">#REF!</definedName>
    <definedName name="achar19" localSheetId="30" hidden="1">#REF!</definedName>
    <definedName name="achar19" localSheetId="28" hidden="1">#REF!</definedName>
    <definedName name="achar19" localSheetId="27" hidden="1">#REF!</definedName>
    <definedName name="achar19" localSheetId="18" hidden="1">#REF!</definedName>
    <definedName name="achar19" localSheetId="7" hidden="1">#REF!</definedName>
    <definedName name="achar19" localSheetId="23" hidden="1">#REF!</definedName>
    <definedName name="achar19" hidden="1">#REF!</definedName>
    <definedName name="achart1" localSheetId="12" hidden="1">#REF!</definedName>
    <definedName name="achart1" localSheetId="30" hidden="1">#REF!</definedName>
    <definedName name="achart1" localSheetId="28" hidden="1">#REF!</definedName>
    <definedName name="achart1" localSheetId="27" hidden="1">#REF!</definedName>
    <definedName name="achart1" localSheetId="18" hidden="1">#REF!</definedName>
    <definedName name="achart1" localSheetId="7" hidden="1">#REF!</definedName>
    <definedName name="achart1" localSheetId="23" hidden="1">#REF!</definedName>
    <definedName name="achart1" hidden="1">#REF!</definedName>
    <definedName name="achart10" localSheetId="12" hidden="1">#REF!</definedName>
    <definedName name="achart10" localSheetId="30" hidden="1">#REF!</definedName>
    <definedName name="achart10" localSheetId="28" hidden="1">#REF!</definedName>
    <definedName name="achart10" localSheetId="27" hidden="1">#REF!</definedName>
    <definedName name="achart10" localSheetId="18" hidden="1">#REF!</definedName>
    <definedName name="achart10" localSheetId="7" hidden="1">#REF!</definedName>
    <definedName name="achart10" localSheetId="23" hidden="1">#REF!</definedName>
    <definedName name="achart10" hidden="1">#REF!</definedName>
    <definedName name="achart11" localSheetId="12" hidden="1">#REF!</definedName>
    <definedName name="achart11" localSheetId="30" hidden="1">#REF!</definedName>
    <definedName name="achart11" localSheetId="28" hidden="1">#REF!</definedName>
    <definedName name="achart11" localSheetId="27" hidden="1">#REF!</definedName>
    <definedName name="achart11" localSheetId="18" hidden="1">#REF!</definedName>
    <definedName name="achart11" localSheetId="7" hidden="1">#REF!</definedName>
    <definedName name="achart11" localSheetId="23" hidden="1">#REF!</definedName>
    <definedName name="achart11" hidden="1">#REF!</definedName>
    <definedName name="achart12" localSheetId="12" hidden="1">#REF!</definedName>
    <definedName name="achart12" localSheetId="30" hidden="1">#REF!</definedName>
    <definedName name="achart12" localSheetId="28" hidden="1">#REF!</definedName>
    <definedName name="achart12" localSheetId="27" hidden="1">#REF!</definedName>
    <definedName name="achart12" localSheetId="18" hidden="1">#REF!</definedName>
    <definedName name="achart12" localSheetId="7" hidden="1">#REF!</definedName>
    <definedName name="achart12" localSheetId="23" hidden="1">#REF!</definedName>
    <definedName name="achart12" hidden="1">#REF!</definedName>
    <definedName name="achart13" localSheetId="12" hidden="1">#REF!</definedName>
    <definedName name="achart13" localSheetId="30" hidden="1">#REF!</definedName>
    <definedName name="achart13" localSheetId="28" hidden="1">#REF!</definedName>
    <definedName name="achart13" localSheetId="27" hidden="1">#REF!</definedName>
    <definedName name="achart13" localSheetId="18" hidden="1">#REF!</definedName>
    <definedName name="achart13" localSheetId="7" hidden="1">#REF!</definedName>
    <definedName name="achart13" localSheetId="23" hidden="1">#REF!</definedName>
    <definedName name="achart13" hidden="1">#REF!</definedName>
    <definedName name="achart14" localSheetId="12" hidden="1">#REF!</definedName>
    <definedName name="achart14" localSheetId="30" hidden="1">#REF!</definedName>
    <definedName name="achart14" localSheetId="28" hidden="1">#REF!</definedName>
    <definedName name="achart14" localSheetId="27" hidden="1">#REF!</definedName>
    <definedName name="achart14" localSheetId="18" hidden="1">#REF!</definedName>
    <definedName name="achart14" localSheetId="7" hidden="1">#REF!</definedName>
    <definedName name="achart14" localSheetId="23" hidden="1">#REF!</definedName>
    <definedName name="achart14" hidden="1">#REF!</definedName>
    <definedName name="achart15" localSheetId="12" hidden="1">#REF!</definedName>
    <definedName name="achart15" localSheetId="30" hidden="1">#REF!</definedName>
    <definedName name="achart15" localSheetId="28" hidden="1">#REF!</definedName>
    <definedName name="achart15" localSheetId="27" hidden="1">#REF!</definedName>
    <definedName name="achart15" localSheetId="18" hidden="1">#REF!</definedName>
    <definedName name="achart15" localSheetId="7" hidden="1">#REF!</definedName>
    <definedName name="achart15" localSheetId="23" hidden="1">#REF!</definedName>
    <definedName name="achart15" hidden="1">#REF!</definedName>
    <definedName name="achart16" localSheetId="12" hidden="1">#REF!</definedName>
    <definedName name="achart16" localSheetId="30" hidden="1">#REF!</definedName>
    <definedName name="achart16" localSheetId="28" hidden="1">#REF!</definedName>
    <definedName name="achart16" localSheetId="27" hidden="1">#REF!</definedName>
    <definedName name="achart16" localSheetId="18" hidden="1">#REF!</definedName>
    <definedName name="achart16" localSheetId="7" hidden="1">#REF!</definedName>
    <definedName name="achart16" localSheetId="23" hidden="1">#REF!</definedName>
    <definedName name="achart16" hidden="1">#REF!</definedName>
    <definedName name="achart17" localSheetId="12" hidden="1">#REF!</definedName>
    <definedName name="achart17" localSheetId="30" hidden="1">#REF!</definedName>
    <definedName name="achart17" localSheetId="28" hidden="1">#REF!</definedName>
    <definedName name="achart17" localSheetId="27" hidden="1">#REF!</definedName>
    <definedName name="achart17" localSheetId="18" hidden="1">#REF!</definedName>
    <definedName name="achart17" localSheetId="7" hidden="1">#REF!</definedName>
    <definedName name="achart17" localSheetId="23" hidden="1">#REF!</definedName>
    <definedName name="achart17" hidden="1">#REF!</definedName>
    <definedName name="achart2" localSheetId="12" hidden="1">#REF!</definedName>
    <definedName name="achart2" localSheetId="30" hidden="1">#REF!</definedName>
    <definedName name="achart2" localSheetId="28" hidden="1">#REF!</definedName>
    <definedName name="achart2" localSheetId="27" hidden="1">#REF!</definedName>
    <definedName name="achart2" localSheetId="18" hidden="1">#REF!</definedName>
    <definedName name="achart2" localSheetId="7" hidden="1">#REF!</definedName>
    <definedName name="achart2" localSheetId="23" hidden="1">#REF!</definedName>
    <definedName name="achart2" hidden="1">#REF!</definedName>
    <definedName name="achart20" localSheetId="12" hidden="1">#REF!</definedName>
    <definedName name="achart20" localSheetId="30" hidden="1">#REF!</definedName>
    <definedName name="achart20" localSheetId="28" hidden="1">#REF!</definedName>
    <definedName name="achart20" localSheetId="27" hidden="1">#REF!</definedName>
    <definedName name="achart20" localSheetId="18" hidden="1">#REF!</definedName>
    <definedName name="achart20" localSheetId="7" hidden="1">#REF!</definedName>
    <definedName name="achart20" localSheetId="23" hidden="1">#REF!</definedName>
    <definedName name="achart20" hidden="1">#REF!</definedName>
    <definedName name="achart21" localSheetId="12" hidden="1">#REF!</definedName>
    <definedName name="achart21" localSheetId="30" hidden="1">#REF!</definedName>
    <definedName name="achart21" localSheetId="28" hidden="1">#REF!</definedName>
    <definedName name="achart21" localSheetId="27" hidden="1">#REF!</definedName>
    <definedName name="achart21" localSheetId="18" hidden="1">#REF!</definedName>
    <definedName name="achart21" localSheetId="7" hidden="1">#REF!</definedName>
    <definedName name="achart21" localSheetId="23" hidden="1">#REF!</definedName>
    <definedName name="achart21" hidden="1">#REF!</definedName>
    <definedName name="achart22" localSheetId="12" hidden="1">#REF!</definedName>
    <definedName name="achart22" localSheetId="30" hidden="1">#REF!</definedName>
    <definedName name="achart22" localSheetId="28" hidden="1">#REF!</definedName>
    <definedName name="achart22" localSheetId="27" hidden="1">#REF!</definedName>
    <definedName name="achart22" localSheetId="18" hidden="1">#REF!</definedName>
    <definedName name="achart22" localSheetId="7" hidden="1">#REF!</definedName>
    <definedName name="achart22" localSheetId="23" hidden="1">#REF!</definedName>
    <definedName name="achart22" hidden="1">#REF!</definedName>
    <definedName name="achart23" localSheetId="12" hidden="1">#REF!</definedName>
    <definedName name="achart23" localSheetId="30" hidden="1">#REF!</definedName>
    <definedName name="achart23" localSheetId="28" hidden="1">#REF!</definedName>
    <definedName name="achart23" localSheetId="27" hidden="1">#REF!</definedName>
    <definedName name="achart23" localSheetId="18" hidden="1">#REF!</definedName>
    <definedName name="achart23" localSheetId="7" hidden="1">#REF!</definedName>
    <definedName name="achart23" localSheetId="23" hidden="1">#REF!</definedName>
    <definedName name="achart23" hidden="1">#REF!</definedName>
    <definedName name="achart24" localSheetId="12" hidden="1">#REF!</definedName>
    <definedName name="achart24" localSheetId="30" hidden="1">#REF!</definedName>
    <definedName name="achart24" localSheetId="28" hidden="1">#REF!</definedName>
    <definedName name="achart24" localSheetId="27" hidden="1">#REF!</definedName>
    <definedName name="achart24" localSheetId="18" hidden="1">#REF!</definedName>
    <definedName name="achart24" localSheetId="7" hidden="1">#REF!</definedName>
    <definedName name="achart24" localSheetId="23" hidden="1">#REF!</definedName>
    <definedName name="achart24" hidden="1">#REF!</definedName>
    <definedName name="achart25" localSheetId="12" hidden="1">#REF!</definedName>
    <definedName name="achart25" localSheetId="30" hidden="1">#REF!</definedName>
    <definedName name="achart25" localSheetId="28" hidden="1">#REF!</definedName>
    <definedName name="achart25" localSheetId="27" hidden="1">#REF!</definedName>
    <definedName name="achart25" localSheetId="18" hidden="1">#REF!</definedName>
    <definedName name="achart25" localSheetId="7" hidden="1">#REF!</definedName>
    <definedName name="achart25" localSheetId="23" hidden="1">#REF!</definedName>
    <definedName name="achart25" hidden="1">#REF!</definedName>
    <definedName name="achart26" localSheetId="12" hidden="1">#REF!</definedName>
    <definedName name="achart26" localSheetId="30" hidden="1">#REF!</definedName>
    <definedName name="achart26" localSheetId="28" hidden="1">#REF!</definedName>
    <definedName name="achart26" localSheetId="27" hidden="1">#REF!</definedName>
    <definedName name="achart26" localSheetId="18" hidden="1">#REF!</definedName>
    <definedName name="achart26" localSheetId="7" hidden="1">#REF!</definedName>
    <definedName name="achart26" localSheetId="23" hidden="1">#REF!</definedName>
    <definedName name="achart26" hidden="1">#REF!</definedName>
    <definedName name="achart27" localSheetId="12" hidden="1">#REF!</definedName>
    <definedName name="achart27" localSheetId="30" hidden="1">#REF!</definedName>
    <definedName name="achart27" localSheetId="28" hidden="1">#REF!</definedName>
    <definedName name="achart27" localSheetId="27" hidden="1">#REF!</definedName>
    <definedName name="achart27" localSheetId="18" hidden="1">#REF!</definedName>
    <definedName name="achart27" localSheetId="7" hidden="1">#REF!</definedName>
    <definedName name="achart27" localSheetId="23" hidden="1">#REF!</definedName>
    <definedName name="achart27" hidden="1">#REF!</definedName>
    <definedName name="achart28" localSheetId="12" hidden="1">#REF!</definedName>
    <definedName name="achart28" localSheetId="30" hidden="1">#REF!</definedName>
    <definedName name="achart28" localSheetId="28" hidden="1">#REF!</definedName>
    <definedName name="achart28" localSheetId="27" hidden="1">#REF!</definedName>
    <definedName name="achart28" localSheetId="18" hidden="1">#REF!</definedName>
    <definedName name="achart28" localSheetId="7" hidden="1">#REF!</definedName>
    <definedName name="achart28" localSheetId="23" hidden="1">#REF!</definedName>
    <definedName name="achart28" hidden="1">#REF!</definedName>
    <definedName name="achart29" localSheetId="12" hidden="1">#REF!</definedName>
    <definedName name="achart29" localSheetId="30" hidden="1">#REF!</definedName>
    <definedName name="achart29" localSheetId="28" hidden="1">#REF!</definedName>
    <definedName name="achart29" localSheetId="27" hidden="1">#REF!</definedName>
    <definedName name="achart29" localSheetId="18" hidden="1">#REF!</definedName>
    <definedName name="achart29" localSheetId="7" hidden="1">#REF!</definedName>
    <definedName name="achart29" localSheetId="23" hidden="1">#REF!</definedName>
    <definedName name="achart29" hidden="1">#REF!</definedName>
    <definedName name="achart3" localSheetId="12" hidden="1">#REF!</definedName>
    <definedName name="achart3" localSheetId="30" hidden="1">#REF!</definedName>
    <definedName name="achart3" localSheetId="28" hidden="1">#REF!</definedName>
    <definedName name="achart3" localSheetId="27" hidden="1">#REF!</definedName>
    <definedName name="achart3" localSheetId="18" hidden="1">#REF!</definedName>
    <definedName name="achart3" localSheetId="7" hidden="1">#REF!</definedName>
    <definedName name="achart3" localSheetId="23" hidden="1">#REF!</definedName>
    <definedName name="achart3" hidden="1">#REF!</definedName>
    <definedName name="achart30" localSheetId="12" hidden="1">#REF!</definedName>
    <definedName name="achart30" localSheetId="30" hidden="1">#REF!</definedName>
    <definedName name="achart30" localSheetId="28" hidden="1">#REF!</definedName>
    <definedName name="achart30" localSheetId="27" hidden="1">#REF!</definedName>
    <definedName name="achart30" localSheetId="18" hidden="1">#REF!</definedName>
    <definedName name="achart30" localSheetId="7" hidden="1">#REF!</definedName>
    <definedName name="achart30" localSheetId="23" hidden="1">#REF!</definedName>
    <definedName name="achart30" hidden="1">#REF!</definedName>
    <definedName name="achart31" localSheetId="12" hidden="1">#REF!</definedName>
    <definedName name="achart31" localSheetId="30" hidden="1">#REF!</definedName>
    <definedName name="achart31" localSheetId="28" hidden="1">#REF!</definedName>
    <definedName name="achart31" localSheetId="27" hidden="1">#REF!</definedName>
    <definedName name="achart31" localSheetId="18" hidden="1">#REF!</definedName>
    <definedName name="achart31" localSheetId="7" hidden="1">#REF!</definedName>
    <definedName name="achart31" localSheetId="23" hidden="1">#REF!</definedName>
    <definedName name="achart31" hidden="1">#REF!</definedName>
    <definedName name="achart32" localSheetId="12" hidden="1">#REF!</definedName>
    <definedName name="achart32" localSheetId="30" hidden="1">#REF!</definedName>
    <definedName name="achart32" localSheetId="28" hidden="1">#REF!</definedName>
    <definedName name="achart32" localSheetId="27" hidden="1">#REF!</definedName>
    <definedName name="achart32" localSheetId="18" hidden="1">#REF!</definedName>
    <definedName name="achart32" localSheetId="7" hidden="1">#REF!</definedName>
    <definedName name="achart32" localSheetId="23" hidden="1">#REF!</definedName>
    <definedName name="achart32" hidden="1">#REF!</definedName>
    <definedName name="achart4" localSheetId="12" hidden="1">#REF!</definedName>
    <definedName name="achart4" localSheetId="30" hidden="1">#REF!</definedName>
    <definedName name="achart4" localSheetId="28" hidden="1">#REF!</definedName>
    <definedName name="achart4" localSheetId="27" hidden="1">#REF!</definedName>
    <definedName name="achart4" localSheetId="18" hidden="1">#REF!</definedName>
    <definedName name="achart4" localSheetId="7" hidden="1">#REF!</definedName>
    <definedName name="achart4" localSheetId="23" hidden="1">#REF!</definedName>
    <definedName name="achart4" hidden="1">#REF!</definedName>
    <definedName name="achart5" localSheetId="12" hidden="1">#REF!</definedName>
    <definedName name="achart5" localSheetId="30" hidden="1">#REF!</definedName>
    <definedName name="achart5" localSheetId="28" hidden="1">#REF!</definedName>
    <definedName name="achart5" localSheetId="27" hidden="1">#REF!</definedName>
    <definedName name="achart5" localSheetId="18" hidden="1">#REF!</definedName>
    <definedName name="achart5" localSheetId="7" hidden="1">#REF!</definedName>
    <definedName name="achart5" localSheetId="23" hidden="1">#REF!</definedName>
    <definedName name="achart5" hidden="1">#REF!</definedName>
    <definedName name="achart6" localSheetId="12" hidden="1">#REF!</definedName>
    <definedName name="achart6" localSheetId="30" hidden="1">#REF!</definedName>
    <definedName name="achart6" localSheetId="28" hidden="1">#REF!</definedName>
    <definedName name="achart6" localSheetId="27" hidden="1">#REF!</definedName>
    <definedName name="achart6" localSheetId="18" hidden="1">#REF!</definedName>
    <definedName name="achart6" localSheetId="7" hidden="1">#REF!</definedName>
    <definedName name="achart6" localSheetId="23" hidden="1">#REF!</definedName>
    <definedName name="achart6" hidden="1">#REF!</definedName>
    <definedName name="achart7" localSheetId="12" hidden="1">#REF!</definedName>
    <definedName name="achart7" localSheetId="30" hidden="1">#REF!</definedName>
    <definedName name="achart7" localSheetId="28" hidden="1">#REF!</definedName>
    <definedName name="achart7" localSheetId="27" hidden="1">#REF!</definedName>
    <definedName name="achart7" localSheetId="18" hidden="1">#REF!</definedName>
    <definedName name="achart7" localSheetId="7" hidden="1">#REF!</definedName>
    <definedName name="achart7" localSheetId="23" hidden="1">#REF!</definedName>
    <definedName name="achart7" hidden="1">#REF!</definedName>
    <definedName name="achart8" localSheetId="12" hidden="1">#REF!</definedName>
    <definedName name="achart8" localSheetId="30" hidden="1">#REF!</definedName>
    <definedName name="achart8" localSheetId="28" hidden="1">#REF!</definedName>
    <definedName name="achart8" localSheetId="27" hidden="1">#REF!</definedName>
    <definedName name="achart8" localSheetId="18" hidden="1">#REF!</definedName>
    <definedName name="achart8" localSheetId="7" hidden="1">#REF!</definedName>
    <definedName name="achart8" localSheetId="23" hidden="1">#REF!</definedName>
    <definedName name="achart8" hidden="1">#REF!</definedName>
    <definedName name="achart9" localSheetId="12" hidden="1">#REF!</definedName>
    <definedName name="achart9" localSheetId="30" hidden="1">#REF!</definedName>
    <definedName name="achart9" localSheetId="28" hidden="1">#REF!</definedName>
    <definedName name="achart9" localSheetId="27" hidden="1">#REF!</definedName>
    <definedName name="achart9" localSheetId="18" hidden="1">#REF!</definedName>
    <definedName name="achart9" localSheetId="7" hidden="1">#REF!</definedName>
    <definedName name="achart9" localSheetId="23" hidden="1">#REF!</definedName>
    <definedName name="achart9" hidden="1">#REF!</definedName>
    <definedName name="ACMUR" localSheetId="12">#REF!</definedName>
    <definedName name="ACMUR" localSheetId="30">#REF!</definedName>
    <definedName name="ACMUR" localSheetId="28">#REF!</definedName>
    <definedName name="ACMUR" localSheetId="27">#REF!</definedName>
    <definedName name="ACMUR" localSheetId="18">#REF!</definedName>
    <definedName name="ACMUR" localSheetId="7">#REF!</definedName>
    <definedName name="ACMUR" localSheetId="23">#REF!</definedName>
    <definedName name="ACMUR">#REF!</definedName>
    <definedName name="açoeeer" localSheetId="3" hidden="1">{#N/A,#N/A,FALSE,"Plan1";#N/A,#N/A,FALSE,"Plan2"}</definedName>
    <definedName name="açoeeer" localSheetId="33" hidden="1">{#N/A,#N/A,FALSE,"Plan1";#N/A,#N/A,FALSE,"Plan2"}</definedName>
    <definedName name="açoeeer" localSheetId="35" hidden="1">{#N/A,#N/A,FALSE,"Plan1";#N/A,#N/A,FALSE,"Plan2"}</definedName>
    <definedName name="açoeeer" hidden="1">{#N/A,#N/A,FALSE,"Plan1";#N/A,#N/A,FALSE,"Plan2"}</definedName>
    <definedName name="ACOMP" localSheetId="12">#REF!</definedName>
    <definedName name="ACOMP" localSheetId="30">#REF!</definedName>
    <definedName name="ACOMP" localSheetId="28">#REF!</definedName>
    <definedName name="ACOMP" localSheetId="27">#REF!</definedName>
    <definedName name="ACOMP" localSheetId="18">#REF!</definedName>
    <definedName name="ACOMP" localSheetId="7">#REF!</definedName>
    <definedName name="ACOMP" localSheetId="23">#REF!</definedName>
    <definedName name="ACOMP">#REF!</definedName>
    <definedName name="ACONT2" localSheetId="12">#REF!</definedName>
    <definedName name="ACONT2" localSheetId="30">#REF!</definedName>
    <definedName name="ACONT2" localSheetId="28">#REF!</definedName>
    <definedName name="ACONT2" localSheetId="27">#REF!</definedName>
    <definedName name="ACONT2" localSheetId="18">#REF!</definedName>
    <definedName name="ACONT2" localSheetId="7">#REF!</definedName>
    <definedName name="ACONT2" localSheetId="23">#REF!</definedName>
    <definedName name="ACONT2">#REF!</definedName>
    <definedName name="ACPIPA" localSheetId="12">#REF!</definedName>
    <definedName name="ACPIPA" localSheetId="30">#REF!</definedName>
    <definedName name="ACPIPA" localSheetId="28">#REF!</definedName>
    <definedName name="ACPIPA" localSheetId="27">#REF!</definedName>
    <definedName name="ACPIPA" localSheetId="18">#REF!</definedName>
    <definedName name="ACPIPA" localSheetId="7">#REF!</definedName>
    <definedName name="ACPIPA" localSheetId="23">#REF!</definedName>
    <definedName name="ACPIPA">#REF!</definedName>
    <definedName name="ACTRANSP" localSheetId="12">#REF!</definedName>
    <definedName name="ACTRANSP" localSheetId="30">#REF!</definedName>
    <definedName name="ACTRANSP" localSheetId="28">#REF!</definedName>
    <definedName name="ACTRANSP" localSheetId="27">#REF!</definedName>
    <definedName name="ACTRANSP" localSheetId="18">#REF!</definedName>
    <definedName name="ACTRANSP" localSheetId="7">#REF!</definedName>
    <definedName name="ACTRANSP" localSheetId="23">#REF!</definedName>
    <definedName name="ACTRANSP">#REF!</definedName>
    <definedName name="ACwvu.Características." localSheetId="12" hidden="1">#REF!</definedName>
    <definedName name="ACwvu.Características." localSheetId="30" hidden="1">#REF!</definedName>
    <definedName name="ACwvu.Características." localSheetId="28" hidden="1">#REF!</definedName>
    <definedName name="ACwvu.Características." localSheetId="27" hidden="1">#REF!</definedName>
    <definedName name="ACwvu.Características." localSheetId="18" hidden="1">#REF!</definedName>
    <definedName name="ACwvu.Características." localSheetId="7" hidden="1">#REF!</definedName>
    <definedName name="ACwvu.Características." localSheetId="23" hidden="1">#REF!</definedName>
    <definedName name="ACwvu.Características." hidden="1">#REF!</definedName>
    <definedName name="ACwvu.Ciclos." localSheetId="12" hidden="1">#REF!</definedName>
    <definedName name="ACwvu.Ciclos." localSheetId="30" hidden="1">#REF!</definedName>
    <definedName name="ACwvu.Ciclos." localSheetId="28" hidden="1">#REF!</definedName>
    <definedName name="ACwvu.Ciclos." localSheetId="27" hidden="1">#REF!</definedName>
    <definedName name="ACwvu.Ciclos." localSheetId="18" hidden="1">#REF!</definedName>
    <definedName name="ACwvu.Ciclos." localSheetId="7" hidden="1">#REF!</definedName>
    <definedName name="ACwvu.Ciclos." localSheetId="23" hidden="1">#REF!</definedName>
    <definedName name="ACwvu.Ciclos." hidden="1">#REF!</definedName>
    <definedName name="ACwvu.Custos." localSheetId="12" hidden="1">#REF!</definedName>
    <definedName name="ACwvu.Custos." localSheetId="30" hidden="1">#REF!</definedName>
    <definedName name="ACwvu.Custos." localSheetId="28" hidden="1">#REF!</definedName>
    <definedName name="ACwvu.Custos." localSheetId="27" hidden="1">#REF!</definedName>
    <definedName name="ACwvu.Custos." localSheetId="18" hidden="1">#REF!</definedName>
    <definedName name="ACwvu.Custos." localSheetId="7" hidden="1">#REF!</definedName>
    <definedName name="ACwvu.Custos." localSheetId="23" hidden="1">#REF!</definedName>
    <definedName name="ACwvu.Custos." hidden="1">#REF!</definedName>
    <definedName name="ACwvu.PLANILHA2." localSheetId="12" hidden="1">#REF!</definedName>
    <definedName name="ACwvu.PLANILHA2." localSheetId="30" hidden="1">#REF!</definedName>
    <definedName name="ACwvu.PLANILHA2." localSheetId="28" hidden="1">#REF!</definedName>
    <definedName name="ACwvu.PLANILHA2." localSheetId="27" hidden="1">#REF!</definedName>
    <definedName name="ACwvu.PLANILHA2." localSheetId="18" hidden="1">#REF!</definedName>
    <definedName name="ACwvu.PLANILHA2." localSheetId="7" hidden="1">#REF!</definedName>
    <definedName name="ACwvu.PLANILHA2." localSheetId="23" hidden="1">#REF!</definedName>
    <definedName name="ACwvu.PLANILHA2." hidden="1">#REF!</definedName>
    <definedName name="ACwvu.Recursos." localSheetId="12" hidden="1">#REF!</definedName>
    <definedName name="ACwvu.Recursos." localSheetId="30" hidden="1">#REF!</definedName>
    <definedName name="ACwvu.Recursos." localSheetId="28" hidden="1">#REF!</definedName>
    <definedName name="ACwvu.Recursos." localSheetId="27" hidden="1">#REF!</definedName>
    <definedName name="ACwvu.Recursos." localSheetId="18" hidden="1">#REF!</definedName>
    <definedName name="ACwvu.Recursos." localSheetId="7" hidden="1">#REF!</definedName>
    <definedName name="ACwvu.Recursos." localSheetId="23" hidden="1">#REF!</definedName>
    <definedName name="ACwvu.Recursos." hidden="1">#REF!</definedName>
    <definedName name="ad" localSheetId="3" hidden="1">{#N/A,#N/A,FALSE,"Plan1";#N/A,#N/A,FALSE,"Plan2"}</definedName>
    <definedName name="ad" localSheetId="33" hidden="1">{#N/A,#N/A,FALSE,"Plan1";#N/A,#N/A,FALSE,"Plan2"}</definedName>
    <definedName name="ad" localSheetId="35" hidden="1">{#N/A,#N/A,FALSE,"Plan1";#N/A,#N/A,FALSE,"Plan2"}</definedName>
    <definedName name="ad" hidden="1">{#N/A,#N/A,FALSE,"Plan1";#N/A,#N/A,FALSE,"Plan2"}</definedName>
    <definedName name="adads" localSheetId="3" hidden="1">{#N/A,#N/A,FALSE,"Plan1";#N/A,#N/A,FALSE,"Plan2"}</definedName>
    <definedName name="adads" localSheetId="33" hidden="1">{#N/A,#N/A,FALSE,"Plan1";#N/A,#N/A,FALSE,"Plan2"}</definedName>
    <definedName name="adads" localSheetId="35" hidden="1">{#N/A,#N/A,FALSE,"Plan1";#N/A,#N/A,FALSE,"Plan2"}</definedName>
    <definedName name="adads" hidden="1">{#N/A,#N/A,FALSE,"Plan1";#N/A,#N/A,FALSE,"Plan2"}</definedName>
    <definedName name="adads2" localSheetId="3" hidden="1">{#N/A,#N/A,FALSE,"Plan1";#N/A,#N/A,FALSE,"Plan2"}</definedName>
    <definedName name="adads2" localSheetId="33" hidden="1">{#N/A,#N/A,FALSE,"Plan1";#N/A,#N/A,FALSE,"Plan2"}</definedName>
    <definedName name="adads2" localSheetId="35" hidden="1">{#N/A,#N/A,FALSE,"Plan1";#N/A,#N/A,FALSE,"Plan2"}</definedName>
    <definedName name="adads2" hidden="1">{#N/A,#N/A,FALSE,"Plan1";#N/A,#N/A,FALSE,"Plan2"}</definedName>
    <definedName name="adced" localSheetId="3" hidden="1">{#N/A,#N/A,FALSE,"Plan1";#N/A,#N/A,FALSE,"Plan2"}</definedName>
    <definedName name="adced" localSheetId="33" hidden="1">{#N/A,#N/A,FALSE,"Plan1";#N/A,#N/A,FALSE,"Plan2"}</definedName>
    <definedName name="adced" localSheetId="35" hidden="1">{#N/A,#N/A,FALSE,"Plan1";#N/A,#N/A,FALSE,"Plan2"}</definedName>
    <definedName name="adced" hidden="1">{#N/A,#N/A,FALSE,"Plan1";#N/A,#N/A,FALSE,"Plan2"}</definedName>
    <definedName name="adced2" localSheetId="3" hidden="1">{#N/A,#N/A,FALSE,"Plan1";#N/A,#N/A,FALSE,"Plan2"}</definedName>
    <definedName name="adced2" localSheetId="33" hidden="1">{#N/A,#N/A,FALSE,"Plan1";#N/A,#N/A,FALSE,"Plan2"}</definedName>
    <definedName name="adced2" localSheetId="35" hidden="1">{#N/A,#N/A,FALSE,"Plan1";#N/A,#N/A,FALSE,"Plan2"}</definedName>
    <definedName name="adced2" hidden="1">{#N/A,#N/A,FALSE,"Plan1";#N/A,#N/A,FALSE,"Plan2"}</definedName>
    <definedName name="ader" localSheetId="3" hidden="1">{#N/A,#N/A,FALSE,"Plan1";#N/A,#N/A,FALSE,"Plan2"}</definedName>
    <definedName name="ader" localSheetId="33" hidden="1">{#N/A,#N/A,FALSE,"Plan1";#N/A,#N/A,FALSE,"Plan2"}</definedName>
    <definedName name="ader" localSheetId="35" hidden="1">{#N/A,#N/A,FALSE,"Plan1";#N/A,#N/A,FALSE,"Plan2"}</definedName>
    <definedName name="ader" hidden="1">{#N/A,#N/A,FALSE,"Plan1";#N/A,#N/A,FALSE,"Plan2"}</definedName>
    <definedName name="ader2" localSheetId="3" hidden="1">{#N/A,#N/A,FALSE,"Plan1";#N/A,#N/A,FALSE,"Plan2"}</definedName>
    <definedName name="ader2" localSheetId="33" hidden="1">{#N/A,#N/A,FALSE,"Plan1";#N/A,#N/A,FALSE,"Plan2"}</definedName>
    <definedName name="ader2" localSheetId="35" hidden="1">{#N/A,#N/A,FALSE,"Plan1";#N/A,#N/A,FALSE,"Plan2"}</definedName>
    <definedName name="ader2" hidden="1">{#N/A,#N/A,FALSE,"Plan1";#N/A,#N/A,FALSE,"Plan2"}</definedName>
    <definedName name="adesr" localSheetId="3" hidden="1">{#N/A,#N/A,FALSE,"Plan1";#N/A,#N/A,FALSE,"Plan2"}</definedName>
    <definedName name="adesr" localSheetId="33" hidden="1">{#N/A,#N/A,FALSE,"Plan1";#N/A,#N/A,FALSE,"Plan2"}</definedName>
    <definedName name="adesr" localSheetId="35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localSheetId="3" hidden="1">{#N/A,#N/A,FALSE,"Plan1";#N/A,#N/A,FALSE,"Plan2"}</definedName>
    <definedName name="adewr" localSheetId="33" hidden="1">{#N/A,#N/A,FALSE,"Plan1";#N/A,#N/A,FALSE,"Plan2"}</definedName>
    <definedName name="adewr" localSheetId="35" hidden="1">{#N/A,#N/A,FALSE,"Plan1";#N/A,#N/A,FALSE,"Plan2"}</definedName>
    <definedName name="adewr" hidden="1">{#N/A,#N/A,FALSE,"Plan1";#N/A,#N/A,FALSE,"Plan2"}</definedName>
    <definedName name="adf" localSheetId="3" hidden="1">{#N/A,#N/A,FALSE,"Plan1";#N/A,#N/A,FALSE,"Plan2"}</definedName>
    <definedName name="adf" localSheetId="33" hidden="1">{#N/A,#N/A,FALSE,"Plan1";#N/A,#N/A,FALSE,"Plan2"}</definedName>
    <definedName name="adf" localSheetId="35" hidden="1">{#N/A,#N/A,FALSE,"Plan1";#N/A,#N/A,FALSE,"Plan2"}</definedName>
    <definedName name="adf" hidden="1">{#N/A,#N/A,FALSE,"Plan1";#N/A,#N/A,FALSE,"Plan2"}</definedName>
    <definedName name="ADITIVO_BRUTO" localSheetId="12">#REF!</definedName>
    <definedName name="ADITIVO_BRUTO" localSheetId="30">#REF!</definedName>
    <definedName name="ADITIVO_BRUTO" localSheetId="28">#REF!</definedName>
    <definedName name="ADITIVO_BRUTO" localSheetId="27">#REF!</definedName>
    <definedName name="ADITIVO_BRUTO" localSheetId="18">#REF!</definedName>
    <definedName name="ADITIVO_BRUTO" localSheetId="7">#REF!</definedName>
    <definedName name="ADITIVO_BRUTO" localSheetId="23">#REF!</definedName>
    <definedName name="ADITIVO_BRUTO">#REF!</definedName>
    <definedName name="ADITIVO_LIQUIDO" localSheetId="12">#REF!</definedName>
    <definedName name="ADITIVO_LIQUIDO" localSheetId="30">#REF!</definedName>
    <definedName name="ADITIVO_LIQUIDO" localSheetId="28">#REF!</definedName>
    <definedName name="ADITIVO_LIQUIDO" localSheetId="27">#REF!</definedName>
    <definedName name="ADITIVO_LIQUIDO" localSheetId="18">#REF!</definedName>
    <definedName name="ADITIVO_LIQUIDO" localSheetId="7">#REF!</definedName>
    <definedName name="ADITIVO_LIQUIDO" localSheetId="23">#REF!</definedName>
    <definedName name="ADITIVO_LIQUIDO">#REF!</definedName>
    <definedName name="ADM.EXTERNA" localSheetId="12">#REF!</definedName>
    <definedName name="ADM.EXTERNA" localSheetId="30">#REF!</definedName>
    <definedName name="ADM.EXTERNA" localSheetId="28">#REF!</definedName>
    <definedName name="ADM.EXTERNA" localSheetId="27">#REF!</definedName>
    <definedName name="ADM.EXTERNA" localSheetId="18">#REF!</definedName>
    <definedName name="ADM.EXTERNA" localSheetId="7">#REF!</definedName>
    <definedName name="ADM.EXTERNA" localSheetId="23">#REF!</definedName>
    <definedName name="ADM.EXTERNA">#REF!</definedName>
    <definedName name="adsfr" localSheetId="3" hidden="1">{#N/A,#N/A,FALSE,"Plan1";#N/A,#N/A,FALSE,"Plan2"}</definedName>
    <definedName name="adsfr" localSheetId="33" hidden="1">{#N/A,#N/A,FALSE,"Plan1";#N/A,#N/A,FALSE,"Plan2"}</definedName>
    <definedName name="adsfr" localSheetId="35" hidden="1">{#N/A,#N/A,FALSE,"Plan1";#N/A,#N/A,FALSE,"Plan2"}</definedName>
    <definedName name="adsfr" hidden="1">{#N/A,#N/A,FALSE,"Plan1";#N/A,#N/A,FALSE,"Plan2"}</definedName>
    <definedName name="adssrgtg" localSheetId="3" hidden="1">{#N/A,#N/A,FALSE,"Plan1";#N/A,#N/A,FALSE,"Plan2"}</definedName>
    <definedName name="adssrgtg" localSheetId="33" hidden="1">{#N/A,#N/A,FALSE,"Plan1";#N/A,#N/A,FALSE,"Plan2"}</definedName>
    <definedName name="adssrgtg" localSheetId="35" hidden="1">{#N/A,#N/A,FALSE,"Plan1";#N/A,#N/A,FALSE,"Plan2"}</definedName>
    <definedName name="adssrgtg" hidden="1">{#N/A,#N/A,FALSE,"Plan1";#N/A,#N/A,FALSE,"Plan2"}</definedName>
    <definedName name="adtsetrr6t" localSheetId="3" hidden="1">{#N/A,#N/A,FALSE,"Plan1";#N/A,#N/A,FALSE,"Plan2"}</definedName>
    <definedName name="adtsetrr6t" localSheetId="33" hidden="1">{#N/A,#N/A,FALSE,"Plan1";#N/A,#N/A,FALSE,"Plan2"}</definedName>
    <definedName name="adtsetrr6t" localSheetId="35" hidden="1">{#N/A,#N/A,FALSE,"Plan1";#N/A,#N/A,FALSE,"Plan2"}</definedName>
    <definedName name="adtsetrr6t" hidden="1">{#N/A,#N/A,FALSE,"Plan1";#N/A,#N/A,FALSE,"Plan2"}</definedName>
    <definedName name="ADUCQT" localSheetId="12">#REF!</definedName>
    <definedName name="ADUCQT" localSheetId="30">#REF!</definedName>
    <definedName name="ADUCQT" localSheetId="28">#REF!</definedName>
    <definedName name="ADUCQT" localSheetId="27">#REF!</definedName>
    <definedName name="ADUCQT" localSheetId="18">#REF!</definedName>
    <definedName name="ADUCQT" localSheetId="7">#REF!</definedName>
    <definedName name="ADUCQT" localSheetId="23">#REF!</definedName>
    <definedName name="ADUCQT">#REF!</definedName>
    <definedName name="adwr" localSheetId="3" hidden="1">{#N/A,#N/A,FALSE,"Plan1";#N/A,#N/A,FALSE,"Plan2"}</definedName>
    <definedName name="adwr" localSheetId="33" hidden="1">{#N/A,#N/A,FALSE,"Plan1";#N/A,#N/A,FALSE,"Plan2"}</definedName>
    <definedName name="adwr" localSheetId="35" hidden="1">{#N/A,#N/A,FALSE,"Plan1";#N/A,#N/A,FALSE,"Plan2"}</definedName>
    <definedName name="adwr" hidden="1">{#N/A,#N/A,FALSE,"Plan1";#N/A,#N/A,FALSE,"Plan2"}</definedName>
    <definedName name="aeiresft" localSheetId="3" hidden="1">{#N/A,#N/A,FALSE,"Plan1";#N/A,#N/A,FALSE,"Plan2"}</definedName>
    <definedName name="aeiresft" localSheetId="33" hidden="1">{#N/A,#N/A,FALSE,"Plan1";#N/A,#N/A,FALSE,"Plan2"}</definedName>
    <definedName name="aeiresft" localSheetId="35" hidden="1">{#N/A,#N/A,FALSE,"Plan1";#N/A,#N/A,FALSE,"Plan2"}</definedName>
    <definedName name="aeiresft" hidden="1">{#N/A,#N/A,FALSE,"Plan1";#N/A,#N/A,FALSE,"Plan2"}</definedName>
    <definedName name="aEL3QE" localSheetId="3" hidden="1">{#N/A,#N/A,FALSE,"Plan1";#N/A,#N/A,FALSE,"Plan2"}</definedName>
    <definedName name="aEL3QE" localSheetId="33" hidden="1">{#N/A,#N/A,FALSE,"Plan1";#N/A,#N/A,FALSE,"Plan2"}</definedName>
    <definedName name="aEL3QE" localSheetId="35" hidden="1">{#N/A,#N/A,FALSE,"Plan1";#N/A,#N/A,FALSE,"Plan2"}</definedName>
    <definedName name="aEL3QE" hidden="1">{#N/A,#N/A,FALSE,"Plan1";#N/A,#N/A,FALSE,"Plan2"}</definedName>
    <definedName name="afeasfre" localSheetId="3" hidden="1">{#N/A,#N/A,FALSE,"Plan1";#N/A,#N/A,FALSE,"Plan2"}</definedName>
    <definedName name="afeasfre" localSheetId="33" hidden="1">{#N/A,#N/A,FALSE,"Plan1";#N/A,#N/A,FALSE,"Plan2"}</definedName>
    <definedName name="afeasfre" localSheetId="35" hidden="1">{#N/A,#N/A,FALSE,"Plan1";#N/A,#N/A,FALSE,"Plan2"}</definedName>
    <definedName name="afeasfre" hidden="1">{#N/A,#N/A,FALSE,"Plan1";#N/A,#N/A,FALSE,"Plan2"}</definedName>
    <definedName name="agdsf" localSheetId="3" hidden="1">#REF!</definedName>
    <definedName name="agdsf" localSheetId="12" hidden="1">#REF!</definedName>
    <definedName name="agdsf" localSheetId="30" hidden="1">#REF!</definedName>
    <definedName name="agdsf" localSheetId="28" hidden="1">#REF!</definedName>
    <definedName name="agdsf" localSheetId="27" hidden="1">#REF!</definedName>
    <definedName name="agdsf" localSheetId="18" hidden="1">#REF!</definedName>
    <definedName name="agdsf" localSheetId="7" hidden="1">#REF!</definedName>
    <definedName name="agdsf" localSheetId="23" hidden="1">#REF!</definedName>
    <definedName name="agdsf" hidden="1">#REF!</definedName>
    <definedName name="ago17RJ" localSheetId="12">#REF!</definedName>
    <definedName name="ago17RJ" localSheetId="30">#REF!</definedName>
    <definedName name="ago17RJ" localSheetId="28">#REF!</definedName>
    <definedName name="ago17RJ" localSheetId="27">#REF!</definedName>
    <definedName name="ago17RJ" localSheetId="18">#REF!</definedName>
    <definedName name="ago17RJ" localSheetId="7">#REF!</definedName>
    <definedName name="ago17RJ" localSheetId="23">#REF!</definedName>
    <definedName name="ago17RJ">#REF!</definedName>
    <definedName name="AGOSTO" localSheetId="12">#REF!</definedName>
    <definedName name="AGOSTO" localSheetId="30">#REF!</definedName>
    <definedName name="AGOSTO" localSheetId="28">#REF!</definedName>
    <definedName name="AGOSTO" localSheetId="27">#REF!</definedName>
    <definedName name="AGOSTO" localSheetId="18">#REF!</definedName>
    <definedName name="AGOSTO" localSheetId="7">#REF!</definedName>
    <definedName name="AGOSTO" localSheetId="23">#REF!</definedName>
    <definedName name="AGOSTO">#REF!</definedName>
    <definedName name="agua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33" hidden="1">{#N/A,#N/A,FALSE,"CCTV"}</definedName>
    <definedName name="AH" localSheetId="35" hidden="1">{#N/A,#N/A,FALSE,"CCTV"}</definedName>
    <definedName name="AH" hidden="1">{#N/A,#N/A,FALSE,"CCTV"}</definedName>
    <definedName name="AITEM" localSheetId="12">#REF!</definedName>
    <definedName name="AITEM" localSheetId="30">#REF!</definedName>
    <definedName name="AITEM" localSheetId="28">#REF!</definedName>
    <definedName name="AITEM" localSheetId="27">#REF!</definedName>
    <definedName name="AITEM" localSheetId="18">#REF!</definedName>
    <definedName name="AITEM" localSheetId="7">#REF!</definedName>
    <definedName name="AITEM" localSheetId="23">#REF!</definedName>
    <definedName name="AITEM">#REF!</definedName>
    <definedName name="Ajudante_Geral" localSheetId="12">#REF!</definedName>
    <definedName name="Ajudante_Geral" localSheetId="30">#REF!</definedName>
    <definedName name="Ajudante_Geral" localSheetId="28">#REF!</definedName>
    <definedName name="Ajudante_Geral" localSheetId="27">#REF!</definedName>
    <definedName name="Ajudante_Geral" localSheetId="18">#REF!</definedName>
    <definedName name="Ajudante_Geral" localSheetId="7">#REF!</definedName>
    <definedName name="Ajudante_Geral" localSheetId="23">#REF!</definedName>
    <definedName name="Ajudante_Geral">#REF!</definedName>
    <definedName name="ajudante_mes" localSheetId="12">#REF!</definedName>
    <definedName name="ajudante_mes" localSheetId="30">#REF!</definedName>
    <definedName name="ajudante_mes" localSheetId="28">#REF!</definedName>
    <definedName name="ajudante_mes" localSheetId="27">#REF!</definedName>
    <definedName name="ajudante_mes" localSheetId="18">#REF!</definedName>
    <definedName name="ajudante_mes" localSheetId="7">#REF!</definedName>
    <definedName name="ajudante_mes" localSheetId="23">#REF!</definedName>
    <definedName name="ajudante_mes">#REF!</definedName>
    <definedName name="AL" localSheetId="12">#REF!</definedName>
    <definedName name="AL" localSheetId="30">#REF!</definedName>
    <definedName name="AL" localSheetId="28">#REF!</definedName>
    <definedName name="AL" localSheetId="27">#REF!</definedName>
    <definedName name="AL" localSheetId="18">#REF!</definedName>
    <definedName name="AL" localSheetId="7">#REF!</definedName>
    <definedName name="AL" localSheetId="23">#REF!</definedName>
    <definedName name="AL">#REF!</definedName>
    <definedName name="ALTADUC" localSheetId="12">#REF!</definedName>
    <definedName name="ALTADUC" localSheetId="30">#REF!</definedName>
    <definedName name="ALTADUC" localSheetId="28">#REF!</definedName>
    <definedName name="ALTADUC" localSheetId="27">#REF!</definedName>
    <definedName name="ALTADUC" localSheetId="18">#REF!</definedName>
    <definedName name="ALTADUC" localSheetId="7">#REF!</definedName>
    <definedName name="ALTADUC" localSheetId="23">#REF!</definedName>
    <definedName name="ALTADUC">#REF!</definedName>
    <definedName name="ALTBOMB" localSheetId="12">#REF!</definedName>
    <definedName name="ALTBOMB" localSheetId="30">#REF!</definedName>
    <definedName name="ALTBOMB" localSheetId="28">#REF!</definedName>
    <definedName name="ALTBOMB" localSheetId="27">#REF!</definedName>
    <definedName name="ALTBOMB" localSheetId="18">#REF!</definedName>
    <definedName name="ALTBOMB" localSheetId="7">#REF!</definedName>
    <definedName name="ALTBOMB" localSheetId="23">#REF!</definedName>
    <definedName name="ALTBOMB">#REF!</definedName>
    <definedName name="ALTCAP" localSheetId="12">#REF!</definedName>
    <definedName name="ALTCAP" localSheetId="30">#REF!</definedName>
    <definedName name="ALTCAP" localSheetId="28">#REF!</definedName>
    <definedName name="ALTCAP" localSheetId="27">#REF!</definedName>
    <definedName name="ALTCAP" localSheetId="18">#REF!</definedName>
    <definedName name="ALTCAP" localSheetId="7">#REF!</definedName>
    <definedName name="ALTCAP" localSheetId="23">#REF!</definedName>
    <definedName name="ALTCAP">#REF!</definedName>
    <definedName name="ALTDER" localSheetId="12">#REF!</definedName>
    <definedName name="ALTDER" localSheetId="30">#REF!</definedName>
    <definedName name="ALTDER" localSheetId="28">#REF!</definedName>
    <definedName name="ALTDER" localSheetId="27">#REF!</definedName>
    <definedName name="ALTDER" localSheetId="18">#REF!</definedName>
    <definedName name="ALTDER" localSheetId="7">#REF!</definedName>
    <definedName name="ALTDER" localSheetId="23">#REF!</definedName>
    <definedName name="ALTDER">#REF!</definedName>
    <definedName name="ALTEQUIP" localSheetId="12">#REF!</definedName>
    <definedName name="ALTEQUIP" localSheetId="30">#REF!</definedName>
    <definedName name="ALTEQUIP" localSheetId="28">#REF!</definedName>
    <definedName name="ALTEQUIP" localSheetId="27">#REF!</definedName>
    <definedName name="ALTEQUIP" localSheetId="18">#REF!</definedName>
    <definedName name="ALTEQUIP" localSheetId="7">#REF!</definedName>
    <definedName name="ALTEQUIP" localSheetId="23">#REF!</definedName>
    <definedName name="ALTEQUIP">#REF!</definedName>
    <definedName name="ALTIEQP" localSheetId="12">#REF!</definedName>
    <definedName name="ALTIEQP" localSheetId="30">#REF!</definedName>
    <definedName name="ALTIEQP" localSheetId="28">#REF!</definedName>
    <definedName name="ALTIEQP" localSheetId="27">#REF!</definedName>
    <definedName name="ALTIEQP" localSheetId="18">#REF!</definedName>
    <definedName name="ALTIEQP" localSheetId="7">#REF!</definedName>
    <definedName name="ALTIEQP" localSheetId="23">#REF!</definedName>
    <definedName name="ALTIEQP">#REF!</definedName>
    <definedName name="ALTMUR" localSheetId="12">#REF!</definedName>
    <definedName name="ALTMUR" localSheetId="30">#REF!</definedName>
    <definedName name="ALTMUR" localSheetId="28">#REF!</definedName>
    <definedName name="ALTMUR" localSheetId="27">#REF!</definedName>
    <definedName name="ALTMUR" localSheetId="18">#REF!</definedName>
    <definedName name="ALTMUR" localSheetId="7">#REF!</definedName>
    <definedName name="ALTMUR" localSheetId="23">#REF!</definedName>
    <definedName name="ALTMUR">#REF!</definedName>
    <definedName name="ALTRES10" localSheetId="12">#REF!</definedName>
    <definedName name="ALTRES10" localSheetId="30">#REF!</definedName>
    <definedName name="ALTRES10" localSheetId="28">#REF!</definedName>
    <definedName name="ALTRES10" localSheetId="27">#REF!</definedName>
    <definedName name="ALTRES10" localSheetId="18">#REF!</definedName>
    <definedName name="ALTRES10" localSheetId="7">#REF!</definedName>
    <definedName name="ALTRES10" localSheetId="23">#REF!</definedName>
    <definedName name="ALTRES10">#REF!</definedName>
    <definedName name="ALTRES15" localSheetId="12">#REF!</definedName>
    <definedName name="ALTRES15" localSheetId="30">#REF!</definedName>
    <definedName name="ALTRES15" localSheetId="28">#REF!</definedName>
    <definedName name="ALTRES15" localSheetId="27">#REF!</definedName>
    <definedName name="ALTRES15" localSheetId="18">#REF!</definedName>
    <definedName name="ALTRES15" localSheetId="7">#REF!</definedName>
    <definedName name="ALTRES15" localSheetId="23">#REF!</definedName>
    <definedName name="ALTRES15">#REF!</definedName>
    <definedName name="ALTRES20" localSheetId="12">#REF!</definedName>
    <definedName name="ALTRES20" localSheetId="30">#REF!</definedName>
    <definedName name="ALTRES20" localSheetId="28">#REF!</definedName>
    <definedName name="ALTRES20" localSheetId="27">#REF!</definedName>
    <definedName name="ALTRES20" localSheetId="18">#REF!</definedName>
    <definedName name="ALTRES20" localSheetId="7">#REF!</definedName>
    <definedName name="ALTRES20" localSheetId="23">#REF!</definedName>
    <definedName name="ALTRES20">#REF!</definedName>
    <definedName name="ALTTRANS" localSheetId="12">#REF!</definedName>
    <definedName name="ALTTRANS" localSheetId="30">#REF!</definedName>
    <definedName name="ALTTRANS" localSheetId="28">#REF!</definedName>
    <definedName name="ALTTRANS" localSheetId="27">#REF!</definedName>
    <definedName name="ALTTRANS" localSheetId="18">#REF!</definedName>
    <definedName name="ALTTRANS" localSheetId="7">#REF!</definedName>
    <definedName name="ALTTRANS" localSheetId="23">#REF!</definedName>
    <definedName name="ALTTRANS">#REF!</definedName>
    <definedName name="ALUMÍNIO_2" localSheetId="12">#REF!</definedName>
    <definedName name="ALUMÍNIO_2" localSheetId="30">#REF!</definedName>
    <definedName name="ALUMÍNIO_2" localSheetId="28">#REF!</definedName>
    <definedName name="ALUMÍNIO_2" localSheetId="27">#REF!</definedName>
    <definedName name="ALUMÍNIO_2" localSheetId="21">#REF!</definedName>
    <definedName name="ALUMÍNIO_2" localSheetId="18">#REF!</definedName>
    <definedName name="ALUMÍNIO_2" localSheetId="7">#REF!</definedName>
    <definedName name="ALUMÍNIO_2" localSheetId="23">#REF!</definedName>
    <definedName name="ALUMÍNIO_2">#REF!</definedName>
    <definedName name="angelo" localSheetId="12">[3]Geral!#REF!</definedName>
    <definedName name="angelo" localSheetId="1">[3]Geral!#REF!</definedName>
    <definedName name="angelo" localSheetId="30">[3]Geral!#REF!</definedName>
    <definedName name="angelo" localSheetId="28">[3]Geral!#REF!</definedName>
    <definedName name="angelo" localSheetId="27">[3]Geral!#REF!</definedName>
    <definedName name="angelo" localSheetId="0">[3]Geral!#REF!</definedName>
    <definedName name="angelo" localSheetId="18">[3]Geral!#REF!</definedName>
    <definedName name="angelo" localSheetId="7">[3]Geral!#REF!</definedName>
    <definedName name="angelo" localSheetId="23">[3]Geral!#REF!</definedName>
    <definedName name="angelo">[3]Geral!#REF!</definedName>
    <definedName name="anscount" hidden="1">3</definedName>
    <definedName name="AQE" localSheetId="33" hidden="1">{"'장비'!$A$3:$M$12"}</definedName>
    <definedName name="AQE" localSheetId="35" hidden="1">{"'장비'!$A$3:$M$12"}</definedName>
    <definedName name="AQE" hidden="1">{"'장비'!$A$3:$M$12"}</definedName>
    <definedName name="AQTEMP1" localSheetId="12">#REF!</definedName>
    <definedName name="AQTEMP1" localSheetId="30">#REF!</definedName>
    <definedName name="AQTEMP1" localSheetId="28">#REF!</definedName>
    <definedName name="AQTEMP1" localSheetId="27">#REF!</definedName>
    <definedName name="AQTEMP1" localSheetId="18">#REF!</definedName>
    <definedName name="AQTEMP1" localSheetId="7">#REF!</definedName>
    <definedName name="AQTEMP1" localSheetId="23">#REF!</definedName>
    <definedName name="AQTEMP1">#REF!</definedName>
    <definedName name="AQTEMP2" localSheetId="12">#REF!</definedName>
    <definedName name="AQTEMP2" localSheetId="30">#REF!</definedName>
    <definedName name="AQTEMP2" localSheetId="28">#REF!</definedName>
    <definedName name="AQTEMP2" localSheetId="27">#REF!</definedName>
    <definedName name="AQTEMP2" localSheetId="18">#REF!</definedName>
    <definedName name="AQTEMP2" localSheetId="7">#REF!</definedName>
    <definedName name="AQTEMP2" localSheetId="23">#REF!</definedName>
    <definedName name="AQTEMP2">#REF!</definedName>
    <definedName name="ArComprimido" localSheetId="33" hidden="1">{"'Estimativa de Lançamento-JAN'!$A$1:$AI$85"}</definedName>
    <definedName name="ArComprimido" localSheetId="35" hidden="1">{"'Estimativa de Lançamento-JAN'!$A$1:$AI$85"}</definedName>
    <definedName name="ArComprimido" hidden="1">{"'Estimativa de Lançamento-JAN'!$A$1:$AI$85"}</definedName>
    <definedName name="area" localSheetId="3" hidden="1">{#N/A,#N/A,FALSE,"Plan1";#N/A,#N/A,FALSE,"Plan2"}</definedName>
    <definedName name="area" localSheetId="33" hidden="1">{#N/A,#N/A,FALSE,"Plan1";#N/A,#N/A,FALSE,"Plan2"}</definedName>
    <definedName name="area" localSheetId="35" hidden="1">{#N/A,#N/A,FALSE,"Plan1";#N/A,#N/A,FALSE,"Plan2"}</definedName>
    <definedName name="area" hidden="1">{#N/A,#N/A,FALSE,"Plan1";#N/A,#N/A,FALSE,"Plan2"}</definedName>
    <definedName name="área" localSheetId="12">#REF!</definedName>
    <definedName name="área" localSheetId="30">#REF!</definedName>
    <definedName name="área" localSheetId="28">#REF!</definedName>
    <definedName name="área" localSheetId="27">#REF!</definedName>
    <definedName name="área" localSheetId="18">#REF!</definedName>
    <definedName name="área" localSheetId="7">#REF!</definedName>
    <definedName name="área" localSheetId="23">#REF!</definedName>
    <definedName name="área">#REF!</definedName>
    <definedName name="Área_Construída" localSheetId="12">#REF!</definedName>
    <definedName name="Área_Construída" localSheetId="30">#REF!</definedName>
    <definedName name="Área_Construída" localSheetId="28">#REF!</definedName>
    <definedName name="Área_Construída" localSheetId="27">#REF!</definedName>
    <definedName name="Área_Construída" localSheetId="18">#REF!</definedName>
    <definedName name="Área_Construída" localSheetId="35">#REF!</definedName>
    <definedName name="Área_Construída" localSheetId="7">#REF!</definedName>
    <definedName name="Área_Construída" localSheetId="23">#REF!</definedName>
    <definedName name="Área_Construída">#REF!</definedName>
    <definedName name="_xlnm.Extract" localSheetId="33">INTERFONIA!#REF!</definedName>
    <definedName name="_xlnm.Extract" localSheetId="35">PISCINA!#REF!</definedName>
    <definedName name="_xlnm.Print_Area" localSheetId="11">'Arm. Estacas'!$A$1:$U$65</definedName>
    <definedName name="_xlnm.Print_Area" localSheetId="2">CANTEIRO!$A$1:$G$35</definedName>
    <definedName name="_xlnm.Print_Area" localSheetId="3">#REF!</definedName>
    <definedName name="_xlnm.Print_Area" localSheetId="12">#REF!</definedName>
    <definedName name="_xlnm.Print_Area" localSheetId="1">'EPC''s'!$A$1:$F$83</definedName>
    <definedName name="_xlnm.Print_Area" localSheetId="24">Escadas!$A$1:$X$75</definedName>
    <definedName name="_xlnm.Print_Area" localSheetId="30">#REF!</definedName>
    <definedName name="_xlnm.Print_Area" localSheetId="28">#REF!</definedName>
    <definedName name="_xlnm.Print_Area" localSheetId="27">#REF!</definedName>
    <definedName name="_xlnm.Print_Area" localSheetId="22">Lajes!$A$1:$T$38</definedName>
    <definedName name="_xlnm.Print_Area" localSheetId="17">'Lajes Fundação'!$A$1:$P$27</definedName>
    <definedName name="_xlnm.Print_Area" localSheetId="37">'LOUÇAS&amp;METAIS RESUMO'!$A$1:$F$32</definedName>
    <definedName name="_xlnm.Print_Area" localSheetId="34">MOBILIARIO!$A$1:$H$162</definedName>
    <definedName name="_xlnm.Print_Area" localSheetId="0">OBRA!$A$1:$E$14</definedName>
    <definedName name="_xlnm.Print_Area" localSheetId="21">Pilares!$A$1:$Q$73</definedName>
    <definedName name="_xlnm.Print_Area" localSheetId="18">#REF!</definedName>
    <definedName name="_xlnm.Print_Area" localSheetId="7">#REF!</definedName>
    <definedName name="_xlnm.Print_Area" localSheetId="23">#REF!</definedName>
    <definedName name="_xlnm.Print_Area" localSheetId="20">Vigas!$A$1:$R$107</definedName>
    <definedName name="_xlnm.Print_Area" localSheetId="16">'Vigas Fundação'!$A$1:$X$76</definedName>
    <definedName name="_xlnm.Print_Area">#REF!</definedName>
    <definedName name="Área_impressão_IM" localSheetId="12">#REF!</definedName>
    <definedName name="Área_impressão_IM" localSheetId="30">#REF!</definedName>
    <definedName name="Área_impressão_IM" localSheetId="28">#REF!</definedName>
    <definedName name="Área_impressão_IM" localSheetId="27">#REF!</definedName>
    <definedName name="Área_impressão_IM" localSheetId="21">#REF!</definedName>
    <definedName name="Área_impressão_IM" localSheetId="18">#REF!</definedName>
    <definedName name="Área_impressão_IM" localSheetId="7">#REF!</definedName>
    <definedName name="Área_impressão_IM" localSheetId="23">#REF!</definedName>
    <definedName name="Área_impressão_IM">#REF!</definedName>
    <definedName name="Área_Privativa" localSheetId="12">#REF!</definedName>
    <definedName name="Área_Privativa" localSheetId="30">#REF!</definedName>
    <definedName name="Área_Privativa" localSheetId="28">#REF!</definedName>
    <definedName name="Área_Privativa" localSheetId="27">#REF!</definedName>
    <definedName name="Área_Privativa" localSheetId="18">#REF!</definedName>
    <definedName name="Área_Privativa" localSheetId="35">#REF!</definedName>
    <definedName name="Área_Privativa" localSheetId="7">#REF!</definedName>
    <definedName name="Área_Privativa" localSheetId="23">#REF!</definedName>
    <definedName name="Área_Privativa">#REF!</definedName>
    <definedName name="Área_Terreno" localSheetId="12">#REF!</definedName>
    <definedName name="Área_Terreno" localSheetId="30">#REF!</definedName>
    <definedName name="Área_Terreno" localSheetId="28">#REF!</definedName>
    <definedName name="Área_Terreno" localSheetId="27">#REF!</definedName>
    <definedName name="Área_Terreno" localSheetId="18">#REF!</definedName>
    <definedName name="Área_Terreno" localSheetId="35">#REF!</definedName>
    <definedName name="Área_Terreno" localSheetId="7">#REF!</definedName>
    <definedName name="Área_Terreno" localSheetId="23">#REF!</definedName>
    <definedName name="Área_Terreno">#REF!</definedName>
    <definedName name="area1" localSheetId="12">#REF!</definedName>
    <definedName name="area1" localSheetId="30">#REF!</definedName>
    <definedName name="area1" localSheetId="28">#REF!</definedName>
    <definedName name="area1" localSheetId="27">#REF!</definedName>
    <definedName name="area1" localSheetId="18">#REF!</definedName>
    <definedName name="area1" localSheetId="7">#REF!</definedName>
    <definedName name="area1" localSheetId="23">#REF!</definedName>
    <definedName name="area1">#REF!</definedName>
    <definedName name="Areaimpresso" localSheetId="12">#REF!</definedName>
    <definedName name="Areaimpresso" localSheetId="30">#REF!</definedName>
    <definedName name="Areaimpresso" localSheetId="28">#REF!</definedName>
    <definedName name="Areaimpresso" localSheetId="27">#REF!</definedName>
    <definedName name="Areaimpresso" localSheetId="18">#REF!</definedName>
    <definedName name="Areaimpresso" localSheetId="35">#REF!</definedName>
    <definedName name="Areaimpresso" localSheetId="7">#REF!</definedName>
    <definedName name="Areaimpresso" localSheetId="23">#REF!</definedName>
    <definedName name="Areaimpresso">#REF!</definedName>
    <definedName name="ARM" localSheetId="12">#REF!</definedName>
    <definedName name="ARM" localSheetId="30">#REF!</definedName>
    <definedName name="ARM" localSheetId="28">#REF!</definedName>
    <definedName name="ARM" localSheetId="27">#REF!</definedName>
    <definedName name="ARM" localSheetId="18">#REF!</definedName>
    <definedName name="ARM" localSheetId="7">#REF!</definedName>
    <definedName name="ARM" localSheetId="23">#REF!</definedName>
    <definedName name="ARM">#REF!</definedName>
    <definedName name="ARMABLOCOS" localSheetId="12">#REF!</definedName>
    <definedName name="ARMABLOCOS" localSheetId="30">#REF!</definedName>
    <definedName name="ARMABLOCOS" localSheetId="28">#REF!</definedName>
    <definedName name="ARMABLOCOS" localSheetId="27">#REF!</definedName>
    <definedName name="ARMABLOCOS" localSheetId="18">#REF!</definedName>
    <definedName name="ARMABLOCOS" localSheetId="7">#REF!</definedName>
    <definedName name="ARMABLOCOS" localSheetId="23">#REF!</definedName>
    <definedName name="ARMABLOCOS">#REF!</definedName>
    <definedName name="ARMAÇÃO" localSheetId="12">#REF!</definedName>
    <definedName name="ARMAÇÃO" localSheetId="30">#REF!</definedName>
    <definedName name="ARMAÇÃO" localSheetId="28">#REF!</definedName>
    <definedName name="ARMAÇÃO" localSheetId="27">#REF!</definedName>
    <definedName name="ARMAÇÃO" localSheetId="21">#REF!</definedName>
    <definedName name="ARMAÇÃO" localSheetId="18">#REF!</definedName>
    <definedName name="ARMAÇÃO" localSheetId="7">#REF!</definedName>
    <definedName name="ARMAÇÃO" localSheetId="23">#REF!</definedName>
    <definedName name="ARMAÇÃO">#REF!</definedName>
    <definedName name="ARQ" localSheetId="12">#REF!</definedName>
    <definedName name="ARQ" localSheetId="30">#REF!</definedName>
    <definedName name="ARQ" localSheetId="28">#REF!</definedName>
    <definedName name="ARQ" localSheetId="27">#REF!</definedName>
    <definedName name="ARQ" localSheetId="18">#REF!</definedName>
    <definedName name="ARQ" localSheetId="7">#REF!</definedName>
    <definedName name="ARQ" localSheetId="23">#REF!</definedName>
    <definedName name="ARQ">#REF!</definedName>
    <definedName name="ARQERR" localSheetId="12">#REF!</definedName>
    <definedName name="ARQERR" localSheetId="30">#REF!</definedName>
    <definedName name="ARQERR" localSheetId="28">#REF!</definedName>
    <definedName name="ARQERR" localSheetId="27">#REF!</definedName>
    <definedName name="ARQERR" localSheetId="18">#REF!</definedName>
    <definedName name="ARQERR" localSheetId="7">#REF!</definedName>
    <definedName name="ARQERR" localSheetId="23">#REF!</definedName>
    <definedName name="ARQERR">#REF!</definedName>
    <definedName name="ARQPLAN" localSheetId="12">#REF!</definedName>
    <definedName name="ARQPLAN" localSheetId="30">#REF!</definedName>
    <definedName name="ARQPLAN" localSheetId="28">#REF!</definedName>
    <definedName name="ARQPLAN" localSheetId="27">#REF!</definedName>
    <definedName name="ARQPLAN" localSheetId="18">#REF!</definedName>
    <definedName name="ARQPLAN" localSheetId="7">#REF!</definedName>
    <definedName name="ARQPLAN" localSheetId="23">#REF!</definedName>
    <definedName name="ARQPLAN">#REF!</definedName>
    <definedName name="ARQT" localSheetId="12">#REF!</definedName>
    <definedName name="ARQT" localSheetId="30">#REF!</definedName>
    <definedName name="ARQT" localSheetId="28">#REF!</definedName>
    <definedName name="ARQT" localSheetId="27">#REF!</definedName>
    <definedName name="ARQT" localSheetId="18">#REF!</definedName>
    <definedName name="ARQT" localSheetId="7">#REF!</definedName>
    <definedName name="ARQT" localSheetId="23">#REF!</definedName>
    <definedName name="ARQT">#REF!</definedName>
    <definedName name="ARQTEMP" localSheetId="12">#REF!</definedName>
    <definedName name="ARQTEMP" localSheetId="30">#REF!</definedName>
    <definedName name="ARQTEMP" localSheetId="28">#REF!</definedName>
    <definedName name="ARQTEMP" localSheetId="27">#REF!</definedName>
    <definedName name="ARQTEMP" localSheetId="18">#REF!</definedName>
    <definedName name="ARQTEMP" localSheetId="7">#REF!</definedName>
    <definedName name="ARQTEMP" localSheetId="23">#REF!</definedName>
    <definedName name="ARQTEMP">#REF!</definedName>
    <definedName name="ARQTXT" localSheetId="12">#REF!</definedName>
    <definedName name="ARQTXT" localSheetId="30">#REF!</definedName>
    <definedName name="ARQTXT" localSheetId="28">#REF!</definedName>
    <definedName name="ARQTXT" localSheetId="27">#REF!</definedName>
    <definedName name="ARQTXT" localSheetId="18">#REF!</definedName>
    <definedName name="ARQTXT" localSheetId="7">#REF!</definedName>
    <definedName name="ARQTXT" localSheetId="23">#REF!</definedName>
    <definedName name="ARQTXT">#REF!</definedName>
    <definedName name="ARTEMP" localSheetId="12">#REF!</definedName>
    <definedName name="ARTEMP" localSheetId="30">#REF!</definedName>
    <definedName name="ARTEMP" localSheetId="28">#REF!</definedName>
    <definedName name="ARTEMP" localSheetId="27">#REF!</definedName>
    <definedName name="ARTEMP" localSheetId="18">#REF!</definedName>
    <definedName name="ARTEMP" localSheetId="7">#REF!</definedName>
    <definedName name="ARTEMP" localSheetId="23">#REF!</definedName>
    <definedName name="ARTEMP">#REF!</definedName>
    <definedName name="AS" localSheetId="12">#REF!</definedName>
    <definedName name="AS" localSheetId="30">#REF!</definedName>
    <definedName name="AS" localSheetId="28">#REF!</definedName>
    <definedName name="AS" localSheetId="27">#REF!</definedName>
    <definedName name="AS" localSheetId="18">#REF!</definedName>
    <definedName name="AS" localSheetId="7">#REF!</definedName>
    <definedName name="AS" localSheetId="23">#REF!</definedName>
    <definedName name="AS">#REF!</definedName>
    <definedName name="AS2DocOpenMode" hidden="1">"AS2DocumentBrowse"</definedName>
    <definedName name="asawe3" localSheetId="3" hidden="1">{#N/A,#N/A,FALSE,"Plan1";#N/A,#N/A,FALSE,"Plan2"}</definedName>
    <definedName name="asawe3" localSheetId="33" hidden="1">{#N/A,#N/A,FALSE,"Plan1";#N/A,#N/A,FALSE,"Plan2"}</definedName>
    <definedName name="asawe3" localSheetId="35" hidden="1">{#N/A,#N/A,FALSE,"Plan1";#N/A,#N/A,FALSE,"Plan2"}</definedName>
    <definedName name="asawe3" hidden="1">{#N/A,#N/A,FALSE,"Plan1";#N/A,#N/A,FALSE,"Plan2"}</definedName>
    <definedName name="ASD" hidden="1">17</definedName>
    <definedName name="ASDA" localSheetId="3" hidden="1">{#N/A,#N/A,FALSE,"Plan1";#N/A,#N/A,FALSE,"Plan2"}</definedName>
    <definedName name="ASDA" localSheetId="33" hidden="1">{#N/A,#N/A,FALSE,"Plan1";#N/A,#N/A,FALSE,"Plan2"}</definedName>
    <definedName name="ASDA" localSheetId="35" hidden="1">{#N/A,#N/A,FALSE,"Plan1";#N/A,#N/A,FALSE,"Plan2"}</definedName>
    <definedName name="ASDA" hidden="1">{#N/A,#N/A,FALSE,"Plan1";#N/A,#N/A,FALSE,"Plan2"}</definedName>
    <definedName name="asdade" localSheetId="3" hidden="1">{#N/A,#N/A,FALSE,"Plan1";#N/A,#N/A,FALSE,"Plan2"}</definedName>
    <definedName name="asdade" localSheetId="33" hidden="1">{#N/A,#N/A,FALSE,"Plan1";#N/A,#N/A,FALSE,"Plan2"}</definedName>
    <definedName name="asdade" localSheetId="35" hidden="1">{#N/A,#N/A,FALSE,"Plan1";#N/A,#N/A,FALSE,"Plan2"}</definedName>
    <definedName name="asdade" hidden="1">{#N/A,#N/A,FALSE,"Plan1";#N/A,#N/A,FALSE,"Plan2"}</definedName>
    <definedName name="asdas" localSheetId="3" hidden="1">{#N/A,#N/A,FALSE,"Plan1";#N/A,#N/A,FALSE,"Plan2"}</definedName>
    <definedName name="asdas" localSheetId="33" hidden="1">{#N/A,#N/A,FALSE,"Plan1";#N/A,#N/A,FALSE,"Plan2"}</definedName>
    <definedName name="asdas" localSheetId="35" hidden="1">{#N/A,#N/A,FALSE,"Plan1";#N/A,#N/A,FALSE,"Plan2"}</definedName>
    <definedName name="asdas" hidden="1">{#N/A,#N/A,FALSE,"Plan1";#N/A,#N/A,FALSE,"Plan2"}</definedName>
    <definedName name="asdawed" localSheetId="3" hidden="1">{#N/A,#N/A,FALSE,"Plan1";#N/A,#N/A,FALSE,"Plan2"}</definedName>
    <definedName name="asdawed" localSheetId="33" hidden="1">{#N/A,#N/A,FALSE,"Plan1";#N/A,#N/A,FALSE,"Plan2"}</definedName>
    <definedName name="asdawed" localSheetId="35" hidden="1">{#N/A,#N/A,FALSE,"Plan1";#N/A,#N/A,FALSE,"Plan2"}</definedName>
    <definedName name="asdawed" hidden="1">{#N/A,#N/A,FALSE,"Plan1";#N/A,#N/A,FALSE,"Plan2"}</definedName>
    <definedName name="ASDER" localSheetId="3" hidden="1">{#N/A,#N/A,FALSE,"Plan1";#N/A,#N/A,FALSE,"Plan2"}</definedName>
    <definedName name="ASDER" localSheetId="33" hidden="1">{#N/A,#N/A,FALSE,"Plan1";#N/A,#N/A,FALSE,"Plan2"}</definedName>
    <definedName name="ASDER" localSheetId="35" hidden="1">{#N/A,#N/A,FALSE,"Plan1";#N/A,#N/A,FALSE,"Plan2"}</definedName>
    <definedName name="ASDER" hidden="1">{#N/A,#N/A,FALSE,"Plan1";#N/A,#N/A,FALSE,"Plan2"}</definedName>
    <definedName name="asderr" localSheetId="3" hidden="1">{#N/A,#N/A,FALSE,"Plan1";#N/A,#N/A,FALSE,"Plan2"}</definedName>
    <definedName name="asderr" localSheetId="33" hidden="1">{#N/A,#N/A,FALSE,"Plan1";#N/A,#N/A,FALSE,"Plan2"}</definedName>
    <definedName name="asderr" localSheetId="35" hidden="1">{#N/A,#N/A,FALSE,"Plan1";#N/A,#N/A,FALSE,"Plan2"}</definedName>
    <definedName name="asderr" hidden="1">{#N/A,#N/A,FALSE,"Plan1";#N/A,#N/A,FALSE,"Plan2"}</definedName>
    <definedName name="asdesre" localSheetId="3" hidden="1">{#N/A,#N/A,FALSE,"Plan1";#N/A,#N/A,FALSE,"Plan2"}</definedName>
    <definedName name="asdesre" localSheetId="33" hidden="1">{#N/A,#N/A,FALSE,"Plan1";#N/A,#N/A,FALSE,"Plan2"}</definedName>
    <definedName name="asdesre" localSheetId="35" hidden="1">{#N/A,#N/A,FALSE,"Plan1";#N/A,#N/A,FALSE,"Plan2"}</definedName>
    <definedName name="asdesre" hidden="1">{#N/A,#N/A,FALSE,"Plan1";#N/A,#N/A,FALSE,"Plan2"}</definedName>
    <definedName name="asdewr" localSheetId="3" hidden="1">{#N/A,#N/A,FALSE,"Plan1";#N/A,#N/A,FALSE,"Plan2"}</definedName>
    <definedName name="asdewr" localSheetId="33" hidden="1">{#N/A,#N/A,FALSE,"Plan1";#N/A,#N/A,FALSE,"Plan2"}</definedName>
    <definedName name="asdewr" localSheetId="35" hidden="1">{#N/A,#N/A,FALSE,"Plan1";#N/A,#N/A,FALSE,"Plan2"}</definedName>
    <definedName name="asdewr" hidden="1">{#N/A,#N/A,FALSE,"Plan1";#N/A,#N/A,FALSE,"Plan2"}</definedName>
    <definedName name="ASDFASDFA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3" hidden="1">{#N/A,#N/A,FALSE,"Plan1";#N/A,#N/A,FALSE,"Plan2"}</definedName>
    <definedName name="asdfs" localSheetId="33" hidden="1">{#N/A,#N/A,FALSE,"Plan1";#N/A,#N/A,FALSE,"Plan2"}</definedName>
    <definedName name="asdfs" localSheetId="35" hidden="1">{#N/A,#N/A,FALSE,"Plan1";#N/A,#N/A,FALSE,"Plan2"}</definedName>
    <definedName name="asdfs" hidden="1">{#N/A,#N/A,FALSE,"Plan1";#N/A,#N/A,FALSE,"Plan2"}</definedName>
    <definedName name="asdg" localSheetId="3" hidden="1">{#N/A,#N/A,FALSE,"Plan1";#N/A,#N/A,FALSE,"Plan2"}</definedName>
    <definedName name="asdg" localSheetId="33" hidden="1">{#N/A,#N/A,FALSE,"Plan1";#N/A,#N/A,FALSE,"Plan2"}</definedName>
    <definedName name="asdg" localSheetId="35" hidden="1">{#N/A,#N/A,FALSE,"Plan1";#N/A,#N/A,FALSE,"Plan2"}</definedName>
    <definedName name="asdg" hidden="1">{#N/A,#N/A,FALSE,"Plan1";#N/A,#N/A,FALSE,"Plan2"}</definedName>
    <definedName name="asdjksej" localSheetId="3" hidden="1">#REF!</definedName>
    <definedName name="asdjksej" localSheetId="12" hidden="1">#REF!</definedName>
    <definedName name="asdjksej" localSheetId="30" hidden="1">#REF!</definedName>
    <definedName name="asdjksej" localSheetId="28" hidden="1">#REF!</definedName>
    <definedName name="asdjksej" localSheetId="27" hidden="1">#REF!</definedName>
    <definedName name="asdjksej" localSheetId="18" hidden="1">#REF!</definedName>
    <definedName name="asdjksej" localSheetId="7" hidden="1">#REF!</definedName>
    <definedName name="asdjksej" localSheetId="23" hidden="1">#REF!</definedName>
    <definedName name="asdjksej" hidden="1">#REF!</definedName>
    <definedName name="asdke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3" hidden="1">{#N/A,#N/A,FALSE,"Plan1";#N/A,#N/A,FALSE,"Plan2"}</definedName>
    <definedName name="asdlas" localSheetId="33" hidden="1">{#N/A,#N/A,FALSE,"Plan1";#N/A,#N/A,FALSE,"Plan2"}</definedName>
    <definedName name="asdlas" localSheetId="35" hidden="1">{#N/A,#N/A,FALSE,"Plan1";#N/A,#N/A,FALSE,"Plan2"}</definedName>
    <definedName name="asdlas" hidden="1">{#N/A,#N/A,FALSE,"Plan1";#N/A,#N/A,FALSE,"Plan2"}</definedName>
    <definedName name="asdqwe" localSheetId="3" hidden="1">{#N/A,#N/A,FALSE,"Plan1";#N/A,#N/A,FALSE,"Plan2"}</definedName>
    <definedName name="asdqwe" localSheetId="33" hidden="1">{#N/A,#N/A,FALSE,"Plan1";#N/A,#N/A,FALSE,"Plan2"}</definedName>
    <definedName name="asdqwe" localSheetId="35" hidden="1">{#N/A,#N/A,FALSE,"Plan1";#N/A,#N/A,FALSE,"Plan2"}</definedName>
    <definedName name="asdqwe" hidden="1">{#N/A,#N/A,FALSE,"Plan1";#N/A,#N/A,FALSE,"Plan2"}</definedName>
    <definedName name="asdsa" localSheetId="3" hidden="1">{#N/A,#N/A,FALSE,"Plan1";#N/A,#N/A,FALSE,"Plan2"}</definedName>
    <definedName name="asdsa" localSheetId="33" hidden="1">{#N/A,#N/A,FALSE,"Plan1";#N/A,#N/A,FALSE,"Plan2"}</definedName>
    <definedName name="asdsa" localSheetId="35" hidden="1">{#N/A,#N/A,FALSE,"Plan1";#N/A,#N/A,FALSE,"Plan2"}</definedName>
    <definedName name="asdsa" hidden="1">{#N/A,#N/A,FALSE,"Plan1";#N/A,#N/A,FALSE,"Plan2"}</definedName>
    <definedName name="asdser" localSheetId="3" hidden="1">{#N/A,#N/A,FALSE,"Plan1";#N/A,#N/A,FALSE,"Plan2"}</definedName>
    <definedName name="asdser" localSheetId="33" hidden="1">{#N/A,#N/A,FALSE,"Plan1";#N/A,#N/A,FALSE,"Plan2"}</definedName>
    <definedName name="asdser" localSheetId="35" hidden="1">{#N/A,#N/A,FALSE,"Plan1";#N/A,#N/A,FALSE,"Plan2"}</definedName>
    <definedName name="asdser" hidden="1">{#N/A,#N/A,FALSE,"Plan1";#N/A,#N/A,FALSE,"Plan2"}</definedName>
    <definedName name="asdwef" localSheetId="3" hidden="1">{#N/A,#N/A,FALSE,"Plan1";#N/A,#N/A,FALSE,"Plan2"}</definedName>
    <definedName name="asdwef" localSheetId="33" hidden="1">{#N/A,#N/A,FALSE,"Plan1";#N/A,#N/A,FALSE,"Plan2"}</definedName>
    <definedName name="asdwef" localSheetId="35" hidden="1">{#N/A,#N/A,FALSE,"Plan1";#N/A,#N/A,FALSE,"Plan2"}</definedName>
    <definedName name="asdwef" hidden="1">{#N/A,#N/A,FALSE,"Plan1";#N/A,#N/A,FALSE,"Plan2"}</definedName>
    <definedName name="aseiuw" localSheetId="3" hidden="1">#REF!</definedName>
    <definedName name="aseiuw" localSheetId="12" hidden="1">#REF!</definedName>
    <definedName name="aseiuw" localSheetId="30" hidden="1">#REF!</definedName>
    <definedName name="aseiuw" localSheetId="28" hidden="1">#REF!</definedName>
    <definedName name="aseiuw" localSheetId="27" hidden="1">#REF!</definedName>
    <definedName name="aseiuw" localSheetId="18" hidden="1">#REF!</definedName>
    <definedName name="aseiuw" localSheetId="7" hidden="1">#REF!</definedName>
    <definedName name="aseiuw" localSheetId="23" hidden="1">#REF!</definedName>
    <definedName name="aseiuw" hidden="1">#REF!</definedName>
    <definedName name="ASET" localSheetId="3" hidden="1">{#N/A,#N/A,FALSE,"Plan1";#N/A,#N/A,FALSE,"Plan2"}</definedName>
    <definedName name="ASET" localSheetId="33" hidden="1">{#N/A,#N/A,FALSE,"Plan1";#N/A,#N/A,FALSE,"Plan2"}</definedName>
    <definedName name="ASET" localSheetId="35" hidden="1">{#N/A,#N/A,FALSE,"Plan1";#N/A,#N/A,FALSE,"Plan2"}</definedName>
    <definedName name="ASET" hidden="1">{#N/A,#N/A,FALSE,"Plan1";#N/A,#N/A,FALSE,"Plan2"}</definedName>
    <definedName name="asfDSF" localSheetId="3" hidden="1">{#N/A,#N/A,FALSE,"Plan1";#N/A,#N/A,FALSE,"Plan2"}</definedName>
    <definedName name="asfDSF" localSheetId="33" hidden="1">{#N/A,#N/A,FALSE,"Plan1";#N/A,#N/A,FALSE,"Plan2"}</definedName>
    <definedName name="asfDSF" localSheetId="35" hidden="1">{#N/A,#N/A,FALSE,"Plan1";#N/A,#N/A,FALSE,"Plan2"}</definedName>
    <definedName name="asfDSF" hidden="1">{#N/A,#N/A,FALSE,"Plan1";#N/A,#N/A,FALSE,"Plan2"}</definedName>
    <definedName name="ASFERTE" localSheetId="3" hidden="1">{#N/A,#N/A,FALSE,"Plan1";#N/A,#N/A,FALSE,"Plan2"}</definedName>
    <definedName name="ASFERTE" localSheetId="33" hidden="1">{#N/A,#N/A,FALSE,"Plan1";#N/A,#N/A,FALSE,"Plan2"}</definedName>
    <definedName name="ASFERTE" localSheetId="35" hidden="1">{#N/A,#N/A,FALSE,"Plan1";#N/A,#N/A,FALSE,"Plan2"}</definedName>
    <definedName name="ASFERTE" hidden="1">{#N/A,#N/A,FALSE,"Plan1";#N/A,#N/A,FALSE,"Plan2"}</definedName>
    <definedName name="asfl" localSheetId="3" hidden="1">{#N/A,#N/A,FALSE,"Plan1";#N/A,#N/A,FALSE,"Plan2"}</definedName>
    <definedName name="asfl" localSheetId="33" hidden="1">{#N/A,#N/A,FALSE,"Plan1";#N/A,#N/A,FALSE,"Plan2"}</definedName>
    <definedName name="asfl" localSheetId="35" hidden="1">{#N/A,#N/A,FALSE,"Plan1";#N/A,#N/A,FALSE,"Plan2"}</definedName>
    <definedName name="asfl" hidden="1">{#N/A,#N/A,FALSE,"Plan1";#N/A,#N/A,FALSE,"Plan2"}</definedName>
    <definedName name="asfsz" localSheetId="3" hidden="1">{#N/A,#N/A,FALSE,"Plan1";#N/A,#N/A,FALSE,"Plan2"}</definedName>
    <definedName name="asfsz" localSheetId="33" hidden="1">{#N/A,#N/A,FALSE,"Plan1";#N/A,#N/A,FALSE,"Plan2"}</definedName>
    <definedName name="asfsz" localSheetId="35" hidden="1">{#N/A,#N/A,FALSE,"Plan1";#N/A,#N/A,FALSE,"Plan2"}</definedName>
    <definedName name="asfsz" hidden="1">{#N/A,#N/A,FALSE,"Plan1";#N/A,#N/A,FALSE,"Plan2"}</definedName>
    <definedName name="askserf" localSheetId="3" hidden="1">{#N/A,#N/A,FALSE,"Plan1";#N/A,#N/A,FALSE,"Plan2"}</definedName>
    <definedName name="askserf" localSheetId="33" hidden="1">{#N/A,#N/A,FALSE,"Plan1";#N/A,#N/A,FALSE,"Plan2"}</definedName>
    <definedName name="askserf" localSheetId="35" hidden="1">{#N/A,#N/A,FALSE,"Plan1";#N/A,#N/A,FALSE,"Plan2"}</definedName>
    <definedName name="askserf" hidden="1">{#N/A,#N/A,FALSE,"Plan1";#N/A,#N/A,FALSE,"Plan2"}</definedName>
    <definedName name="ASSFSDF" localSheetId="3" hidden="1">{#N/A,#N/A,FALSE,"Plan1";#N/A,#N/A,FALSE,"Plan2"}</definedName>
    <definedName name="ASSFSDF" localSheetId="33" hidden="1">{#N/A,#N/A,FALSE,"Plan1";#N/A,#N/A,FALSE,"Plan2"}</definedName>
    <definedName name="ASSFSDF" localSheetId="35" hidden="1">{#N/A,#N/A,FALSE,"Plan1";#N/A,#N/A,FALSE,"Plan2"}</definedName>
    <definedName name="ASSFSDF" hidden="1">{#N/A,#N/A,FALSE,"Plan1";#N/A,#N/A,FALSE,"Plan2"}</definedName>
    <definedName name="asw" localSheetId="3" hidden="1">{#N/A,#N/A,FALSE,"Plan1";#N/A,#N/A,FALSE,"Plan2"}</definedName>
    <definedName name="asw" localSheetId="33" hidden="1">{#N/A,#N/A,FALSE,"Plan1";#N/A,#N/A,FALSE,"Plan2"}</definedName>
    <definedName name="asw" localSheetId="35" hidden="1">{#N/A,#N/A,FALSE,"Plan1";#N/A,#N/A,FALSE,"Plan2"}</definedName>
    <definedName name="asw" hidden="1">{#N/A,#N/A,FALSE,"Plan1";#N/A,#N/A,FALSE,"Plan2"}</definedName>
    <definedName name="Até_Chaves" localSheetId="12">#REF!</definedName>
    <definedName name="Até_Chaves" localSheetId="30">#REF!</definedName>
    <definedName name="Até_Chaves" localSheetId="28">#REF!</definedName>
    <definedName name="Até_Chaves" localSheetId="27">#REF!</definedName>
    <definedName name="Até_Chaves" localSheetId="18">#REF!</definedName>
    <definedName name="Até_Chaves" localSheetId="7">#REF!</definedName>
    <definedName name="Até_Chaves" localSheetId="23">#REF!</definedName>
    <definedName name="Até_Chaves">#REF!</definedName>
    <definedName name="ATIVOS" localSheetId="33" hidden="1">{#N/A,#N/A,FALSE,"F-01"}</definedName>
    <definedName name="ATIVOS" localSheetId="35" hidden="1">{#N/A,#N/A,FALSE,"F-01"}</definedName>
    <definedName name="ATIVOS" hidden="1">{#N/A,#N/A,FALSE,"F-01"}</definedName>
    <definedName name="Ato" localSheetId="12">#REF!</definedName>
    <definedName name="Ato" localSheetId="30">#REF!</definedName>
    <definedName name="Ato" localSheetId="28">#REF!</definedName>
    <definedName name="Ato" localSheetId="27">#REF!</definedName>
    <definedName name="Ato" localSheetId="18">#REF!</definedName>
    <definedName name="Ato" localSheetId="7">#REF!</definedName>
    <definedName name="Ato" localSheetId="23">#REF!</definedName>
    <definedName name="Ato">#REF!</definedName>
    <definedName name="ATUAL" localSheetId="12">#REF!</definedName>
    <definedName name="ATUAL" localSheetId="30">#REF!</definedName>
    <definedName name="ATUAL" localSheetId="28">#REF!</definedName>
    <definedName name="ATUAL" localSheetId="27">#REF!</definedName>
    <definedName name="ATUAL" localSheetId="18">#REF!</definedName>
    <definedName name="ATUAL" localSheetId="7">#REF!</definedName>
    <definedName name="ATUAL" localSheetId="23">#REF!</definedName>
    <definedName name="ATUAL">#REF!</definedName>
    <definedName name="aux" localSheetId="12">#REF!</definedName>
    <definedName name="aux" localSheetId="1">#REF!</definedName>
    <definedName name="aux" localSheetId="30">#REF!</definedName>
    <definedName name="aux" localSheetId="28">#REF!</definedName>
    <definedName name="aux" localSheetId="27">#REF!</definedName>
    <definedName name="aux" localSheetId="0">#REF!</definedName>
    <definedName name="aux" localSheetId="18">#REF!</definedName>
    <definedName name="aux" localSheetId="7">#REF!</definedName>
    <definedName name="aux" localSheetId="23">#REF!</definedName>
    <definedName name="aux">#REF!</definedName>
    <definedName name="AUXILIO" localSheetId="12">#REF!</definedName>
    <definedName name="AUXILIO" localSheetId="30">#REF!</definedName>
    <definedName name="AUXILIO" localSheetId="28">#REF!</definedName>
    <definedName name="AUXILIO" localSheetId="27">#REF!</definedName>
    <definedName name="AUXILIO" localSheetId="18">#REF!</definedName>
    <definedName name="AUXILIO" localSheetId="7">#REF!</definedName>
    <definedName name="AUXILIO" localSheetId="23">#REF!</definedName>
    <definedName name="AUXILIO">#REF!</definedName>
    <definedName name="avulsos" localSheetId="12">#REF!</definedName>
    <definedName name="avulsos" localSheetId="30">#REF!</definedName>
    <definedName name="avulsos" localSheetId="28">#REF!</definedName>
    <definedName name="avulsos" localSheetId="27">#REF!</definedName>
    <definedName name="avulsos" localSheetId="18">#REF!</definedName>
    <definedName name="avulsos" localSheetId="7">#REF!</definedName>
    <definedName name="avulsos" localSheetId="23">#REF!</definedName>
    <definedName name="avulsos">#REF!</definedName>
    <definedName name="awdjw" localSheetId="3" hidden="1">{#N/A,#N/A,FALSE,"Plan1";#N/A,#N/A,FALSE,"Plan2"}</definedName>
    <definedName name="awdjw" localSheetId="33" hidden="1">{#N/A,#N/A,FALSE,"Plan1";#N/A,#N/A,FALSE,"Plan2"}</definedName>
    <definedName name="awdjw" localSheetId="35" hidden="1">{#N/A,#N/A,FALSE,"Plan1";#N/A,#N/A,FALSE,"Plan2"}</definedName>
    <definedName name="awdjw" hidden="1">{#N/A,#N/A,FALSE,"Plan1";#N/A,#N/A,FALSE,"Plan2"}</definedName>
    <definedName name="aweqw4" localSheetId="3" hidden="1">{#N/A,#N/A,FALSE,"Plan1";#N/A,#N/A,FALSE,"Plan2"}</definedName>
    <definedName name="aweqw4" localSheetId="33" hidden="1">{#N/A,#N/A,FALSE,"Plan1";#N/A,#N/A,FALSE,"Plan2"}</definedName>
    <definedName name="aweqw4" localSheetId="35" hidden="1">{#N/A,#N/A,FALSE,"Plan1";#N/A,#N/A,FALSE,"Plan2"}</definedName>
    <definedName name="aweqw4" hidden="1">{#N/A,#N/A,FALSE,"Plan1";#N/A,#N/A,FALSE,"Plan2"}</definedName>
    <definedName name="awssdwaer" localSheetId="3" hidden="1">{#N/A,#N/A,FALSE,"Plan1";#N/A,#N/A,FALSE,"Plan2"}</definedName>
    <definedName name="awssdwaer" localSheetId="33" hidden="1">{#N/A,#N/A,FALSE,"Plan1";#N/A,#N/A,FALSE,"Plan2"}</definedName>
    <definedName name="awssdwaer" localSheetId="35" hidden="1">{#N/A,#N/A,FALSE,"Plan1";#N/A,#N/A,FALSE,"Plan2"}</definedName>
    <definedName name="awssdwaer" hidden="1">{#N/A,#N/A,FALSE,"Plan1";#N/A,#N/A,FALSE,"Plan2"}</definedName>
    <definedName name="AZ" localSheetId="12" hidden="1">#REF!</definedName>
    <definedName name="AZ" localSheetId="30" hidden="1">#REF!</definedName>
    <definedName name="AZ" localSheetId="28" hidden="1">#REF!</definedName>
    <definedName name="AZ" localSheetId="27" hidden="1">#REF!</definedName>
    <definedName name="AZ" localSheetId="18" hidden="1">#REF!</definedName>
    <definedName name="AZ" localSheetId="7" hidden="1">#REF!</definedName>
    <definedName name="AZ" localSheetId="23" hidden="1">#REF!</definedName>
    <definedName name="AZ" hidden="1">#REF!</definedName>
    <definedName name="b" localSheetId="3" hidden="1">{#N/A,#N/A,FALSE,"Plan1";#N/A,#N/A,FALSE,"Plan2"}</definedName>
    <definedName name="B" localSheetId="12">#REF!</definedName>
    <definedName name="B" localSheetId="30">#REF!</definedName>
    <definedName name="B" localSheetId="28">#REF!</definedName>
    <definedName name="B" localSheetId="27">#REF!</definedName>
    <definedName name="B" localSheetId="18">#REF!</definedName>
    <definedName name="b" localSheetId="35" hidden="1">{#N/A,#N/A,FALSE,"Plan1";#N/A,#N/A,FALSE,"Plan2"}</definedName>
    <definedName name="B" localSheetId="7">#REF!</definedName>
    <definedName name="B" localSheetId="23">#REF!</definedName>
    <definedName name="B">#REF!</definedName>
    <definedName name="BA" localSheetId="12">#REF!</definedName>
    <definedName name="BA" localSheetId="30">#REF!</definedName>
    <definedName name="BA" localSheetId="28">#REF!</definedName>
    <definedName name="BA" localSheetId="27">#REF!</definedName>
    <definedName name="BA" localSheetId="18">#REF!</definedName>
    <definedName name="BA" localSheetId="7">#REF!</definedName>
    <definedName name="BA" localSheetId="23">#REF!</definedName>
    <definedName name="BA">#REF!</definedName>
    <definedName name="balão1">"AutoForma 17"</definedName>
    <definedName name="BANCO" localSheetId="12">#REF!</definedName>
    <definedName name="BANCO" localSheetId="30">#REF!</definedName>
    <definedName name="BANCO" localSheetId="28">#REF!</definedName>
    <definedName name="BANCO" localSheetId="27">#REF!</definedName>
    <definedName name="BANCO" localSheetId="18">#REF!</definedName>
    <definedName name="BANCO" localSheetId="7">#REF!</definedName>
    <definedName name="BANCO" localSheetId="23">#REF!</definedName>
    <definedName name="BANCO">#REF!</definedName>
    <definedName name="Banco_dados_IM" localSheetId="12">#REF!</definedName>
    <definedName name="Banco_dados_IM" localSheetId="30">#REF!</definedName>
    <definedName name="Banco_dados_IM" localSheetId="28">#REF!</definedName>
    <definedName name="Banco_dados_IM" localSheetId="27">#REF!</definedName>
    <definedName name="Banco_dados_IM" localSheetId="21">#REF!</definedName>
    <definedName name="Banco_dados_IM" localSheetId="18">#REF!</definedName>
    <definedName name="Banco_dados_IM" localSheetId="7">#REF!</definedName>
    <definedName name="Banco_dados_IM" localSheetId="23">#REF!</definedName>
    <definedName name="Banco_dados_IM">#REF!</definedName>
    <definedName name="_xlnm.Database" localSheetId="12">#REF!</definedName>
    <definedName name="_xlnm.Database" localSheetId="30">#REF!</definedName>
    <definedName name="_xlnm.Database" localSheetId="28">#REF!</definedName>
    <definedName name="_xlnm.Database" localSheetId="27">#REF!</definedName>
    <definedName name="_xlnm.Database" localSheetId="21">#REF!</definedName>
    <definedName name="_xlnm.Database" localSheetId="18">#REF!</definedName>
    <definedName name="_xlnm.Database" localSheetId="7">#REF!</definedName>
    <definedName name="_xlnm.Database" localSheetId="23">#REF!</definedName>
    <definedName name="_xlnm.Database">#REF!</definedName>
    <definedName name="BANCO1" localSheetId="12">#REF!</definedName>
    <definedName name="BANCO1" localSheetId="30">#REF!</definedName>
    <definedName name="BANCO1" localSheetId="28">#REF!</definedName>
    <definedName name="BANCO1" localSheetId="27">#REF!</definedName>
    <definedName name="BANCO1" localSheetId="18">#REF!</definedName>
    <definedName name="BANCO1" localSheetId="7">#REF!</definedName>
    <definedName name="BANCO1" localSheetId="23">#REF!</definedName>
    <definedName name="BANCO1">#REF!</definedName>
    <definedName name="BANCO2" localSheetId="12">#REF!</definedName>
    <definedName name="BANCO2" localSheetId="30">#REF!</definedName>
    <definedName name="BANCO2" localSheetId="28">#REF!</definedName>
    <definedName name="BANCO2" localSheetId="27">#REF!</definedName>
    <definedName name="BANCO2" localSheetId="18">#REF!</definedName>
    <definedName name="BANCO2" localSheetId="7">#REF!</definedName>
    <definedName name="BANCO2" localSheetId="23">#REF!</definedName>
    <definedName name="BANCO2">#REF!</definedName>
    <definedName name="BANCO3" localSheetId="12">#REF!</definedName>
    <definedName name="BANCO3" localSheetId="30">#REF!</definedName>
    <definedName name="BANCO3" localSheetId="28">#REF!</definedName>
    <definedName name="BANCO3" localSheetId="27">#REF!</definedName>
    <definedName name="BANCO3" localSheetId="18">#REF!</definedName>
    <definedName name="BANCO3" localSheetId="7">#REF!</definedName>
    <definedName name="BANCO3" localSheetId="23">#REF!</definedName>
    <definedName name="BANCO3">#REF!</definedName>
    <definedName name="BANCO4" localSheetId="12">#REF!</definedName>
    <definedName name="BANCO4" localSheetId="30">#REF!</definedName>
    <definedName name="BANCO4" localSheetId="28">#REF!</definedName>
    <definedName name="BANCO4" localSheetId="27">#REF!</definedName>
    <definedName name="BANCO4" localSheetId="18">#REF!</definedName>
    <definedName name="BANCO4" localSheetId="7">#REF!</definedName>
    <definedName name="BANCO4" localSheetId="23">#REF!</definedName>
    <definedName name="BANCO4">#REF!</definedName>
    <definedName name="BASE" localSheetId="12">OFFSET(#REF!,0,0,COUNTA(#REF!)+1,5)</definedName>
    <definedName name="BASE" localSheetId="30">OFFSET(#REF!,0,0,COUNTA(#REF!)+1,5)</definedName>
    <definedName name="BASE" localSheetId="28">OFFSET(#REF!,0,0,COUNTA(#REF!)+1,5)</definedName>
    <definedName name="BASE" localSheetId="27">OFFSET(#REF!,0,0,COUNTA(#REF!)+1,5)</definedName>
    <definedName name="BASE" localSheetId="18">OFFSET(#REF!,0,0,COUNTA(#REF!)+1,5)</definedName>
    <definedName name="BASE" localSheetId="7">OFFSET(#REF!,0,0,COUNTA(#REF!)+1,5)</definedName>
    <definedName name="BASE" localSheetId="23">OFFSET(#REF!,0,0,COUNTA(#REF!)+1,5)</definedName>
    <definedName name="BASE">OFFSET(#REF!,0,0,COUNTA(#REF!)+1,5)</definedName>
    <definedName name="BASE_DE_DADOS_FLUXO_DE_CAIXA" localSheetId="12">OFFSET(#REF!,0,0,COUNTA(#REF!),COUNTA(#REF!))</definedName>
    <definedName name="BASE_DE_DADOS_FLUXO_DE_CAIXA" localSheetId="30">OFFSET(#REF!,0,0,COUNTA(#REF!),COUNTA(#REF!))</definedName>
    <definedName name="BASE_DE_DADOS_FLUXO_DE_CAIXA" localSheetId="28">OFFSET(#REF!,0,0,COUNTA(#REF!),COUNTA(#REF!))</definedName>
    <definedName name="BASE_DE_DADOS_FLUXO_DE_CAIXA" localSheetId="27">OFFSET(#REF!,0,0,COUNTA(#REF!),COUNTA(#REF!))</definedName>
    <definedName name="BASE_DE_DADOS_FLUXO_DE_CAIXA" localSheetId="18">OFFSET(#REF!,0,0,COUNTA(#REF!),COUNTA(#REF!))</definedName>
    <definedName name="BASE_DE_DADOS_FLUXO_DE_CAIXA" localSheetId="7">OFFSET(#REF!,0,0,COUNTA(#REF!),COUNTA(#REF!))</definedName>
    <definedName name="BASE_DE_DADOS_FLUXO_DE_CAIXA" localSheetId="23">OFFSET(#REF!,0,0,COUNTA(#REF!),COUNTA(#REF!))</definedName>
    <definedName name="BASE_DE_DADOS_FLUXO_DE_CAIXA">OFFSET(#REF!,0,0,COUNTA(#REF!),COUNTA(#REF!))</definedName>
    <definedName name="BASE_FL_CX_3S" localSheetId="12">OFFSET(#REF!,0,0,COUNTA(#REF!),COUNTA(#REF!))</definedName>
    <definedName name="BASE_FL_CX_3S" localSheetId="30">OFFSET(#REF!,0,0,COUNTA(#REF!),COUNTA(#REF!))</definedName>
    <definedName name="BASE_FL_CX_3S" localSheetId="28">OFFSET(#REF!,0,0,COUNTA(#REF!),COUNTA(#REF!))</definedName>
    <definedName name="BASE_FL_CX_3S" localSheetId="27">OFFSET(#REF!,0,0,COUNTA(#REF!),COUNTA(#REF!))</definedName>
    <definedName name="BASE_FL_CX_3S" localSheetId="18">OFFSET(#REF!,0,0,COUNTA(#REF!),COUNTA(#REF!))</definedName>
    <definedName name="BASE_FL_CX_3S" localSheetId="7">OFFSET(#REF!,0,0,COUNTA(#REF!),COUNTA(#REF!))</definedName>
    <definedName name="BASE_FL_CX_3S" localSheetId="23">OFFSET(#REF!,0,0,COUNTA(#REF!),COUNTA(#REF!))</definedName>
    <definedName name="BASE_FL_CX_3S">OFFSET(#REF!,0,0,COUNTA(#REF!),COUNTA(#REF!))</definedName>
    <definedName name="BASE_FLUXO_CAIXA_2017" localSheetId="12">OFFSET(#REF!,0,0,COUNTA(#REF!),COUNTA(#REF!))</definedName>
    <definedName name="BASE_FLUXO_CAIXA_2017" localSheetId="30">OFFSET(#REF!,0,0,COUNTA(#REF!),COUNTA(#REF!))</definedName>
    <definedName name="BASE_FLUXO_CAIXA_2017" localSheetId="28">OFFSET(#REF!,0,0,COUNTA(#REF!),COUNTA(#REF!))</definedName>
    <definedName name="BASE_FLUXO_CAIXA_2017" localSheetId="27">OFFSET(#REF!,0,0,COUNTA(#REF!),COUNTA(#REF!))</definedName>
    <definedName name="BASE_FLUXO_CAIXA_2017" localSheetId="18">OFFSET(#REF!,0,0,COUNTA(#REF!),COUNTA(#REF!))</definedName>
    <definedName name="BASE_FLUXO_CAIXA_2017" localSheetId="7">OFFSET(#REF!,0,0,COUNTA(#REF!),COUNTA(#REF!))</definedName>
    <definedName name="BASE_FLUXO_CAIXA_2017" localSheetId="23">OFFSET(#REF!,0,0,COUNTA(#REF!),COUNTA(#REF!))</definedName>
    <definedName name="BASE_FLUXO_CAIXA_2017">OFFSET(#REF!,0,0,COUNTA(#REF!),COUNTA(#REF!))</definedName>
    <definedName name="bb" localSheetId="12">#REF!</definedName>
    <definedName name="bb" localSheetId="30">#REF!</definedName>
    <definedName name="bb" localSheetId="28">#REF!</definedName>
    <definedName name="bb" localSheetId="27">#REF!</definedName>
    <definedName name="bb" localSheetId="18">#REF!</definedName>
    <definedName name="bb" localSheetId="7">#REF!</definedName>
    <definedName name="bb" localSheetId="23">#REF!</definedName>
    <definedName name="bb">#REF!</definedName>
    <definedName name="bbb" localSheetId="12">#REF!</definedName>
    <definedName name="bbb" localSheetId="30">#REF!</definedName>
    <definedName name="bbb" localSheetId="28">#REF!</definedName>
    <definedName name="bbb" localSheetId="27">#REF!</definedName>
    <definedName name="bbb" localSheetId="18">#REF!</definedName>
    <definedName name="bbb" localSheetId="7">#REF!</definedName>
    <definedName name="bbb" localSheetId="23">#REF!</definedName>
    <definedName name="bbb">#REF!</definedName>
    <definedName name="bbbbbbbbbbbbbbb" localSheetId="33" hidden="1">{"'Edit'!$A$1:$V$2277"}</definedName>
    <definedName name="bbbbbbbbbbbbbbb" localSheetId="35" hidden="1">{"'Edit'!$A$1:$V$2277"}</definedName>
    <definedName name="bbbbbbbbbbbbbbb" hidden="1">{"'Edit'!$A$1:$V$2277"}</definedName>
    <definedName name="bchar10" localSheetId="12" hidden="1">#REF!</definedName>
    <definedName name="bchar10" localSheetId="30" hidden="1">#REF!</definedName>
    <definedName name="bchar10" localSheetId="28" hidden="1">#REF!</definedName>
    <definedName name="bchar10" localSheetId="27" hidden="1">#REF!</definedName>
    <definedName name="bchar10" localSheetId="18" hidden="1">#REF!</definedName>
    <definedName name="bchar10" localSheetId="7" hidden="1">#REF!</definedName>
    <definedName name="bchar10" localSheetId="23" hidden="1">#REF!</definedName>
    <definedName name="bchar10" hidden="1">#REF!</definedName>
    <definedName name="bchart1" localSheetId="12" hidden="1">#REF!</definedName>
    <definedName name="bchart1" localSheetId="30" hidden="1">#REF!</definedName>
    <definedName name="bchart1" localSheetId="28" hidden="1">#REF!</definedName>
    <definedName name="bchart1" localSheetId="27" hidden="1">#REF!</definedName>
    <definedName name="bchart1" localSheetId="18" hidden="1">#REF!</definedName>
    <definedName name="bchart1" localSheetId="7" hidden="1">#REF!</definedName>
    <definedName name="bchart1" localSheetId="23" hidden="1">#REF!</definedName>
    <definedName name="bchart1" hidden="1">#REF!</definedName>
    <definedName name="bchart11" localSheetId="12" hidden="1">#REF!</definedName>
    <definedName name="bchart11" localSheetId="30" hidden="1">#REF!</definedName>
    <definedName name="bchart11" localSheetId="28" hidden="1">#REF!</definedName>
    <definedName name="bchart11" localSheetId="27" hidden="1">#REF!</definedName>
    <definedName name="bchart11" localSheetId="18" hidden="1">#REF!</definedName>
    <definedName name="bchart11" localSheetId="7" hidden="1">#REF!</definedName>
    <definedName name="bchart11" localSheetId="23" hidden="1">#REF!</definedName>
    <definedName name="bchart11" hidden="1">#REF!</definedName>
    <definedName name="bchart12" localSheetId="12" hidden="1">#REF!</definedName>
    <definedName name="bchart12" localSheetId="30" hidden="1">#REF!</definedName>
    <definedName name="bchart12" localSheetId="28" hidden="1">#REF!</definedName>
    <definedName name="bchart12" localSheetId="27" hidden="1">#REF!</definedName>
    <definedName name="bchart12" localSheetId="18" hidden="1">#REF!</definedName>
    <definedName name="bchart12" localSheetId="7" hidden="1">#REF!</definedName>
    <definedName name="bchart12" localSheetId="23" hidden="1">#REF!</definedName>
    <definedName name="bchart12" hidden="1">#REF!</definedName>
    <definedName name="bchart13" localSheetId="12" hidden="1">#REF!</definedName>
    <definedName name="bchart13" localSheetId="30" hidden="1">#REF!</definedName>
    <definedName name="bchart13" localSheetId="28" hidden="1">#REF!</definedName>
    <definedName name="bchart13" localSheetId="27" hidden="1">#REF!</definedName>
    <definedName name="bchart13" localSheetId="18" hidden="1">#REF!</definedName>
    <definedName name="bchart13" localSheetId="7" hidden="1">#REF!</definedName>
    <definedName name="bchart13" localSheetId="23" hidden="1">#REF!</definedName>
    <definedName name="bchart13" hidden="1">#REF!</definedName>
    <definedName name="bchart14" localSheetId="12" hidden="1">#REF!</definedName>
    <definedName name="bchart14" localSheetId="30" hidden="1">#REF!</definedName>
    <definedName name="bchart14" localSheetId="28" hidden="1">#REF!</definedName>
    <definedName name="bchart14" localSheetId="27" hidden="1">#REF!</definedName>
    <definedName name="bchart14" localSheetId="18" hidden="1">#REF!</definedName>
    <definedName name="bchart14" localSheetId="7" hidden="1">#REF!</definedName>
    <definedName name="bchart14" localSheetId="23" hidden="1">#REF!</definedName>
    <definedName name="bchart14" hidden="1">#REF!</definedName>
    <definedName name="bchart15" localSheetId="12" hidden="1">#REF!</definedName>
    <definedName name="bchart15" localSheetId="30" hidden="1">#REF!</definedName>
    <definedName name="bchart15" localSheetId="28" hidden="1">#REF!</definedName>
    <definedName name="bchart15" localSheetId="27" hidden="1">#REF!</definedName>
    <definedName name="bchart15" localSheetId="18" hidden="1">#REF!</definedName>
    <definedName name="bchart15" localSheetId="7" hidden="1">#REF!</definedName>
    <definedName name="bchart15" localSheetId="23" hidden="1">#REF!</definedName>
    <definedName name="bchart15" hidden="1">#REF!</definedName>
    <definedName name="bchart16" localSheetId="12" hidden="1">#REF!</definedName>
    <definedName name="bchart16" localSheetId="30" hidden="1">#REF!</definedName>
    <definedName name="bchart16" localSheetId="28" hidden="1">#REF!</definedName>
    <definedName name="bchart16" localSheetId="27" hidden="1">#REF!</definedName>
    <definedName name="bchart16" localSheetId="18" hidden="1">#REF!</definedName>
    <definedName name="bchart16" localSheetId="7" hidden="1">#REF!</definedName>
    <definedName name="bchart16" localSheetId="23" hidden="1">#REF!</definedName>
    <definedName name="bchart16" hidden="1">#REF!</definedName>
    <definedName name="bchart17" localSheetId="12" hidden="1">#REF!</definedName>
    <definedName name="bchart17" localSheetId="30" hidden="1">#REF!</definedName>
    <definedName name="bchart17" localSheetId="28" hidden="1">#REF!</definedName>
    <definedName name="bchart17" localSheetId="27" hidden="1">#REF!</definedName>
    <definedName name="bchart17" localSheetId="18" hidden="1">#REF!</definedName>
    <definedName name="bchart17" localSheetId="7" hidden="1">#REF!</definedName>
    <definedName name="bchart17" localSheetId="23" hidden="1">#REF!</definedName>
    <definedName name="bchart17" hidden="1">#REF!</definedName>
    <definedName name="bchart18" localSheetId="12" hidden="1">#REF!</definedName>
    <definedName name="bchart18" localSheetId="30" hidden="1">#REF!</definedName>
    <definedName name="bchart18" localSheetId="28" hidden="1">#REF!</definedName>
    <definedName name="bchart18" localSheetId="27" hidden="1">#REF!</definedName>
    <definedName name="bchart18" localSheetId="18" hidden="1">#REF!</definedName>
    <definedName name="bchart18" localSheetId="7" hidden="1">#REF!</definedName>
    <definedName name="bchart18" localSheetId="23" hidden="1">#REF!</definedName>
    <definedName name="bchart18" hidden="1">#REF!</definedName>
    <definedName name="bchart19" localSheetId="12" hidden="1">#REF!</definedName>
    <definedName name="bchart19" localSheetId="30" hidden="1">#REF!</definedName>
    <definedName name="bchart19" localSheetId="28" hidden="1">#REF!</definedName>
    <definedName name="bchart19" localSheetId="27" hidden="1">#REF!</definedName>
    <definedName name="bchart19" localSheetId="18" hidden="1">#REF!</definedName>
    <definedName name="bchart19" localSheetId="7" hidden="1">#REF!</definedName>
    <definedName name="bchart19" localSheetId="23" hidden="1">#REF!</definedName>
    <definedName name="bchart19" hidden="1">#REF!</definedName>
    <definedName name="bchart2" localSheetId="12" hidden="1">#REF!</definedName>
    <definedName name="bchart2" localSheetId="30" hidden="1">#REF!</definedName>
    <definedName name="bchart2" localSheetId="28" hidden="1">#REF!</definedName>
    <definedName name="bchart2" localSheetId="27" hidden="1">#REF!</definedName>
    <definedName name="bchart2" localSheetId="18" hidden="1">#REF!</definedName>
    <definedName name="bchart2" localSheetId="7" hidden="1">#REF!</definedName>
    <definedName name="bchart2" localSheetId="23" hidden="1">#REF!</definedName>
    <definedName name="bchart2" hidden="1">#REF!</definedName>
    <definedName name="bchart20" localSheetId="12" hidden="1">#REF!</definedName>
    <definedName name="bchart20" localSheetId="30" hidden="1">#REF!</definedName>
    <definedName name="bchart20" localSheetId="28" hidden="1">#REF!</definedName>
    <definedName name="bchart20" localSheetId="27" hidden="1">#REF!</definedName>
    <definedName name="bchart20" localSheetId="18" hidden="1">#REF!</definedName>
    <definedName name="bchart20" localSheetId="7" hidden="1">#REF!</definedName>
    <definedName name="bchart20" localSheetId="23" hidden="1">#REF!</definedName>
    <definedName name="bchart20" hidden="1">#REF!</definedName>
    <definedName name="bchart21" localSheetId="12" hidden="1">#REF!</definedName>
    <definedName name="bchart21" localSheetId="30" hidden="1">#REF!</definedName>
    <definedName name="bchart21" localSheetId="28" hidden="1">#REF!</definedName>
    <definedName name="bchart21" localSheetId="27" hidden="1">#REF!</definedName>
    <definedName name="bchart21" localSheetId="18" hidden="1">#REF!</definedName>
    <definedName name="bchart21" localSheetId="7" hidden="1">#REF!</definedName>
    <definedName name="bchart21" localSheetId="23" hidden="1">#REF!</definedName>
    <definedName name="bchart21" hidden="1">#REF!</definedName>
    <definedName name="bchart22" localSheetId="12" hidden="1">#REF!</definedName>
    <definedName name="bchart22" localSheetId="30" hidden="1">#REF!</definedName>
    <definedName name="bchart22" localSheetId="28" hidden="1">#REF!</definedName>
    <definedName name="bchart22" localSheetId="27" hidden="1">#REF!</definedName>
    <definedName name="bchart22" localSheetId="18" hidden="1">#REF!</definedName>
    <definedName name="bchart22" localSheetId="7" hidden="1">#REF!</definedName>
    <definedName name="bchart22" localSheetId="23" hidden="1">#REF!</definedName>
    <definedName name="bchart22" hidden="1">#REF!</definedName>
    <definedName name="bchart23" localSheetId="12" hidden="1">#REF!</definedName>
    <definedName name="bchart23" localSheetId="30" hidden="1">#REF!</definedName>
    <definedName name="bchart23" localSheetId="28" hidden="1">#REF!</definedName>
    <definedName name="bchart23" localSheetId="27" hidden="1">#REF!</definedName>
    <definedName name="bchart23" localSheetId="18" hidden="1">#REF!</definedName>
    <definedName name="bchart23" localSheetId="7" hidden="1">#REF!</definedName>
    <definedName name="bchart23" localSheetId="23" hidden="1">#REF!</definedName>
    <definedName name="bchart23" hidden="1">#REF!</definedName>
    <definedName name="bchart24" localSheetId="12" hidden="1">#REF!</definedName>
    <definedName name="bchart24" localSheetId="30" hidden="1">#REF!</definedName>
    <definedName name="bchart24" localSheetId="28" hidden="1">#REF!</definedName>
    <definedName name="bchart24" localSheetId="27" hidden="1">#REF!</definedName>
    <definedName name="bchart24" localSheetId="18" hidden="1">#REF!</definedName>
    <definedName name="bchart24" localSheetId="7" hidden="1">#REF!</definedName>
    <definedName name="bchart24" localSheetId="23" hidden="1">#REF!</definedName>
    <definedName name="bchart24" hidden="1">#REF!</definedName>
    <definedName name="bchart25" localSheetId="12" hidden="1">#REF!</definedName>
    <definedName name="bchart25" localSheetId="30" hidden="1">#REF!</definedName>
    <definedName name="bchart25" localSheetId="28" hidden="1">#REF!</definedName>
    <definedName name="bchart25" localSheetId="27" hidden="1">#REF!</definedName>
    <definedName name="bchart25" localSheetId="18" hidden="1">#REF!</definedName>
    <definedName name="bchart25" localSheetId="7" hidden="1">#REF!</definedName>
    <definedName name="bchart25" localSheetId="23" hidden="1">#REF!</definedName>
    <definedName name="bchart25" hidden="1">#REF!</definedName>
    <definedName name="bchart26" localSheetId="12" hidden="1">#REF!</definedName>
    <definedName name="bchart26" localSheetId="30" hidden="1">#REF!</definedName>
    <definedName name="bchart26" localSheetId="28" hidden="1">#REF!</definedName>
    <definedName name="bchart26" localSheetId="27" hidden="1">#REF!</definedName>
    <definedName name="bchart26" localSheetId="18" hidden="1">#REF!</definedName>
    <definedName name="bchart26" localSheetId="7" hidden="1">#REF!</definedName>
    <definedName name="bchart26" localSheetId="23" hidden="1">#REF!</definedName>
    <definedName name="bchart26" hidden="1">#REF!</definedName>
    <definedName name="bchart27" localSheetId="12" hidden="1">#REF!</definedName>
    <definedName name="bchart27" localSheetId="30" hidden="1">#REF!</definedName>
    <definedName name="bchart27" localSheetId="28" hidden="1">#REF!</definedName>
    <definedName name="bchart27" localSheetId="27" hidden="1">#REF!</definedName>
    <definedName name="bchart27" localSheetId="18" hidden="1">#REF!</definedName>
    <definedName name="bchart27" localSheetId="7" hidden="1">#REF!</definedName>
    <definedName name="bchart27" localSheetId="23" hidden="1">#REF!</definedName>
    <definedName name="bchart27" hidden="1">#REF!</definedName>
    <definedName name="bchart28" localSheetId="12" hidden="1">#REF!</definedName>
    <definedName name="bchart28" localSheetId="30" hidden="1">#REF!</definedName>
    <definedName name="bchart28" localSheetId="28" hidden="1">#REF!</definedName>
    <definedName name="bchart28" localSheetId="27" hidden="1">#REF!</definedName>
    <definedName name="bchart28" localSheetId="18" hidden="1">#REF!</definedName>
    <definedName name="bchart28" localSheetId="7" hidden="1">#REF!</definedName>
    <definedName name="bchart28" localSheetId="23" hidden="1">#REF!</definedName>
    <definedName name="bchart28" hidden="1">#REF!</definedName>
    <definedName name="bchart29" localSheetId="12" hidden="1">#REF!</definedName>
    <definedName name="bchart29" localSheetId="30" hidden="1">#REF!</definedName>
    <definedName name="bchart29" localSheetId="28" hidden="1">#REF!</definedName>
    <definedName name="bchart29" localSheetId="27" hidden="1">#REF!</definedName>
    <definedName name="bchart29" localSheetId="18" hidden="1">#REF!</definedName>
    <definedName name="bchart29" localSheetId="7" hidden="1">#REF!</definedName>
    <definedName name="bchart29" localSheetId="23" hidden="1">#REF!</definedName>
    <definedName name="bchart29" hidden="1">#REF!</definedName>
    <definedName name="bchart3" localSheetId="12" hidden="1">#REF!</definedName>
    <definedName name="bchart3" localSheetId="30" hidden="1">#REF!</definedName>
    <definedName name="bchart3" localSheetId="28" hidden="1">#REF!</definedName>
    <definedName name="bchart3" localSheetId="27" hidden="1">#REF!</definedName>
    <definedName name="bchart3" localSheetId="18" hidden="1">#REF!</definedName>
    <definedName name="bchart3" localSheetId="7" hidden="1">#REF!</definedName>
    <definedName name="bchart3" localSheetId="23" hidden="1">#REF!</definedName>
    <definedName name="bchart3" hidden="1">#REF!</definedName>
    <definedName name="bchart30" localSheetId="12" hidden="1">#REF!</definedName>
    <definedName name="bchart30" localSheetId="30" hidden="1">#REF!</definedName>
    <definedName name="bchart30" localSheetId="28" hidden="1">#REF!</definedName>
    <definedName name="bchart30" localSheetId="27" hidden="1">#REF!</definedName>
    <definedName name="bchart30" localSheetId="18" hidden="1">#REF!</definedName>
    <definedName name="bchart30" localSheetId="7" hidden="1">#REF!</definedName>
    <definedName name="bchart30" localSheetId="23" hidden="1">#REF!</definedName>
    <definedName name="bchart30" hidden="1">#REF!</definedName>
    <definedName name="bchart31" localSheetId="12" hidden="1">#REF!</definedName>
    <definedName name="bchart31" localSheetId="30" hidden="1">#REF!</definedName>
    <definedName name="bchart31" localSheetId="28" hidden="1">#REF!</definedName>
    <definedName name="bchart31" localSheetId="27" hidden="1">#REF!</definedName>
    <definedName name="bchart31" localSheetId="18" hidden="1">#REF!</definedName>
    <definedName name="bchart31" localSheetId="7" hidden="1">#REF!</definedName>
    <definedName name="bchart31" localSheetId="23" hidden="1">#REF!</definedName>
    <definedName name="bchart31" hidden="1">#REF!</definedName>
    <definedName name="bchart32" localSheetId="12" hidden="1">#REF!</definedName>
    <definedName name="bchart32" localSheetId="30" hidden="1">#REF!</definedName>
    <definedName name="bchart32" localSheetId="28" hidden="1">#REF!</definedName>
    <definedName name="bchart32" localSheetId="27" hidden="1">#REF!</definedName>
    <definedName name="bchart32" localSheetId="18" hidden="1">#REF!</definedName>
    <definedName name="bchart32" localSheetId="7" hidden="1">#REF!</definedName>
    <definedName name="bchart32" localSheetId="23" hidden="1">#REF!</definedName>
    <definedName name="bchart32" hidden="1">#REF!</definedName>
    <definedName name="bchart4" localSheetId="12" hidden="1">#REF!</definedName>
    <definedName name="bchart4" localSheetId="30" hidden="1">#REF!</definedName>
    <definedName name="bchart4" localSheetId="28" hidden="1">#REF!</definedName>
    <definedName name="bchart4" localSheetId="27" hidden="1">#REF!</definedName>
    <definedName name="bchart4" localSheetId="18" hidden="1">#REF!</definedName>
    <definedName name="bchart4" localSheetId="7" hidden="1">#REF!</definedName>
    <definedName name="bchart4" localSheetId="23" hidden="1">#REF!</definedName>
    <definedName name="bchart4" hidden="1">#REF!</definedName>
    <definedName name="bchart5" localSheetId="12" hidden="1">#REF!</definedName>
    <definedName name="bchart5" localSheetId="30" hidden="1">#REF!</definedName>
    <definedName name="bchart5" localSheetId="28" hidden="1">#REF!</definedName>
    <definedName name="bchart5" localSheetId="27" hidden="1">#REF!</definedName>
    <definedName name="bchart5" localSheetId="18" hidden="1">#REF!</definedName>
    <definedName name="bchart5" localSheetId="7" hidden="1">#REF!</definedName>
    <definedName name="bchart5" localSheetId="23" hidden="1">#REF!</definedName>
    <definedName name="bchart5" hidden="1">#REF!</definedName>
    <definedName name="bchart6" localSheetId="12" hidden="1">#REF!</definedName>
    <definedName name="bchart6" localSheetId="30" hidden="1">#REF!</definedName>
    <definedName name="bchart6" localSheetId="28" hidden="1">#REF!</definedName>
    <definedName name="bchart6" localSheetId="27" hidden="1">#REF!</definedName>
    <definedName name="bchart6" localSheetId="18" hidden="1">#REF!</definedName>
    <definedName name="bchart6" localSheetId="7" hidden="1">#REF!</definedName>
    <definedName name="bchart6" localSheetId="23" hidden="1">#REF!</definedName>
    <definedName name="bchart6" hidden="1">#REF!</definedName>
    <definedName name="bchart7" localSheetId="12" hidden="1">#REF!</definedName>
    <definedName name="bchart7" localSheetId="30" hidden="1">#REF!</definedName>
    <definedName name="bchart7" localSheetId="28" hidden="1">#REF!</definedName>
    <definedName name="bchart7" localSheetId="27" hidden="1">#REF!</definedName>
    <definedName name="bchart7" localSheetId="18" hidden="1">#REF!</definedName>
    <definedName name="bchart7" localSheetId="7" hidden="1">#REF!</definedName>
    <definedName name="bchart7" localSheetId="23" hidden="1">#REF!</definedName>
    <definedName name="bchart7" hidden="1">#REF!</definedName>
    <definedName name="bchart8" localSheetId="12" hidden="1">#REF!</definedName>
    <definedName name="bchart8" localSheetId="30" hidden="1">#REF!</definedName>
    <definedName name="bchart8" localSheetId="28" hidden="1">#REF!</definedName>
    <definedName name="bchart8" localSheetId="27" hidden="1">#REF!</definedName>
    <definedName name="bchart8" localSheetId="18" hidden="1">#REF!</definedName>
    <definedName name="bchart8" localSheetId="7" hidden="1">#REF!</definedName>
    <definedName name="bchart8" localSheetId="23" hidden="1">#REF!</definedName>
    <definedName name="bchart8" hidden="1">#REF!</definedName>
    <definedName name="bchart9" localSheetId="12" hidden="1">#REF!</definedName>
    <definedName name="bchart9" localSheetId="30" hidden="1">#REF!</definedName>
    <definedName name="bchart9" localSheetId="28" hidden="1">#REF!</definedName>
    <definedName name="bchart9" localSheetId="27" hidden="1">#REF!</definedName>
    <definedName name="bchart9" localSheetId="18" hidden="1">#REF!</definedName>
    <definedName name="bchart9" localSheetId="7" hidden="1">#REF!</definedName>
    <definedName name="bchart9" localSheetId="23" hidden="1">#REF!</definedName>
    <definedName name="bchart9" hidden="1">#REF!</definedName>
    <definedName name="BD" localSheetId="12">#REF!</definedName>
    <definedName name="BD" localSheetId="30">#REF!</definedName>
    <definedName name="BD" localSheetId="28">#REF!</definedName>
    <definedName name="BD" localSheetId="27">#REF!</definedName>
    <definedName name="BD" localSheetId="18">#REF!</definedName>
    <definedName name="BD" localSheetId="7">#REF!</definedName>
    <definedName name="BD" localSheetId="23">#REF!</definedName>
    <definedName name="BD">#REF!</definedName>
    <definedName name="BDA" localSheetId="12">#REF!</definedName>
    <definedName name="BDA" localSheetId="1">#REF!</definedName>
    <definedName name="BDA" localSheetId="30">#REF!</definedName>
    <definedName name="BDA" localSheetId="28">#REF!</definedName>
    <definedName name="BDA" localSheetId="27">#REF!</definedName>
    <definedName name="BDA" localSheetId="0">#REF!</definedName>
    <definedName name="BDA" localSheetId="18">#REF!</definedName>
    <definedName name="BDA" localSheetId="7">#REF!</definedName>
    <definedName name="BDA" localSheetId="23">#REF!</definedName>
    <definedName name="BDA">#REF!</definedName>
    <definedName name="bdfjghf" localSheetId="3" hidden="1">{#N/A,#N/A,FALSE,"Plan1";#N/A,#N/A,FALSE,"Plan2"}</definedName>
    <definedName name="bdfjghf" localSheetId="33" hidden="1">{#N/A,#N/A,FALSE,"Plan1";#N/A,#N/A,FALSE,"Plan2"}</definedName>
    <definedName name="bdfjghf" localSheetId="35" hidden="1">{#N/A,#N/A,FALSE,"Plan1";#N/A,#N/A,FALSE,"Plan2"}</definedName>
    <definedName name="bdfjghf" hidden="1">{#N/A,#N/A,FALSE,"Plan1";#N/A,#N/A,FALSE,"Plan2"}</definedName>
    <definedName name="BDI" localSheetId="3">#REF!</definedName>
    <definedName name="BDI" localSheetId="12">#REF!</definedName>
    <definedName name="BDI" localSheetId="30">#REF!</definedName>
    <definedName name="BDI" localSheetId="28">#REF!</definedName>
    <definedName name="BDI" localSheetId="27">#REF!</definedName>
    <definedName name="BDI" localSheetId="18">#REF!</definedName>
    <definedName name="BDI" localSheetId="7">#REF!</definedName>
    <definedName name="BDI" localSheetId="23">#REF!</definedName>
    <definedName name="BDI">#REF!</definedName>
    <definedName name="bdzbfbdr" localSheetId="3" hidden="1">{#N/A,#N/A,FALSE,"Plan1";#N/A,#N/A,FALSE,"Plan2"}</definedName>
    <definedName name="bdzbfbdr" localSheetId="33" hidden="1">{#N/A,#N/A,FALSE,"Plan1";#N/A,#N/A,FALSE,"Plan2"}</definedName>
    <definedName name="bdzbfbdr" localSheetId="35" hidden="1">{#N/A,#N/A,FALSE,"Plan1";#N/A,#N/A,FALSE,"Plan2"}</definedName>
    <definedName name="bdzbfbdr" hidden="1">{#N/A,#N/A,FALSE,"Plan1";#N/A,#N/A,FALSE,"Plan2"}</definedName>
    <definedName name="be" localSheetId="12">#REF!</definedName>
    <definedName name="be" localSheetId="30">#REF!</definedName>
    <definedName name="be" localSheetId="28">#REF!</definedName>
    <definedName name="be" localSheetId="27">#REF!</definedName>
    <definedName name="be" localSheetId="18">#REF!</definedName>
    <definedName name="be" localSheetId="7">#REF!</definedName>
    <definedName name="be" localSheetId="23">#REF!</definedName>
    <definedName name="be">#REF!</definedName>
    <definedName name="bebqt" localSheetId="12">#REF!</definedName>
    <definedName name="bebqt" localSheetId="30">#REF!</definedName>
    <definedName name="bebqt" localSheetId="28">#REF!</definedName>
    <definedName name="bebqt" localSheetId="27">#REF!</definedName>
    <definedName name="bebqt" localSheetId="18">#REF!</definedName>
    <definedName name="bebqt" localSheetId="7">#REF!</definedName>
    <definedName name="bebqt" localSheetId="23">#REF!</definedName>
    <definedName name="bebqt">#REF!</definedName>
    <definedName name="bela_cdi" localSheetId="12">#REF!</definedName>
    <definedName name="bela_cdi" localSheetId="30">#REF!</definedName>
    <definedName name="bela_cdi" localSheetId="28">#REF!</definedName>
    <definedName name="bela_cdi" localSheetId="27">#REF!</definedName>
    <definedName name="bela_cdi" localSheetId="18">#REF!</definedName>
    <definedName name="bela_cdi" localSheetId="7">#REF!</definedName>
    <definedName name="bela_cdi" localSheetId="23">#REF!</definedName>
    <definedName name="bela_cdi">#REF!</definedName>
    <definedName name="bela_hist" localSheetId="12">#REF!</definedName>
    <definedName name="bela_hist" localSheetId="30">#REF!</definedName>
    <definedName name="bela_hist" localSheetId="28">#REF!</definedName>
    <definedName name="bela_hist" localSheetId="27">#REF!</definedName>
    <definedName name="bela_hist" localSheetId="18">#REF!</definedName>
    <definedName name="bela_hist" localSheetId="7">#REF!</definedName>
    <definedName name="bela_hist" localSheetId="23">#REF!</definedName>
    <definedName name="bela_hist">#REF!</definedName>
    <definedName name="bela_uss" localSheetId="12">#REF!</definedName>
    <definedName name="bela_uss" localSheetId="30">#REF!</definedName>
    <definedName name="bela_uss" localSheetId="28">#REF!</definedName>
    <definedName name="bela_uss" localSheetId="27">#REF!</definedName>
    <definedName name="bela_uss" localSheetId="18">#REF!</definedName>
    <definedName name="bela_uss" localSheetId="7">#REF!</definedName>
    <definedName name="bela_uss" localSheetId="23">#REF!</definedName>
    <definedName name="bela_uss">#REF!</definedName>
    <definedName name="bg" localSheetId="12" hidden="1">#REF!</definedName>
    <definedName name="bg" localSheetId="30" hidden="1">#REF!</definedName>
    <definedName name="bg" localSheetId="28" hidden="1">#REF!</definedName>
    <definedName name="bg" localSheetId="27" hidden="1">#REF!</definedName>
    <definedName name="bg" localSheetId="18" hidden="1">#REF!</definedName>
    <definedName name="bg" localSheetId="7" hidden="1">#REF!</definedName>
    <definedName name="bg" localSheetId="23" hidden="1">#REF!</definedName>
    <definedName name="bg" hidden="1">#REF!</definedName>
    <definedName name="BGG" localSheetId="3" hidden="1">{#N/A,#N/A,FALSE,"Plan1";#N/A,#N/A,FALSE,"Plan2"}</definedName>
    <definedName name="BGG" localSheetId="33" hidden="1">{#N/A,#N/A,FALSE,"Plan1";#N/A,#N/A,FALSE,"Plan2"}</definedName>
    <definedName name="BGG" localSheetId="35" hidden="1">{#N/A,#N/A,FALSE,"Plan1";#N/A,#N/A,FALSE,"Plan2"}</definedName>
    <definedName name="BGG" hidden="1">{#N/A,#N/A,FALSE,"Plan1";#N/A,#N/A,FALSE,"Plan2"}</definedName>
    <definedName name="bhjgfhfh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3" hidden="1">{#N/A,#N/A,FALSE,"Plan1";#N/A,#N/A,FALSE,"Plan2"}</definedName>
    <definedName name="BJSDKHFE" localSheetId="33" hidden="1">{#N/A,#N/A,FALSE,"Plan1";#N/A,#N/A,FALSE,"Plan2"}</definedName>
    <definedName name="BJSDKHFE" localSheetId="35" hidden="1">{#N/A,#N/A,FALSE,"Plan1";#N/A,#N/A,FALSE,"Plan2"}</definedName>
    <definedName name="BJSDKHFE" hidden="1">{#N/A,#N/A,FALSE,"Plan1";#N/A,#N/A,FALSE,"Plan2"}</definedName>
    <definedName name="bloco" localSheetId="12">#REF!</definedName>
    <definedName name="bloco" localSheetId="30">#REF!</definedName>
    <definedName name="bloco" localSheetId="28">#REF!</definedName>
    <definedName name="bloco" localSheetId="27">#REF!</definedName>
    <definedName name="bloco" localSheetId="18">#REF!</definedName>
    <definedName name="bloco" localSheetId="7">#REF!</definedName>
    <definedName name="bloco" localSheetId="23">#REF!</definedName>
    <definedName name="bloco">#REF!</definedName>
    <definedName name="BLPH1" localSheetId="3" hidden="1">#REF!</definedName>
    <definedName name="BLPH1" localSheetId="12" hidden="1">#REF!</definedName>
    <definedName name="BLPH1" localSheetId="30" hidden="1">#REF!</definedName>
    <definedName name="BLPH1" localSheetId="28" hidden="1">#REF!</definedName>
    <definedName name="BLPH1" localSheetId="27" hidden="1">#REF!</definedName>
    <definedName name="BLPH1" localSheetId="18" hidden="1">#REF!</definedName>
    <definedName name="BLPH1" localSheetId="7" hidden="1">#REF!</definedName>
    <definedName name="BLPH1" localSheetId="23" hidden="1">#REF!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localSheetId="12" hidden="1">#REF!</definedName>
    <definedName name="BLPH107" localSheetId="30" hidden="1">#REF!</definedName>
    <definedName name="BLPH107" localSheetId="28" hidden="1">#REF!</definedName>
    <definedName name="BLPH107" localSheetId="27" hidden="1">#REF!</definedName>
    <definedName name="BLPH107" localSheetId="18" hidden="1">#REF!</definedName>
    <definedName name="BLPH107" localSheetId="7" hidden="1">#REF!</definedName>
    <definedName name="BLPH107" localSheetId="23" hidden="1">#REF!</definedName>
    <definedName name="BLPH107" hidden="1">#REF!</definedName>
    <definedName name="BLPH2" localSheetId="3" hidden="1">#REF!</definedName>
    <definedName name="BLPH2" localSheetId="12" hidden="1">#REF!</definedName>
    <definedName name="BLPH2" localSheetId="30" hidden="1">#REF!</definedName>
    <definedName name="BLPH2" localSheetId="28" hidden="1">#REF!</definedName>
    <definedName name="BLPH2" localSheetId="27" hidden="1">#REF!</definedName>
    <definedName name="BLPH2" localSheetId="18" hidden="1">#REF!</definedName>
    <definedName name="BLPH2" localSheetId="7" hidden="1">#REF!</definedName>
    <definedName name="BLPH2" localSheetId="23" hidden="1">#REF!</definedName>
    <definedName name="BLPH2" hidden="1">#REF!</definedName>
    <definedName name="BLPH3" localSheetId="12" hidden="1">#REF!</definedName>
    <definedName name="BLPH3" localSheetId="30" hidden="1">#REF!</definedName>
    <definedName name="BLPH3" localSheetId="28" hidden="1">#REF!</definedName>
    <definedName name="BLPH3" localSheetId="27" hidden="1">#REF!</definedName>
    <definedName name="BLPH3" localSheetId="18" hidden="1">#REF!</definedName>
    <definedName name="BLPH3" localSheetId="7" hidden="1">#REF!</definedName>
    <definedName name="BLPH3" localSheetId="23" hidden="1">#REF!</definedName>
    <definedName name="BLPH3" hidden="1">#REF!</definedName>
    <definedName name="BLPH4" localSheetId="12" hidden="1">#REF!</definedName>
    <definedName name="BLPH4" localSheetId="30" hidden="1">#REF!</definedName>
    <definedName name="BLPH4" localSheetId="28" hidden="1">#REF!</definedName>
    <definedName name="BLPH4" localSheetId="27" hidden="1">#REF!</definedName>
    <definedName name="BLPH4" localSheetId="18" hidden="1">#REF!</definedName>
    <definedName name="BLPH4" localSheetId="7" hidden="1">#REF!</definedName>
    <definedName name="BLPH4" localSheetId="23" hidden="1">#REF!</definedName>
    <definedName name="BLPH4" hidden="1">#REF!</definedName>
    <definedName name="BLPH5" localSheetId="12" hidden="1">#REF!</definedName>
    <definedName name="BLPH5" localSheetId="30" hidden="1">#REF!</definedName>
    <definedName name="BLPH5" localSheetId="28" hidden="1">#REF!</definedName>
    <definedName name="BLPH5" localSheetId="27" hidden="1">#REF!</definedName>
    <definedName name="BLPH5" localSheetId="18" hidden="1">#REF!</definedName>
    <definedName name="BLPH5" localSheetId="7" hidden="1">#REF!</definedName>
    <definedName name="BLPH5" localSheetId="23" hidden="1">#REF!</definedName>
    <definedName name="BLPH5" hidden="1">#REF!</definedName>
    <definedName name="BLPH6" localSheetId="12" hidden="1">#REF!</definedName>
    <definedName name="BLPH6" localSheetId="30" hidden="1">#REF!</definedName>
    <definedName name="BLPH6" localSheetId="28" hidden="1">#REF!</definedName>
    <definedName name="BLPH6" localSheetId="27" hidden="1">#REF!</definedName>
    <definedName name="BLPH6" localSheetId="18" hidden="1">#REF!</definedName>
    <definedName name="BLPH6" localSheetId="7" hidden="1">#REF!</definedName>
    <definedName name="BLPH6" localSheetId="23" hidden="1">#REF!</definedName>
    <definedName name="BLPH6" hidden="1">#REF!</definedName>
    <definedName name="BLPH7" localSheetId="12" hidden="1">#REF!</definedName>
    <definedName name="BLPH7" localSheetId="30" hidden="1">#REF!</definedName>
    <definedName name="BLPH7" localSheetId="28" hidden="1">#REF!</definedName>
    <definedName name="BLPH7" localSheetId="27" hidden="1">#REF!</definedName>
    <definedName name="BLPH7" localSheetId="18" hidden="1">#REF!</definedName>
    <definedName name="BLPH7" localSheetId="7" hidden="1">#REF!</definedName>
    <definedName name="BLPH7" localSheetId="23" hidden="1">#REF!</definedName>
    <definedName name="BLPH7" hidden="1">#REF!</definedName>
    <definedName name="BLPH8" localSheetId="12" hidden="1">#REF!</definedName>
    <definedName name="BLPH8" localSheetId="30" hidden="1">#REF!</definedName>
    <definedName name="BLPH8" localSheetId="28" hidden="1">#REF!</definedName>
    <definedName name="BLPH8" localSheetId="27" hidden="1">#REF!</definedName>
    <definedName name="BLPH8" localSheetId="18" hidden="1">#REF!</definedName>
    <definedName name="BLPH8" localSheetId="7" hidden="1">#REF!</definedName>
    <definedName name="BLPH8" localSheetId="23" hidden="1">#REF!</definedName>
    <definedName name="BLPH8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dgghrtfde" localSheetId="3" hidden="1">{#N/A,#N/A,FALSE,"Plan1";#N/A,#N/A,FALSE,"Plan2"}</definedName>
    <definedName name="bmdgghrtfde" localSheetId="33" hidden="1">{#N/A,#N/A,FALSE,"Plan1";#N/A,#N/A,FALSE,"Plan2"}</definedName>
    <definedName name="bmdgghrtfde" localSheetId="35" hidden="1">{#N/A,#N/A,FALSE,"Plan1";#N/A,#N/A,FALSE,"Plan2"}</definedName>
    <definedName name="bmdgghrtfde" hidden="1">{#N/A,#N/A,FALSE,"Plan1";#N/A,#N/A,FALSE,"Plan2"}</definedName>
    <definedName name="bnkjhjhdfxgt" localSheetId="3" hidden="1">{#N/A,#N/A,FALSE,"Plan1";#N/A,#N/A,FALSE,"Plan2"}</definedName>
    <definedName name="bnkjhjhdfxgt" localSheetId="33" hidden="1">{#N/A,#N/A,FALSE,"Plan1";#N/A,#N/A,FALSE,"Plan2"}</definedName>
    <definedName name="bnkjhjhdfxgt" localSheetId="35" hidden="1">{#N/A,#N/A,FALSE,"Plan1";#N/A,#N/A,FALSE,"Plan2"}</definedName>
    <definedName name="bnkjhjhdfxgt" hidden="1">{#N/A,#N/A,FALSE,"Plan1";#N/A,#N/A,FALSE,"Plan2"}</definedName>
    <definedName name="BORBA2" localSheetId="12">#REF!</definedName>
    <definedName name="BORBA2" localSheetId="30">#REF!</definedName>
    <definedName name="BORBA2" localSheetId="28">#REF!</definedName>
    <definedName name="BORBA2" localSheetId="27">#REF!</definedName>
    <definedName name="BORBA2" localSheetId="18">#REF!</definedName>
    <definedName name="BORBA2" localSheetId="7">#REF!</definedName>
    <definedName name="BORBA2" localSheetId="23">#REF!</definedName>
    <definedName name="BORBA2">#REF!</definedName>
    <definedName name="BORDA1">#N/A</definedName>
    <definedName name="BuiltIn_Print_Area" localSheetId="12">#REF!</definedName>
    <definedName name="BuiltIn_Print_Area" localSheetId="30">#REF!</definedName>
    <definedName name="BuiltIn_Print_Area" localSheetId="28">#REF!</definedName>
    <definedName name="BuiltIn_Print_Area" localSheetId="27">#REF!</definedName>
    <definedName name="BuiltIn_Print_Area" localSheetId="18">#REF!</definedName>
    <definedName name="BuiltIn_Print_Area" localSheetId="7">#REF!</definedName>
    <definedName name="BuiltIn_Print_Area" localSheetId="23">#REF!</definedName>
    <definedName name="BuiltIn_Print_Area">#REF!</definedName>
    <definedName name="BuiltIn_Print_Area___0" localSheetId="12">#REF!</definedName>
    <definedName name="BuiltIn_Print_Area___0" localSheetId="30">#REF!</definedName>
    <definedName name="BuiltIn_Print_Area___0" localSheetId="28">#REF!</definedName>
    <definedName name="BuiltIn_Print_Area___0" localSheetId="27">#REF!</definedName>
    <definedName name="BuiltIn_Print_Area___0" localSheetId="18">#REF!</definedName>
    <definedName name="BuiltIn_Print_Area___0" localSheetId="7">#REF!</definedName>
    <definedName name="BuiltIn_Print_Area___0" localSheetId="23">#REF!</definedName>
    <definedName name="BuiltIn_Print_Area___0">#REF!</definedName>
    <definedName name="BuiltIn_Print_Titles" localSheetId="12">#REF!</definedName>
    <definedName name="BuiltIn_Print_Titles" localSheetId="30">#REF!</definedName>
    <definedName name="BuiltIn_Print_Titles" localSheetId="28">#REF!</definedName>
    <definedName name="BuiltIn_Print_Titles" localSheetId="27">#REF!</definedName>
    <definedName name="BuiltIn_Print_Titles" localSheetId="18">#REF!</definedName>
    <definedName name="BuiltIn_Print_Titles" localSheetId="7">#REF!</definedName>
    <definedName name="BuiltIn_Print_Titles" localSheetId="23">#REF!</definedName>
    <definedName name="BuiltIn_Print_Titles">#REF!</definedName>
    <definedName name="BuiltIn_Print_Titles___0" localSheetId="12">#REF!</definedName>
    <definedName name="BuiltIn_Print_Titles___0" localSheetId="30">#REF!</definedName>
    <definedName name="BuiltIn_Print_Titles___0" localSheetId="28">#REF!</definedName>
    <definedName name="BuiltIn_Print_Titles___0" localSheetId="27">#REF!</definedName>
    <definedName name="BuiltIn_Print_Titles___0" localSheetId="18">#REF!</definedName>
    <definedName name="BuiltIn_Print_Titles___0" localSheetId="7">#REF!</definedName>
    <definedName name="BuiltIn_Print_Titles___0" localSheetId="23">#REF!</definedName>
    <definedName name="BuiltIn_Print_Titles___0">#REF!</definedName>
    <definedName name="BV" localSheetId="12" hidden="1">#REF!</definedName>
    <definedName name="BV" localSheetId="30" hidden="1">#REF!</definedName>
    <definedName name="BV" localSheetId="28" hidden="1">#REF!</definedName>
    <definedName name="BV" localSheetId="27" hidden="1">#REF!</definedName>
    <definedName name="BV" localSheetId="18" hidden="1">#REF!</definedName>
    <definedName name="BV" localSheetId="7" hidden="1">#REF!</definedName>
    <definedName name="BV" localSheetId="23" hidden="1">#REF!</definedName>
    <definedName name="BV" hidden="1">#REF!</definedName>
    <definedName name="bxnzfmkzxbhdf" localSheetId="3" hidden="1">{#N/A,#N/A,FALSE,"Plan1";#N/A,#N/A,FALSE,"Plan2"}</definedName>
    <definedName name="bxnzfmkzxbhdf" localSheetId="33" hidden="1">{#N/A,#N/A,FALSE,"Plan1";#N/A,#N/A,FALSE,"Plan2"}</definedName>
    <definedName name="bxnzfmkzxbhdf" localSheetId="35" hidden="1">{#N/A,#N/A,FALSE,"Plan1";#N/A,#N/A,FALSE,"Plan2"}</definedName>
    <definedName name="bxnzfmkzxbhdf" hidden="1">{#N/A,#N/A,FALSE,"Plan1";#N/A,#N/A,FALSE,"Plan2"}</definedName>
    <definedName name="ca" localSheetId="3">#REF!</definedName>
    <definedName name="ca" localSheetId="12">#REF!</definedName>
    <definedName name="ca" localSheetId="30">#REF!</definedName>
    <definedName name="ca" localSheetId="28">#REF!</definedName>
    <definedName name="ca" localSheetId="27">#REF!</definedName>
    <definedName name="ca" localSheetId="18">#REF!</definedName>
    <definedName name="ca" localSheetId="7">#REF!</definedName>
    <definedName name="ca" localSheetId="23">#REF!</definedName>
    <definedName name="ca">#REF!</definedName>
    <definedName name="CAB">#N/A</definedName>
    <definedName name="CAFS">"Carlos Antonio Fernandes da Silva"</definedName>
    <definedName name="CAGR" localSheetId="12">#REF!</definedName>
    <definedName name="CAGR" localSheetId="30">#REF!</definedName>
    <definedName name="CAGR" localSheetId="28">#REF!</definedName>
    <definedName name="CAGR" localSheetId="27">#REF!</definedName>
    <definedName name="CAGR" localSheetId="18">#REF!</definedName>
    <definedName name="CAGR" localSheetId="7">#REF!</definedName>
    <definedName name="CAGR" localSheetId="23">#REF!</definedName>
    <definedName name="CAGR">#REF!</definedName>
    <definedName name="caixa" localSheetId="12">#REF!</definedName>
    <definedName name="caixa" localSheetId="30">#REF!</definedName>
    <definedName name="caixa" localSheetId="28">#REF!</definedName>
    <definedName name="caixa" localSheetId="27">#REF!</definedName>
    <definedName name="caixa" localSheetId="18">#REF!</definedName>
    <definedName name="caixa" localSheetId="7">#REF!</definedName>
    <definedName name="caixa" localSheetId="23">#REF!</definedName>
    <definedName name="caixa">#REF!</definedName>
    <definedName name="caixa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 localSheetId="12">#REF!</definedName>
    <definedName name="Cambio" localSheetId="30">#REF!</definedName>
    <definedName name="Cambio" localSheetId="28">#REF!</definedName>
    <definedName name="Cambio" localSheetId="27">#REF!</definedName>
    <definedName name="Cambio" localSheetId="18">#REF!</definedName>
    <definedName name="Cambio" localSheetId="7">#REF!</definedName>
    <definedName name="Cambio" localSheetId="23">#REF!</definedName>
    <definedName name="Cambio">#REF!</definedName>
    <definedName name="CAMP" localSheetId="12">#REF!</definedName>
    <definedName name="CAMP" localSheetId="30">#REF!</definedName>
    <definedName name="CAMP" localSheetId="28">#REF!</definedName>
    <definedName name="CAMP" localSheetId="27">#REF!</definedName>
    <definedName name="CAMP" localSheetId="18">#REF!</definedName>
    <definedName name="CAMP" localSheetId="7">#REF!</definedName>
    <definedName name="CAMP" localSheetId="23">#REF!</definedName>
    <definedName name="CAMP">#REF!</definedName>
    <definedName name="CAMPOS" localSheetId="12">#REF!</definedName>
    <definedName name="CAMPOS" localSheetId="30">#REF!</definedName>
    <definedName name="CAMPOS" localSheetId="28">#REF!</definedName>
    <definedName name="CAMPOS" localSheetId="27">#REF!</definedName>
    <definedName name="CAMPOS" localSheetId="18">#REF!</definedName>
    <definedName name="CAMPOS" localSheetId="7">#REF!</definedName>
    <definedName name="CAMPOS" localSheetId="23">#REF!</definedName>
    <definedName name="CAMPOS">#REF!</definedName>
    <definedName name="çaos\ewapo" localSheetId="3" hidden="1">{#N/A,#N/A,FALSE,"Plan1";#N/A,#N/A,FALSE,"Plan2"}</definedName>
    <definedName name="çaos\ewapo" localSheetId="33" hidden="1">{#N/A,#N/A,FALSE,"Plan1";#N/A,#N/A,FALSE,"Plan2"}</definedName>
    <definedName name="çaos\ewapo" localSheetId="35" hidden="1">{#N/A,#N/A,FALSE,"Plan1";#N/A,#N/A,FALSE,"Plan2"}</definedName>
    <definedName name="çaos\ewapo" hidden="1">{#N/A,#N/A,FALSE,"Plan1";#N/A,#N/A,FALSE,"Plan2"}</definedName>
    <definedName name="Capa" localSheetId="3">#REF!</definedName>
    <definedName name="Capa" localSheetId="12">#REF!</definedName>
    <definedName name="Capa" localSheetId="30">#REF!</definedName>
    <definedName name="Capa" localSheetId="28">#REF!</definedName>
    <definedName name="Capa" localSheetId="27">#REF!</definedName>
    <definedName name="Capa" localSheetId="18">#REF!</definedName>
    <definedName name="Capa" localSheetId="7">#REF!</definedName>
    <definedName name="Capa" localSheetId="23">#REF!</definedName>
    <definedName name="Capa">#REF!</definedName>
    <definedName name="CAPA2" localSheetId="12">#REF!</definedName>
    <definedName name="CAPA2" localSheetId="30">#REF!</definedName>
    <definedName name="CAPA2" localSheetId="28">#REF!</definedName>
    <definedName name="CAPA2" localSheetId="27">#REF!</definedName>
    <definedName name="CAPA2" localSheetId="18">#REF!</definedName>
    <definedName name="CAPA2" localSheetId="7">#REF!</definedName>
    <definedName name="CAPA2" localSheetId="23">#REF!</definedName>
    <definedName name="CAPA2">#REF!</definedName>
    <definedName name="CAPA55" localSheetId="12">#REF!</definedName>
    <definedName name="CAPA55" localSheetId="30">#REF!</definedName>
    <definedName name="CAPA55" localSheetId="28">#REF!</definedName>
    <definedName name="CAPA55" localSheetId="27">#REF!</definedName>
    <definedName name="CAPA55" localSheetId="18">#REF!</definedName>
    <definedName name="CAPA55" localSheetId="7">#REF!</definedName>
    <definedName name="CAPA55" localSheetId="23">#REF!</definedName>
    <definedName name="CAPA55">#REF!</definedName>
    <definedName name="CAPA55A" localSheetId="12">#REF!</definedName>
    <definedName name="CAPA55A" localSheetId="30">#REF!</definedName>
    <definedName name="CAPA55A" localSheetId="28">#REF!</definedName>
    <definedName name="CAPA55A" localSheetId="27">#REF!</definedName>
    <definedName name="CAPA55A" localSheetId="18">#REF!</definedName>
    <definedName name="CAPA55A" localSheetId="7">#REF!</definedName>
    <definedName name="CAPA55A" localSheetId="23">#REF!</definedName>
    <definedName name="CAPA55A">#REF!</definedName>
    <definedName name="CAPELA" localSheetId="12">#REF!</definedName>
    <definedName name="CAPELA" localSheetId="30">#REF!</definedName>
    <definedName name="CAPELA" localSheetId="28">#REF!</definedName>
    <definedName name="CAPELA" localSheetId="27">#REF!</definedName>
    <definedName name="CAPELA" localSheetId="18">#REF!</definedName>
    <definedName name="CAPELA" localSheetId="7">#REF!</definedName>
    <definedName name="CAPELA" localSheetId="23">#REF!</definedName>
    <definedName name="CAPELA">#REF!</definedName>
    <definedName name="CARLA" localSheetId="3" hidden="1">#REF!</definedName>
    <definedName name="CARLA" localSheetId="12" hidden="1">#REF!</definedName>
    <definedName name="CARLA" localSheetId="30" hidden="1">#REF!</definedName>
    <definedName name="CARLA" localSheetId="28" hidden="1">#REF!</definedName>
    <definedName name="CARLA" localSheetId="27" hidden="1">#REF!</definedName>
    <definedName name="CARLA" localSheetId="18" hidden="1">#REF!</definedName>
    <definedName name="CARLA" localSheetId="7" hidden="1">#REF!</definedName>
    <definedName name="CARLA" localSheetId="23" hidden="1">#REF!</definedName>
    <definedName name="CARLA" hidden="1">#REF!</definedName>
    <definedName name="CARLOS1" localSheetId="12">#REF!</definedName>
    <definedName name="CARLOS1" localSheetId="30">#REF!</definedName>
    <definedName name="CARLOS1" localSheetId="28">#REF!</definedName>
    <definedName name="CARLOS1" localSheetId="27">#REF!</definedName>
    <definedName name="CARLOS1" localSheetId="18">#REF!</definedName>
    <definedName name="CARLOS1" localSheetId="7">#REF!</definedName>
    <definedName name="CARLOS1" localSheetId="23">#REF!</definedName>
    <definedName name="CARLOS1">#REF!</definedName>
    <definedName name="CARTÃO4" localSheetId="12">#REF!</definedName>
    <definedName name="CARTÃO4" localSheetId="30">#REF!</definedName>
    <definedName name="CARTÃO4" localSheetId="28">#REF!</definedName>
    <definedName name="CARTÃO4" localSheetId="27">#REF!</definedName>
    <definedName name="CARTÃO4" localSheetId="18">#REF!</definedName>
    <definedName name="CARTÃO4" localSheetId="7">#REF!</definedName>
    <definedName name="CARTÃO4" localSheetId="23">#REF!</definedName>
    <definedName name="CARTÃO4">#REF!</definedName>
    <definedName name="CAT6_IP" localSheetId="33" hidden="1">{#N/A,#N/A,FALSE,"F-01"}</definedName>
    <definedName name="CAT6_IP" localSheetId="35" hidden="1">{#N/A,#N/A,FALSE,"F-01"}</definedName>
    <definedName name="CAT6_IP" hidden="1">{#N/A,#N/A,FALSE,"F-01"}</definedName>
    <definedName name="categori45" localSheetId="12">#REF!</definedName>
    <definedName name="categori45" localSheetId="30">#REF!</definedName>
    <definedName name="categori45" localSheetId="28">#REF!</definedName>
    <definedName name="categori45" localSheetId="27">#REF!</definedName>
    <definedName name="categori45" localSheetId="18">#REF!</definedName>
    <definedName name="categori45" localSheetId="7">#REF!</definedName>
    <definedName name="categori45" localSheetId="23">#REF!</definedName>
    <definedName name="categori45">#REF!</definedName>
    <definedName name="CATEGORIA1" localSheetId="12">#REF!</definedName>
    <definedName name="CATEGORIA1" localSheetId="30">#REF!</definedName>
    <definedName name="CATEGORIA1" localSheetId="28">#REF!</definedName>
    <definedName name="CATEGORIA1" localSheetId="27">#REF!</definedName>
    <definedName name="CATEGORIA1" localSheetId="18">#REF!</definedName>
    <definedName name="CATEGORIA1" localSheetId="7">#REF!</definedName>
    <definedName name="CATEGORIA1" localSheetId="23">#REF!</definedName>
    <definedName name="CATEGORIA1">#REF!</definedName>
    <definedName name="CATEGORIA10" localSheetId="12">#REF!</definedName>
    <definedName name="CATEGORIA10" localSheetId="30">#REF!</definedName>
    <definedName name="CATEGORIA10" localSheetId="28">#REF!</definedName>
    <definedName name="CATEGORIA10" localSheetId="27">#REF!</definedName>
    <definedName name="CATEGORIA10" localSheetId="18">#REF!</definedName>
    <definedName name="CATEGORIA10" localSheetId="7">#REF!</definedName>
    <definedName name="CATEGORIA10" localSheetId="23">#REF!</definedName>
    <definedName name="CATEGORIA10">#REF!</definedName>
    <definedName name="CATEGORIA11" localSheetId="12">#REF!</definedName>
    <definedName name="CATEGORIA11" localSheetId="30">#REF!</definedName>
    <definedName name="CATEGORIA11" localSheetId="28">#REF!</definedName>
    <definedName name="CATEGORIA11" localSheetId="27">#REF!</definedName>
    <definedName name="CATEGORIA11" localSheetId="18">#REF!</definedName>
    <definedName name="CATEGORIA11" localSheetId="7">#REF!</definedName>
    <definedName name="CATEGORIA11" localSheetId="23">#REF!</definedName>
    <definedName name="CATEGORIA11">#REF!</definedName>
    <definedName name="CATEGORIA12" localSheetId="12">#REF!</definedName>
    <definedName name="CATEGORIA12" localSheetId="30">#REF!</definedName>
    <definedName name="CATEGORIA12" localSheetId="28">#REF!</definedName>
    <definedName name="CATEGORIA12" localSheetId="27">#REF!</definedName>
    <definedName name="CATEGORIA12" localSheetId="18">#REF!</definedName>
    <definedName name="CATEGORIA12" localSheetId="7">#REF!</definedName>
    <definedName name="CATEGORIA12" localSheetId="23">#REF!</definedName>
    <definedName name="CATEGORIA12">#REF!</definedName>
    <definedName name="CATEGORIA13" localSheetId="12">#REF!</definedName>
    <definedName name="CATEGORIA13" localSheetId="30">#REF!</definedName>
    <definedName name="CATEGORIA13" localSheetId="28">#REF!</definedName>
    <definedName name="CATEGORIA13" localSheetId="27">#REF!</definedName>
    <definedName name="CATEGORIA13" localSheetId="18">#REF!</definedName>
    <definedName name="CATEGORIA13" localSheetId="7">#REF!</definedName>
    <definedName name="CATEGORIA13" localSheetId="23">#REF!</definedName>
    <definedName name="CATEGORIA13">#REF!</definedName>
    <definedName name="CATEGORIA14" localSheetId="12">#REF!</definedName>
    <definedName name="CATEGORIA14" localSheetId="30">#REF!</definedName>
    <definedName name="CATEGORIA14" localSheetId="28">#REF!</definedName>
    <definedName name="CATEGORIA14" localSheetId="27">#REF!</definedName>
    <definedName name="CATEGORIA14" localSheetId="18">#REF!</definedName>
    <definedName name="CATEGORIA14" localSheetId="7">#REF!</definedName>
    <definedName name="CATEGORIA14" localSheetId="23">#REF!</definedName>
    <definedName name="CATEGORIA14">#REF!</definedName>
    <definedName name="CATEGORIA15" localSheetId="12">#REF!</definedName>
    <definedName name="CATEGORIA15" localSheetId="30">#REF!</definedName>
    <definedName name="CATEGORIA15" localSheetId="28">#REF!</definedName>
    <definedName name="CATEGORIA15" localSheetId="27">#REF!</definedName>
    <definedName name="CATEGORIA15" localSheetId="18">#REF!</definedName>
    <definedName name="CATEGORIA15" localSheetId="7">#REF!</definedName>
    <definedName name="CATEGORIA15" localSheetId="23">#REF!</definedName>
    <definedName name="CATEGORIA15">#REF!</definedName>
    <definedName name="CATEGORIA16" localSheetId="12">#REF!</definedName>
    <definedName name="CATEGORIA16" localSheetId="30">#REF!</definedName>
    <definedName name="CATEGORIA16" localSheetId="28">#REF!</definedName>
    <definedName name="CATEGORIA16" localSheetId="27">#REF!</definedName>
    <definedName name="CATEGORIA16" localSheetId="18">#REF!</definedName>
    <definedName name="CATEGORIA16" localSheetId="7">#REF!</definedName>
    <definedName name="CATEGORIA16" localSheetId="23">#REF!</definedName>
    <definedName name="CATEGORIA16">#REF!</definedName>
    <definedName name="CATEGORIA17" localSheetId="12">#REF!</definedName>
    <definedName name="CATEGORIA17" localSheetId="30">#REF!</definedName>
    <definedName name="CATEGORIA17" localSheetId="28">#REF!</definedName>
    <definedName name="CATEGORIA17" localSheetId="27">#REF!</definedName>
    <definedName name="CATEGORIA17" localSheetId="18">#REF!</definedName>
    <definedName name="CATEGORIA17" localSheetId="7">#REF!</definedName>
    <definedName name="CATEGORIA17" localSheetId="23">#REF!</definedName>
    <definedName name="CATEGORIA17">#REF!</definedName>
    <definedName name="CATEGORIA18" localSheetId="12">#REF!</definedName>
    <definedName name="CATEGORIA18" localSheetId="30">#REF!</definedName>
    <definedName name="CATEGORIA18" localSheetId="28">#REF!</definedName>
    <definedName name="CATEGORIA18" localSheetId="27">#REF!</definedName>
    <definedName name="CATEGORIA18" localSheetId="18">#REF!</definedName>
    <definedName name="CATEGORIA18" localSheetId="7">#REF!</definedName>
    <definedName name="CATEGORIA18" localSheetId="23">#REF!</definedName>
    <definedName name="CATEGORIA18">#REF!</definedName>
    <definedName name="CATEGORIA19" localSheetId="12">#REF!</definedName>
    <definedName name="CATEGORIA19" localSheetId="30">#REF!</definedName>
    <definedName name="CATEGORIA19" localSheetId="28">#REF!</definedName>
    <definedName name="CATEGORIA19" localSheetId="27">#REF!</definedName>
    <definedName name="CATEGORIA19" localSheetId="18">#REF!</definedName>
    <definedName name="CATEGORIA19" localSheetId="7">#REF!</definedName>
    <definedName name="CATEGORIA19" localSheetId="23">#REF!</definedName>
    <definedName name="CATEGORIA19">#REF!</definedName>
    <definedName name="CATEGORIA2" localSheetId="12">#REF!</definedName>
    <definedName name="CATEGORIA2" localSheetId="30">#REF!</definedName>
    <definedName name="CATEGORIA2" localSheetId="28">#REF!</definedName>
    <definedName name="CATEGORIA2" localSheetId="27">#REF!</definedName>
    <definedName name="CATEGORIA2" localSheetId="18">#REF!</definedName>
    <definedName name="CATEGORIA2" localSheetId="7">#REF!</definedName>
    <definedName name="CATEGORIA2" localSheetId="23">#REF!</definedName>
    <definedName name="CATEGORIA2">#REF!</definedName>
    <definedName name="CATEGORIA20" localSheetId="12">#REF!</definedName>
    <definedName name="CATEGORIA20" localSheetId="30">#REF!</definedName>
    <definedName name="CATEGORIA20" localSheetId="28">#REF!</definedName>
    <definedName name="CATEGORIA20" localSheetId="27">#REF!</definedName>
    <definedName name="CATEGORIA20" localSheetId="18">#REF!</definedName>
    <definedName name="CATEGORIA20" localSheetId="7">#REF!</definedName>
    <definedName name="CATEGORIA20" localSheetId="23">#REF!</definedName>
    <definedName name="CATEGORIA20">#REF!</definedName>
    <definedName name="CATEGORIA21" localSheetId="12">#REF!</definedName>
    <definedName name="CATEGORIA21" localSheetId="30">#REF!</definedName>
    <definedName name="CATEGORIA21" localSheetId="28">#REF!</definedName>
    <definedName name="CATEGORIA21" localSheetId="27">#REF!</definedName>
    <definedName name="CATEGORIA21" localSheetId="18">#REF!</definedName>
    <definedName name="CATEGORIA21" localSheetId="7">#REF!</definedName>
    <definedName name="CATEGORIA21" localSheetId="23">#REF!</definedName>
    <definedName name="CATEGORIA21">#REF!</definedName>
    <definedName name="CATEGORIA22" localSheetId="12">#REF!</definedName>
    <definedName name="CATEGORIA22" localSheetId="30">#REF!</definedName>
    <definedName name="CATEGORIA22" localSheetId="28">#REF!</definedName>
    <definedName name="CATEGORIA22" localSheetId="27">#REF!</definedName>
    <definedName name="CATEGORIA22" localSheetId="18">#REF!</definedName>
    <definedName name="CATEGORIA22" localSheetId="7">#REF!</definedName>
    <definedName name="CATEGORIA22" localSheetId="23">#REF!</definedName>
    <definedName name="CATEGORIA22">#REF!</definedName>
    <definedName name="CATEGORIA3" localSheetId="12">#REF!</definedName>
    <definedName name="CATEGORIA3" localSheetId="30">#REF!</definedName>
    <definedName name="CATEGORIA3" localSheetId="28">#REF!</definedName>
    <definedName name="CATEGORIA3" localSheetId="27">#REF!</definedName>
    <definedName name="CATEGORIA3" localSheetId="18">#REF!</definedName>
    <definedName name="CATEGORIA3" localSheetId="7">#REF!</definedName>
    <definedName name="CATEGORIA3" localSheetId="23">#REF!</definedName>
    <definedName name="CATEGORIA3">#REF!</definedName>
    <definedName name="CATEGORIA4" localSheetId="12">#REF!</definedName>
    <definedName name="CATEGORIA4" localSheetId="30">#REF!</definedName>
    <definedName name="CATEGORIA4" localSheetId="28">#REF!</definedName>
    <definedName name="CATEGORIA4" localSheetId="27">#REF!</definedName>
    <definedName name="CATEGORIA4" localSheetId="18">#REF!</definedName>
    <definedName name="CATEGORIA4" localSheetId="7">#REF!</definedName>
    <definedName name="CATEGORIA4" localSheetId="23">#REF!</definedName>
    <definedName name="CATEGORIA4">#REF!</definedName>
    <definedName name="CATEGORIA5" localSheetId="12">#REF!</definedName>
    <definedName name="CATEGORIA5" localSheetId="30">#REF!</definedName>
    <definedName name="CATEGORIA5" localSheetId="28">#REF!</definedName>
    <definedName name="CATEGORIA5" localSheetId="27">#REF!</definedName>
    <definedName name="CATEGORIA5" localSheetId="18">#REF!</definedName>
    <definedName name="CATEGORIA5" localSheetId="7">#REF!</definedName>
    <definedName name="CATEGORIA5" localSheetId="23">#REF!</definedName>
    <definedName name="CATEGORIA5">#REF!</definedName>
    <definedName name="CATEGORIA6" localSheetId="12">#REF!</definedName>
    <definedName name="CATEGORIA6" localSheetId="30">#REF!</definedName>
    <definedName name="CATEGORIA6" localSheetId="28">#REF!</definedName>
    <definedName name="CATEGORIA6" localSheetId="27">#REF!</definedName>
    <definedName name="CATEGORIA6" localSheetId="18">#REF!</definedName>
    <definedName name="CATEGORIA6" localSheetId="7">#REF!</definedName>
    <definedName name="CATEGORIA6" localSheetId="23">#REF!</definedName>
    <definedName name="CATEGORIA6">#REF!</definedName>
    <definedName name="CATEGORIA7" localSheetId="12">#REF!</definedName>
    <definedName name="CATEGORIA7" localSheetId="30">#REF!</definedName>
    <definedName name="CATEGORIA7" localSheetId="28">#REF!</definedName>
    <definedName name="CATEGORIA7" localSheetId="27">#REF!</definedName>
    <definedName name="CATEGORIA7" localSheetId="18">#REF!</definedName>
    <definedName name="CATEGORIA7" localSheetId="7">#REF!</definedName>
    <definedName name="CATEGORIA7" localSheetId="23">#REF!</definedName>
    <definedName name="CATEGORIA7">#REF!</definedName>
    <definedName name="CATEGORIA8" localSheetId="12">#REF!</definedName>
    <definedName name="CATEGORIA8" localSheetId="30">#REF!</definedName>
    <definedName name="CATEGORIA8" localSheetId="28">#REF!</definedName>
    <definedName name="CATEGORIA8" localSheetId="27">#REF!</definedName>
    <definedName name="CATEGORIA8" localSheetId="18">#REF!</definedName>
    <definedName name="CATEGORIA8" localSheetId="7">#REF!</definedName>
    <definedName name="CATEGORIA8" localSheetId="23">#REF!</definedName>
    <definedName name="CATEGORIA8">#REF!</definedName>
    <definedName name="CATEGORIA9" localSheetId="12">#REF!</definedName>
    <definedName name="CATEGORIA9" localSheetId="30">#REF!</definedName>
    <definedName name="CATEGORIA9" localSheetId="28">#REF!</definedName>
    <definedName name="CATEGORIA9" localSheetId="27">#REF!</definedName>
    <definedName name="CATEGORIA9" localSheetId="18">#REF!</definedName>
    <definedName name="CATEGORIA9" localSheetId="7">#REF!</definedName>
    <definedName name="CATEGORIA9" localSheetId="23">#REF!</definedName>
    <definedName name="CATEGORIA9">#REF!</definedName>
    <definedName name="CATORZE" localSheetId="12">#REF!</definedName>
    <definedName name="CATORZE" localSheetId="30">#REF!</definedName>
    <definedName name="CATORZE" localSheetId="28">#REF!</definedName>
    <definedName name="CATORZE" localSheetId="27">#REF!</definedName>
    <definedName name="CATORZE" localSheetId="21">#REF!</definedName>
    <definedName name="CATORZE" localSheetId="18">#REF!</definedName>
    <definedName name="CATORZE" localSheetId="7">#REF!</definedName>
    <definedName name="CATORZE" localSheetId="23">#REF!</definedName>
    <definedName name="CATORZE">#REF!</definedName>
    <definedName name="CAUX2" localSheetId="12">OFFSET(#REF!,0,0,COUNTA(#REF!)+1,1)</definedName>
    <definedName name="CAUX2" localSheetId="30">OFFSET(#REF!,0,0,COUNTA(#REF!)+1,1)</definedName>
    <definedName name="CAUX2" localSheetId="28">OFFSET(#REF!,0,0,COUNTA(#REF!)+1,1)</definedName>
    <definedName name="CAUX2" localSheetId="27">OFFSET(#REF!,0,0,COUNTA(#REF!)+1,1)</definedName>
    <definedName name="CAUX2" localSheetId="18">OFFSET(#REF!,0,0,COUNTA(#REF!)+1,1)</definedName>
    <definedName name="CAUX2" localSheetId="7">OFFSET(#REF!,0,0,COUNTA(#REF!)+1,1)</definedName>
    <definedName name="CAUX2" localSheetId="23">OFFSET(#REF!,0,0,COUNTA(#REF!)+1,1)</definedName>
    <definedName name="CAUX2">OFFSET(#REF!,0,0,COUNTA(#REF!)+1,1)</definedName>
    <definedName name="CAUX3" localSheetId="12">OFFSET(#REF!,0,0,COUNTA(#REF!)+1,1)</definedName>
    <definedName name="CAUX3" localSheetId="30">OFFSET(#REF!,0,0,COUNTA(#REF!)+1,1)</definedName>
    <definedName name="CAUX3" localSheetId="28">OFFSET(#REF!,0,0,COUNTA(#REF!)+1,1)</definedName>
    <definedName name="CAUX3" localSheetId="27">OFFSET(#REF!,0,0,COUNTA(#REF!)+1,1)</definedName>
    <definedName name="CAUX3" localSheetId="18">OFFSET(#REF!,0,0,COUNTA(#REF!)+1,1)</definedName>
    <definedName name="CAUX3" localSheetId="7">OFFSET(#REF!,0,0,COUNTA(#REF!)+1,1)</definedName>
    <definedName name="CAUX3" localSheetId="23">OFFSET(#REF!,0,0,COUNTA(#REF!)+1,1)</definedName>
    <definedName name="CAUX3">OFFSET(#REF!,0,0,COUNTA(#REF!)+1,1)</definedName>
    <definedName name="CCC" localSheetId="12">#REF!</definedName>
    <definedName name="CCC" localSheetId="30">#REF!</definedName>
    <definedName name="CCC" localSheetId="28">#REF!</definedName>
    <definedName name="CCC" localSheetId="27">#REF!</definedName>
    <definedName name="CCC" localSheetId="18">#REF!</definedName>
    <definedName name="CCC" localSheetId="7">#REF!</definedName>
    <definedName name="CCC" localSheetId="23">#REF!</definedName>
    <definedName name="CCC">#REF!</definedName>
    <definedName name="ççç" localSheetId="3" hidden="1">{#N/A,#N/A,FALSE,"Plan1";#N/A,#N/A,FALSE,"Plan2"}</definedName>
    <definedName name="ççç" localSheetId="33" hidden="1">{#N/A,#N/A,FALSE,"Plan1";#N/A,#N/A,FALSE,"Plan2"}</definedName>
    <definedName name="ççç" localSheetId="35" hidden="1">{#N/A,#N/A,FALSE,"Plan1";#N/A,#N/A,FALSE,"Plan2"}</definedName>
    <definedName name="ççç" hidden="1">{#N/A,#N/A,FALSE,"Plan1";#N/A,#N/A,FALSE,"Plan2"}</definedName>
    <definedName name="cccc" localSheetId="3" hidden="1">{#N/A,#N/A,FALSE,"Plan1";#N/A,#N/A,FALSE,"Plan2"}</definedName>
    <definedName name="cccc" localSheetId="33" hidden="1">{#N/A,#N/A,FALSE,"Plan1";#N/A,#N/A,FALSE,"Plan2"}</definedName>
    <definedName name="cccc" localSheetId="35" hidden="1">{#N/A,#N/A,FALSE,"Plan1";#N/A,#N/A,FALSE,"Plan2"}</definedName>
    <definedName name="cccc" hidden="1">{#N/A,#N/A,FALSE,"Plan1";#N/A,#N/A,FALSE,"Plan2"}</definedName>
    <definedName name="ççççççç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33" hidden="1">{"HW",#N/A,FALSE,"1998"}</definedName>
    <definedName name="cccccccccccccccc" localSheetId="35" hidden="1">{"HW",#N/A,FALSE,"1998"}</definedName>
    <definedName name="cccccccccccccccc" hidden="1">{"HW",#N/A,FALSE,"1998"}</definedName>
    <definedName name="cchart1" localSheetId="3" hidden="1">#REF!</definedName>
    <definedName name="cchart1" localSheetId="12" hidden="1">#REF!</definedName>
    <definedName name="cchart1" localSheetId="30" hidden="1">#REF!</definedName>
    <definedName name="cchart1" localSheetId="28" hidden="1">#REF!</definedName>
    <definedName name="cchart1" localSheetId="27" hidden="1">#REF!</definedName>
    <definedName name="cchart1" localSheetId="18" hidden="1">#REF!</definedName>
    <definedName name="cchart1" localSheetId="7" hidden="1">#REF!</definedName>
    <definedName name="cchart1" localSheetId="23" hidden="1">#REF!</definedName>
    <definedName name="cchart1" hidden="1">#REF!</definedName>
    <definedName name="cchart10" localSheetId="12" hidden="1">#REF!</definedName>
    <definedName name="cchart10" localSheetId="30" hidden="1">#REF!</definedName>
    <definedName name="cchart10" localSheetId="28" hidden="1">#REF!</definedName>
    <definedName name="cchart10" localSheetId="27" hidden="1">#REF!</definedName>
    <definedName name="cchart10" localSheetId="18" hidden="1">#REF!</definedName>
    <definedName name="cchart10" localSheetId="7" hidden="1">#REF!</definedName>
    <definedName name="cchart10" localSheetId="23" hidden="1">#REF!</definedName>
    <definedName name="cchart10" hidden="1">#REF!</definedName>
    <definedName name="cchart11" localSheetId="12" hidden="1">#REF!</definedName>
    <definedName name="cchart11" localSheetId="30" hidden="1">#REF!</definedName>
    <definedName name="cchart11" localSheetId="28" hidden="1">#REF!</definedName>
    <definedName name="cchart11" localSheetId="27" hidden="1">#REF!</definedName>
    <definedName name="cchart11" localSheetId="18" hidden="1">#REF!</definedName>
    <definedName name="cchart11" localSheetId="7" hidden="1">#REF!</definedName>
    <definedName name="cchart11" localSheetId="23" hidden="1">#REF!</definedName>
    <definedName name="cchart11" hidden="1">#REF!</definedName>
    <definedName name="cchart12" localSheetId="12" hidden="1">#REF!</definedName>
    <definedName name="cchart12" localSheetId="30" hidden="1">#REF!</definedName>
    <definedName name="cchart12" localSheetId="28" hidden="1">#REF!</definedName>
    <definedName name="cchart12" localSheetId="27" hidden="1">#REF!</definedName>
    <definedName name="cchart12" localSheetId="18" hidden="1">#REF!</definedName>
    <definedName name="cchart12" localSheetId="7" hidden="1">#REF!</definedName>
    <definedName name="cchart12" localSheetId="23" hidden="1">#REF!</definedName>
    <definedName name="cchart12" hidden="1">#REF!</definedName>
    <definedName name="cchart13" localSheetId="12" hidden="1">#REF!</definedName>
    <definedName name="cchart13" localSheetId="30" hidden="1">#REF!</definedName>
    <definedName name="cchart13" localSheetId="28" hidden="1">#REF!</definedName>
    <definedName name="cchart13" localSheetId="27" hidden="1">#REF!</definedName>
    <definedName name="cchart13" localSheetId="18" hidden="1">#REF!</definedName>
    <definedName name="cchart13" localSheetId="7" hidden="1">#REF!</definedName>
    <definedName name="cchart13" localSheetId="23" hidden="1">#REF!</definedName>
    <definedName name="cchart13" hidden="1">#REF!</definedName>
    <definedName name="cchart14" localSheetId="12" hidden="1">#REF!</definedName>
    <definedName name="cchart14" localSheetId="30" hidden="1">#REF!</definedName>
    <definedName name="cchart14" localSheetId="28" hidden="1">#REF!</definedName>
    <definedName name="cchart14" localSheetId="27" hidden="1">#REF!</definedName>
    <definedName name="cchart14" localSheetId="18" hidden="1">#REF!</definedName>
    <definedName name="cchart14" localSheetId="7" hidden="1">#REF!</definedName>
    <definedName name="cchart14" localSheetId="23" hidden="1">#REF!</definedName>
    <definedName name="cchart14" hidden="1">#REF!</definedName>
    <definedName name="cchart15" localSheetId="12" hidden="1">#REF!</definedName>
    <definedName name="cchart15" localSheetId="30" hidden="1">#REF!</definedName>
    <definedName name="cchart15" localSheetId="28" hidden="1">#REF!</definedName>
    <definedName name="cchart15" localSheetId="27" hidden="1">#REF!</definedName>
    <definedName name="cchart15" localSheetId="18" hidden="1">#REF!</definedName>
    <definedName name="cchart15" localSheetId="7" hidden="1">#REF!</definedName>
    <definedName name="cchart15" localSheetId="23" hidden="1">#REF!</definedName>
    <definedName name="cchart15" hidden="1">#REF!</definedName>
    <definedName name="cchart16" localSheetId="12" hidden="1">#REF!</definedName>
    <definedName name="cchart16" localSheetId="30" hidden="1">#REF!</definedName>
    <definedName name="cchart16" localSheetId="28" hidden="1">#REF!</definedName>
    <definedName name="cchart16" localSheetId="27" hidden="1">#REF!</definedName>
    <definedName name="cchart16" localSheetId="18" hidden="1">#REF!</definedName>
    <definedName name="cchart16" localSheetId="7" hidden="1">#REF!</definedName>
    <definedName name="cchart16" localSheetId="23" hidden="1">#REF!</definedName>
    <definedName name="cchart16" hidden="1">#REF!</definedName>
    <definedName name="cchart17" localSheetId="12" hidden="1">#REF!</definedName>
    <definedName name="cchart17" localSheetId="30" hidden="1">#REF!</definedName>
    <definedName name="cchart17" localSheetId="28" hidden="1">#REF!</definedName>
    <definedName name="cchart17" localSheetId="27" hidden="1">#REF!</definedName>
    <definedName name="cchart17" localSheetId="18" hidden="1">#REF!</definedName>
    <definedName name="cchart17" localSheetId="7" hidden="1">#REF!</definedName>
    <definedName name="cchart17" localSheetId="23" hidden="1">#REF!</definedName>
    <definedName name="cchart17" hidden="1">#REF!</definedName>
    <definedName name="cchart18" localSheetId="12" hidden="1">#REF!</definedName>
    <definedName name="cchart18" localSheetId="30" hidden="1">#REF!</definedName>
    <definedName name="cchart18" localSheetId="28" hidden="1">#REF!</definedName>
    <definedName name="cchart18" localSheetId="27" hidden="1">#REF!</definedName>
    <definedName name="cchart18" localSheetId="18" hidden="1">#REF!</definedName>
    <definedName name="cchart18" localSheetId="7" hidden="1">#REF!</definedName>
    <definedName name="cchart18" localSheetId="23" hidden="1">#REF!</definedName>
    <definedName name="cchart18" hidden="1">#REF!</definedName>
    <definedName name="cchart19" localSheetId="12" hidden="1">#REF!</definedName>
    <definedName name="cchart19" localSheetId="30" hidden="1">#REF!</definedName>
    <definedName name="cchart19" localSheetId="28" hidden="1">#REF!</definedName>
    <definedName name="cchart19" localSheetId="27" hidden="1">#REF!</definedName>
    <definedName name="cchart19" localSheetId="18" hidden="1">#REF!</definedName>
    <definedName name="cchart19" localSheetId="7" hidden="1">#REF!</definedName>
    <definedName name="cchart19" localSheetId="23" hidden="1">#REF!</definedName>
    <definedName name="cchart19" hidden="1">#REF!</definedName>
    <definedName name="cchart2" localSheetId="12" hidden="1">#REF!</definedName>
    <definedName name="cchart2" localSheetId="30" hidden="1">#REF!</definedName>
    <definedName name="cchart2" localSheetId="28" hidden="1">#REF!</definedName>
    <definedName name="cchart2" localSheetId="27" hidden="1">#REF!</definedName>
    <definedName name="cchart2" localSheetId="18" hidden="1">#REF!</definedName>
    <definedName name="cchart2" localSheetId="7" hidden="1">#REF!</definedName>
    <definedName name="cchart2" localSheetId="23" hidden="1">#REF!</definedName>
    <definedName name="cchart2" hidden="1">#REF!</definedName>
    <definedName name="cchart20" localSheetId="12" hidden="1">#REF!</definedName>
    <definedName name="cchart20" localSheetId="30" hidden="1">#REF!</definedName>
    <definedName name="cchart20" localSheetId="28" hidden="1">#REF!</definedName>
    <definedName name="cchart20" localSheetId="27" hidden="1">#REF!</definedName>
    <definedName name="cchart20" localSheetId="18" hidden="1">#REF!</definedName>
    <definedName name="cchart20" localSheetId="7" hidden="1">#REF!</definedName>
    <definedName name="cchart20" localSheetId="23" hidden="1">#REF!</definedName>
    <definedName name="cchart20" hidden="1">#REF!</definedName>
    <definedName name="cchart21" localSheetId="12" hidden="1">#REF!</definedName>
    <definedName name="cchart21" localSheetId="30" hidden="1">#REF!</definedName>
    <definedName name="cchart21" localSheetId="28" hidden="1">#REF!</definedName>
    <definedName name="cchart21" localSheetId="27" hidden="1">#REF!</definedName>
    <definedName name="cchart21" localSheetId="18" hidden="1">#REF!</definedName>
    <definedName name="cchart21" localSheetId="7" hidden="1">#REF!</definedName>
    <definedName name="cchart21" localSheetId="23" hidden="1">#REF!</definedName>
    <definedName name="cchart21" hidden="1">#REF!</definedName>
    <definedName name="cchart22" localSheetId="12" hidden="1">#REF!</definedName>
    <definedName name="cchart22" localSheetId="30" hidden="1">#REF!</definedName>
    <definedName name="cchart22" localSheetId="28" hidden="1">#REF!</definedName>
    <definedName name="cchart22" localSheetId="27" hidden="1">#REF!</definedName>
    <definedName name="cchart22" localSheetId="18" hidden="1">#REF!</definedName>
    <definedName name="cchart22" localSheetId="7" hidden="1">#REF!</definedName>
    <definedName name="cchart22" localSheetId="23" hidden="1">#REF!</definedName>
    <definedName name="cchart22" hidden="1">#REF!</definedName>
    <definedName name="cchart23" localSheetId="12" hidden="1">#REF!</definedName>
    <definedName name="cchart23" localSheetId="30" hidden="1">#REF!</definedName>
    <definedName name="cchart23" localSheetId="28" hidden="1">#REF!</definedName>
    <definedName name="cchart23" localSheetId="27" hidden="1">#REF!</definedName>
    <definedName name="cchart23" localSheetId="18" hidden="1">#REF!</definedName>
    <definedName name="cchart23" localSheetId="7" hidden="1">#REF!</definedName>
    <definedName name="cchart23" localSheetId="23" hidden="1">#REF!</definedName>
    <definedName name="cchart23" hidden="1">#REF!</definedName>
    <definedName name="cchart24" localSheetId="12" hidden="1">#REF!</definedName>
    <definedName name="cchart24" localSheetId="30" hidden="1">#REF!</definedName>
    <definedName name="cchart24" localSheetId="28" hidden="1">#REF!</definedName>
    <definedName name="cchart24" localSheetId="27" hidden="1">#REF!</definedName>
    <definedName name="cchart24" localSheetId="18" hidden="1">#REF!</definedName>
    <definedName name="cchart24" localSheetId="7" hidden="1">#REF!</definedName>
    <definedName name="cchart24" localSheetId="23" hidden="1">#REF!</definedName>
    <definedName name="cchart24" hidden="1">#REF!</definedName>
    <definedName name="cchart25" localSheetId="12" hidden="1">#REF!</definedName>
    <definedName name="cchart25" localSheetId="30" hidden="1">#REF!</definedName>
    <definedName name="cchart25" localSheetId="28" hidden="1">#REF!</definedName>
    <definedName name="cchart25" localSheetId="27" hidden="1">#REF!</definedName>
    <definedName name="cchart25" localSheetId="18" hidden="1">#REF!</definedName>
    <definedName name="cchart25" localSheetId="7" hidden="1">#REF!</definedName>
    <definedName name="cchart25" localSheetId="23" hidden="1">#REF!</definedName>
    <definedName name="cchart25" hidden="1">#REF!</definedName>
    <definedName name="cchart26" localSheetId="12" hidden="1">#REF!</definedName>
    <definedName name="cchart26" localSheetId="30" hidden="1">#REF!</definedName>
    <definedName name="cchart26" localSheetId="28" hidden="1">#REF!</definedName>
    <definedName name="cchart26" localSheetId="27" hidden="1">#REF!</definedName>
    <definedName name="cchart26" localSheetId="18" hidden="1">#REF!</definedName>
    <definedName name="cchart26" localSheetId="7" hidden="1">#REF!</definedName>
    <definedName name="cchart26" localSheetId="23" hidden="1">#REF!</definedName>
    <definedName name="cchart26" hidden="1">#REF!</definedName>
    <definedName name="cchart27" localSheetId="12" hidden="1">#REF!</definedName>
    <definedName name="cchart27" localSheetId="30" hidden="1">#REF!</definedName>
    <definedName name="cchart27" localSheetId="28" hidden="1">#REF!</definedName>
    <definedName name="cchart27" localSheetId="27" hidden="1">#REF!</definedName>
    <definedName name="cchart27" localSheetId="18" hidden="1">#REF!</definedName>
    <definedName name="cchart27" localSheetId="7" hidden="1">#REF!</definedName>
    <definedName name="cchart27" localSheetId="23" hidden="1">#REF!</definedName>
    <definedName name="cchart27" hidden="1">#REF!</definedName>
    <definedName name="cchart28" localSheetId="12" hidden="1">#REF!</definedName>
    <definedName name="cchart28" localSheetId="30" hidden="1">#REF!</definedName>
    <definedName name="cchart28" localSheetId="28" hidden="1">#REF!</definedName>
    <definedName name="cchart28" localSheetId="27" hidden="1">#REF!</definedName>
    <definedName name="cchart28" localSheetId="18" hidden="1">#REF!</definedName>
    <definedName name="cchart28" localSheetId="7" hidden="1">#REF!</definedName>
    <definedName name="cchart28" localSheetId="23" hidden="1">#REF!</definedName>
    <definedName name="cchart28" hidden="1">#REF!</definedName>
    <definedName name="cchart29" localSheetId="12" hidden="1">#REF!</definedName>
    <definedName name="cchart29" localSheetId="30" hidden="1">#REF!</definedName>
    <definedName name="cchart29" localSheetId="28" hidden="1">#REF!</definedName>
    <definedName name="cchart29" localSheetId="27" hidden="1">#REF!</definedName>
    <definedName name="cchart29" localSheetId="18" hidden="1">#REF!</definedName>
    <definedName name="cchart29" localSheetId="7" hidden="1">#REF!</definedName>
    <definedName name="cchart29" localSheetId="23" hidden="1">#REF!</definedName>
    <definedName name="cchart29" hidden="1">#REF!</definedName>
    <definedName name="cchart3" localSheetId="12" hidden="1">#REF!</definedName>
    <definedName name="cchart3" localSheetId="30" hidden="1">#REF!</definedName>
    <definedName name="cchart3" localSheetId="28" hidden="1">#REF!</definedName>
    <definedName name="cchart3" localSheetId="27" hidden="1">#REF!</definedName>
    <definedName name="cchart3" localSheetId="18" hidden="1">#REF!</definedName>
    <definedName name="cchart3" localSheetId="7" hidden="1">#REF!</definedName>
    <definedName name="cchart3" localSheetId="23" hidden="1">#REF!</definedName>
    <definedName name="cchart3" hidden="1">#REF!</definedName>
    <definedName name="cchart31" localSheetId="12" hidden="1">#REF!</definedName>
    <definedName name="cchart31" localSheetId="30" hidden="1">#REF!</definedName>
    <definedName name="cchart31" localSheetId="28" hidden="1">#REF!</definedName>
    <definedName name="cchart31" localSheetId="27" hidden="1">#REF!</definedName>
    <definedName name="cchart31" localSheetId="18" hidden="1">#REF!</definedName>
    <definedName name="cchart31" localSheetId="7" hidden="1">#REF!</definedName>
    <definedName name="cchart31" localSheetId="23" hidden="1">#REF!</definedName>
    <definedName name="cchart31" hidden="1">#REF!</definedName>
    <definedName name="cchart32" localSheetId="12" hidden="1">#REF!</definedName>
    <definedName name="cchart32" localSheetId="30" hidden="1">#REF!</definedName>
    <definedName name="cchart32" localSheetId="28" hidden="1">#REF!</definedName>
    <definedName name="cchart32" localSheetId="27" hidden="1">#REF!</definedName>
    <definedName name="cchart32" localSheetId="18" hidden="1">#REF!</definedName>
    <definedName name="cchart32" localSheetId="7" hidden="1">#REF!</definedName>
    <definedName name="cchart32" localSheetId="23" hidden="1">#REF!</definedName>
    <definedName name="cchart32" hidden="1">#REF!</definedName>
    <definedName name="cchart4" localSheetId="12" hidden="1">#REF!</definedName>
    <definedName name="cchart4" localSheetId="30" hidden="1">#REF!</definedName>
    <definedName name="cchart4" localSheetId="28" hidden="1">#REF!</definedName>
    <definedName name="cchart4" localSheetId="27" hidden="1">#REF!</definedName>
    <definedName name="cchart4" localSheetId="18" hidden="1">#REF!</definedName>
    <definedName name="cchart4" localSheetId="7" hidden="1">#REF!</definedName>
    <definedName name="cchart4" localSheetId="23" hidden="1">#REF!</definedName>
    <definedName name="cchart4" hidden="1">#REF!</definedName>
    <definedName name="cchart5" localSheetId="12" hidden="1">#REF!</definedName>
    <definedName name="cchart5" localSheetId="30" hidden="1">#REF!</definedName>
    <definedName name="cchart5" localSheetId="28" hidden="1">#REF!</definedName>
    <definedName name="cchart5" localSheetId="27" hidden="1">#REF!</definedName>
    <definedName name="cchart5" localSheetId="18" hidden="1">#REF!</definedName>
    <definedName name="cchart5" localSheetId="7" hidden="1">#REF!</definedName>
    <definedName name="cchart5" localSheetId="23" hidden="1">#REF!</definedName>
    <definedName name="cchart5" hidden="1">#REF!</definedName>
    <definedName name="cchart6" localSheetId="12" hidden="1">#REF!</definedName>
    <definedName name="cchart6" localSheetId="30" hidden="1">#REF!</definedName>
    <definedName name="cchart6" localSheetId="28" hidden="1">#REF!</definedName>
    <definedName name="cchart6" localSheetId="27" hidden="1">#REF!</definedName>
    <definedName name="cchart6" localSheetId="18" hidden="1">#REF!</definedName>
    <definedName name="cchart6" localSheetId="7" hidden="1">#REF!</definedName>
    <definedName name="cchart6" localSheetId="23" hidden="1">#REF!</definedName>
    <definedName name="cchart6" hidden="1">#REF!</definedName>
    <definedName name="cchart7" localSheetId="12" hidden="1">#REF!</definedName>
    <definedName name="cchart7" localSheetId="30" hidden="1">#REF!</definedName>
    <definedName name="cchart7" localSheetId="28" hidden="1">#REF!</definedName>
    <definedName name="cchart7" localSheetId="27" hidden="1">#REF!</definedName>
    <definedName name="cchart7" localSheetId="18" hidden="1">#REF!</definedName>
    <definedName name="cchart7" localSheetId="7" hidden="1">#REF!</definedName>
    <definedName name="cchart7" localSheetId="23" hidden="1">#REF!</definedName>
    <definedName name="cchart7" hidden="1">#REF!</definedName>
    <definedName name="cchart8" localSheetId="12" hidden="1">#REF!</definedName>
    <definedName name="cchart8" localSheetId="30" hidden="1">#REF!</definedName>
    <definedName name="cchart8" localSheetId="28" hidden="1">#REF!</definedName>
    <definedName name="cchart8" localSheetId="27" hidden="1">#REF!</definedName>
    <definedName name="cchart8" localSheetId="18" hidden="1">#REF!</definedName>
    <definedName name="cchart8" localSheetId="7" hidden="1">#REF!</definedName>
    <definedName name="cchart8" localSheetId="23" hidden="1">#REF!</definedName>
    <definedName name="cchart8" hidden="1">#REF!</definedName>
    <definedName name="cchart9" localSheetId="12" hidden="1">#REF!</definedName>
    <definedName name="cchart9" localSheetId="30" hidden="1">#REF!</definedName>
    <definedName name="cchart9" localSheetId="28" hidden="1">#REF!</definedName>
    <definedName name="cchart9" localSheetId="27" hidden="1">#REF!</definedName>
    <definedName name="cchart9" localSheetId="18" hidden="1">#REF!</definedName>
    <definedName name="cchart9" localSheetId="7" hidden="1">#REF!</definedName>
    <definedName name="cchart9" localSheetId="23" hidden="1">#REF!</definedName>
    <definedName name="cchart9" hidden="1">#REF!</definedName>
    <definedName name="çcklfj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 localSheetId="12">#REF!</definedName>
    <definedName name="CD" localSheetId="30">#REF!</definedName>
    <definedName name="CD" localSheetId="28">#REF!</definedName>
    <definedName name="CD" localSheetId="27">#REF!</definedName>
    <definedName name="CD" localSheetId="18">#REF!</definedName>
    <definedName name="CD" localSheetId="7">#REF!</definedName>
    <definedName name="CD" localSheetId="23">#REF!</definedName>
    <definedName name="CD">#REF!</definedName>
    <definedName name="çdfmerf" localSheetId="3" hidden="1">{#N/A,#N/A,FALSE,"Plan1";#N/A,#N/A,FALSE,"Plan2"}</definedName>
    <definedName name="çdfmerf" localSheetId="33" hidden="1">{#N/A,#N/A,FALSE,"Plan1";#N/A,#N/A,FALSE,"Plan2"}</definedName>
    <definedName name="çdfmerf" localSheetId="35" hidden="1">{#N/A,#N/A,FALSE,"Plan1";#N/A,#N/A,FALSE,"Plan2"}</definedName>
    <definedName name="çdfmerf" hidden="1">{#N/A,#N/A,FALSE,"Plan1";#N/A,#N/A,FALSE,"Plan2"}</definedName>
    <definedName name="CDSGHE" localSheetId="3" hidden="1">{#N/A,#N/A,FALSE,"Plan1";#N/A,#N/A,FALSE,"Plan2"}</definedName>
    <definedName name="CDSGHE" localSheetId="33" hidden="1">{#N/A,#N/A,FALSE,"Plan1";#N/A,#N/A,FALSE,"Plan2"}</definedName>
    <definedName name="CDSGHE" localSheetId="35" hidden="1">{#N/A,#N/A,FALSE,"Plan1";#N/A,#N/A,FALSE,"Plan2"}</definedName>
    <definedName name="CDSGHE" hidden="1">{#N/A,#N/A,FALSE,"Plan1";#N/A,#N/A,FALSE,"Plan2"}</definedName>
    <definedName name="cdvthd" localSheetId="12">#REF!</definedName>
    <definedName name="cdvthd" localSheetId="30">#REF!</definedName>
    <definedName name="cdvthd" localSheetId="28">#REF!</definedName>
    <definedName name="cdvthd" localSheetId="27">#REF!</definedName>
    <definedName name="cdvthd" localSheetId="18">#REF!</definedName>
    <definedName name="cdvthd" localSheetId="7">#REF!</definedName>
    <definedName name="cdvthd" localSheetId="23">#REF!</definedName>
    <definedName name="cdvthd">#REF!</definedName>
    <definedName name="Cel_Constr" localSheetId="12">#REF!</definedName>
    <definedName name="Cel_Constr" localSheetId="30">#REF!</definedName>
    <definedName name="Cel_Constr" localSheetId="28">#REF!</definedName>
    <definedName name="Cel_Constr" localSheetId="27">#REF!</definedName>
    <definedName name="Cel_Constr" localSheetId="18">#REF!</definedName>
    <definedName name="Cel_Constr" localSheetId="7">#REF!</definedName>
    <definedName name="Cel_Constr" localSheetId="23">#REF!</definedName>
    <definedName name="Cel_Constr">#REF!</definedName>
    <definedName name="CestaExcel" localSheetId="12">#REF!</definedName>
    <definedName name="CestaExcel" localSheetId="30">#REF!</definedName>
    <definedName name="CestaExcel" localSheetId="28">#REF!</definedName>
    <definedName name="CestaExcel" localSheetId="27">#REF!</definedName>
    <definedName name="CestaExcel" localSheetId="18">#REF!</definedName>
    <definedName name="CestaExcel" localSheetId="7">#REF!</definedName>
    <definedName name="CestaExcel" localSheetId="23">#REF!</definedName>
    <definedName name="CestaExcel">#REF!</definedName>
    <definedName name="CevaG" localSheetId="12">#REF!</definedName>
    <definedName name="CevaG" localSheetId="30">#REF!</definedName>
    <definedName name="CevaG" localSheetId="28">#REF!</definedName>
    <definedName name="CevaG" localSheetId="27">#REF!</definedName>
    <definedName name="CevaG" localSheetId="18">#REF!</definedName>
    <definedName name="CevaG" localSheetId="7">#REF!</definedName>
    <definedName name="CevaG" localSheetId="23">#REF!</definedName>
    <definedName name="CevaG">#REF!</definedName>
    <definedName name="CevaGS" localSheetId="12">#REF!</definedName>
    <definedName name="CevaGS" localSheetId="30">#REF!</definedName>
    <definedName name="CevaGS" localSheetId="28">#REF!</definedName>
    <definedName name="CevaGS" localSheetId="27">#REF!</definedName>
    <definedName name="CevaGS" localSheetId="18">#REF!</definedName>
    <definedName name="CevaGS" localSheetId="7">#REF!</definedName>
    <definedName name="CevaGS" localSheetId="23">#REF!</definedName>
    <definedName name="CevaGS">#REF!</definedName>
    <definedName name="çfhjglkjhkljyh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3" hidden="1">{#N/A,#N/A,FALSE,"Plan1";#N/A,#N/A,FALSE,"Plan2"}</definedName>
    <definedName name="çflçf" localSheetId="33" hidden="1">{#N/A,#N/A,FALSE,"Plan1";#N/A,#N/A,FALSE,"Plan2"}</definedName>
    <definedName name="çflçf" localSheetId="35" hidden="1">{#N/A,#N/A,FALSE,"Plan1";#N/A,#N/A,FALSE,"Plan2"}</definedName>
    <definedName name="çflçf" hidden="1">{#N/A,#N/A,FALSE,"Plan1";#N/A,#N/A,FALSE,"Plan2"}</definedName>
    <definedName name="CHAFQT" localSheetId="12">#REF!</definedName>
    <definedName name="CHAFQT" localSheetId="30">#REF!</definedName>
    <definedName name="CHAFQT" localSheetId="28">#REF!</definedName>
    <definedName name="CHAFQT" localSheetId="27">#REF!</definedName>
    <definedName name="CHAFQT" localSheetId="18">#REF!</definedName>
    <definedName name="CHAFQT" localSheetId="7">#REF!</definedName>
    <definedName name="CHAFQT" localSheetId="23">#REF!</definedName>
    <definedName name="CHAFQT">#REF!</definedName>
    <definedName name="Chaves" localSheetId="12">#REF!</definedName>
    <definedName name="Chaves" localSheetId="30">#REF!</definedName>
    <definedName name="Chaves" localSheetId="28">#REF!</definedName>
    <definedName name="Chaves" localSheetId="27">#REF!</definedName>
    <definedName name="Chaves" localSheetId="18">#REF!</definedName>
    <definedName name="Chaves" localSheetId="7">#REF!</definedName>
    <definedName name="Chaves" localSheetId="23">#REF!</definedName>
    <definedName name="Chaves">#REF!</definedName>
    <definedName name="chfch" localSheetId="3" hidden="1">{#N/A,#N/A,FALSE,"Plan1";#N/A,#N/A,FALSE,"Plan2"}</definedName>
    <definedName name="chfch" localSheetId="33" hidden="1">{#N/A,#N/A,FALSE,"Plan1";#N/A,#N/A,FALSE,"Plan2"}</definedName>
    <definedName name="chfch" localSheetId="35" hidden="1">{#N/A,#N/A,FALSE,"Plan1";#N/A,#N/A,FALSE,"Plan2"}</definedName>
    <definedName name="chfch" hidden="1">{#N/A,#N/A,FALSE,"Plan1";#N/A,#N/A,FALSE,"Plan2"}</definedName>
    <definedName name="CI" localSheetId="12">#REF!</definedName>
    <definedName name="CI" localSheetId="30">#REF!</definedName>
    <definedName name="CI" localSheetId="28">#REF!</definedName>
    <definedName name="CI" localSheetId="27">#REF!</definedName>
    <definedName name="CI" localSheetId="18">#REF!</definedName>
    <definedName name="CI" localSheetId="7">#REF!</definedName>
    <definedName name="CI" localSheetId="23">#REF!</definedName>
    <definedName name="CI">#REF!</definedName>
    <definedName name="cidades" localSheetId="12">#REF!</definedName>
    <definedName name="cidades" localSheetId="30">#REF!</definedName>
    <definedName name="cidades" localSheetId="28">#REF!</definedName>
    <definedName name="cidades" localSheetId="27">#REF!</definedName>
    <definedName name="cidades" localSheetId="18">#REF!</definedName>
    <definedName name="cidades" localSheetId="7">#REF!</definedName>
    <definedName name="cidades" localSheetId="23">#REF!</definedName>
    <definedName name="cidades">#REF!</definedName>
    <definedName name="CIFIXA" localSheetId="12">#REF!</definedName>
    <definedName name="CIFIXA" localSheetId="30">#REF!</definedName>
    <definedName name="CIFIXA" localSheetId="28">#REF!</definedName>
    <definedName name="CIFIXA" localSheetId="27">#REF!</definedName>
    <definedName name="CIFIXA" localSheetId="18">#REF!</definedName>
    <definedName name="CIFIXA" localSheetId="7">#REF!</definedName>
    <definedName name="CIFIXA" localSheetId="23">#REF!</definedName>
    <definedName name="CIFIXA">#REF!</definedName>
    <definedName name="CINCO" localSheetId="12">#REF!</definedName>
    <definedName name="CINCO" localSheetId="30">#REF!</definedName>
    <definedName name="CINCO" localSheetId="28">#REF!</definedName>
    <definedName name="CINCO" localSheetId="27">#REF!</definedName>
    <definedName name="CINCO" localSheetId="21">#REF!</definedName>
    <definedName name="CINCO" localSheetId="18">#REF!</definedName>
    <definedName name="CINCO" localSheetId="7">#REF!</definedName>
    <definedName name="CINCO" localSheetId="23">#REF!</definedName>
    <definedName name="CINCO">#REF!</definedName>
    <definedName name="CITOTAL" localSheetId="12">#REF!</definedName>
    <definedName name="CITOTAL" localSheetId="30">#REF!</definedName>
    <definedName name="CITOTAL" localSheetId="28">#REF!</definedName>
    <definedName name="CITOTAL" localSheetId="27">#REF!</definedName>
    <definedName name="CITOTAL" localSheetId="18">#REF!</definedName>
    <definedName name="CITOTAL" localSheetId="7">#REF!</definedName>
    <definedName name="CITOTAL" localSheetId="23">#REF!</definedName>
    <definedName name="CITOTAL">#REF!</definedName>
    <definedName name="CIVAR" localSheetId="12">#REF!</definedName>
    <definedName name="CIVAR" localSheetId="30">#REF!</definedName>
    <definedName name="CIVAR" localSheetId="28">#REF!</definedName>
    <definedName name="CIVAR" localSheetId="27">#REF!</definedName>
    <definedName name="CIVAR" localSheetId="18">#REF!</definedName>
    <definedName name="CIVAR" localSheetId="7">#REF!</definedName>
    <definedName name="CIVAR" localSheetId="23">#REF!</definedName>
    <definedName name="CIVAR">#REF!</definedName>
    <definedName name="ÇJKRÇLFS" localSheetId="3" hidden="1">{"Econ Consolidado",#N/A,FALSE,"Econ Consol";"Fluxo de Caixa",#N/A,FALSE,"Fluxo Caixa";"Investimentos",#N/A,FALSE,"Investimentos"}</definedName>
    <definedName name="ÇJKRÇLFS" localSheetId="33" hidden="1">{"Econ Consolidado",#N/A,FALSE,"Econ Consol";"Fluxo de Caixa",#N/A,FALSE,"Fluxo Caixa";"Investimentos",#N/A,FALSE,"Investimentos"}</definedName>
    <definedName name="ÇJKRÇLFS" localSheetId="35" hidden="1">{"Econ Consolidado",#N/A,FALSE,"Econ Consol";"Fluxo de Caixa",#N/A,FALSE,"Fluxo Caixa";"Investimentos",#N/A,FALSE,"Investimentos"}</definedName>
    <definedName name="ÇJKRÇLFS" hidden="1">{"Econ Consolidado",#N/A,FALSE,"Econ Consol";"Fluxo de Caixa",#N/A,FALSE,"Fluxo Caixa";"Investimentos",#N/A,FALSE,"Investimentos"}</definedName>
    <definedName name="ÇJsrejtçe" localSheetId="3" hidden="1">{#N/A,#N/A,FALSE,"Plan1";#N/A,#N/A,FALSE,"Plan2"}</definedName>
    <definedName name="ÇJsrejtçe" localSheetId="33" hidden="1">{#N/A,#N/A,FALSE,"Plan1";#N/A,#N/A,FALSE,"Plan2"}</definedName>
    <definedName name="ÇJsrejtçe" localSheetId="35" hidden="1">{#N/A,#N/A,FALSE,"Plan1";#N/A,#N/A,FALSE,"Plan2"}</definedName>
    <definedName name="ÇJsrejtçe" hidden="1">{#N/A,#N/A,FALSE,"Plan1";#N/A,#N/A,FALSE,"Plan2"}</definedName>
    <definedName name="çkaçekow" localSheetId="3" hidden="1">{#N/A,#N/A,FALSE,"Plan1";#N/A,#N/A,FALSE,"Plan2"}</definedName>
    <definedName name="çkaçekow" localSheetId="33" hidden="1">{#N/A,#N/A,FALSE,"Plan1";#N/A,#N/A,FALSE,"Plan2"}</definedName>
    <definedName name="çkaçekow" localSheetId="35" hidden="1">{#N/A,#N/A,FALSE,"Plan1";#N/A,#N/A,FALSE,"Plan2"}</definedName>
    <definedName name="çkaçekow" hidden="1">{#N/A,#N/A,FALSE,"Plan1";#N/A,#N/A,FALSE,"Plan2"}</definedName>
    <definedName name="ÇKSDOEKR" localSheetId="3" hidden="1">{#N/A,#N/A,FALSE,"Plan1";#N/A,#N/A,FALSE,"Plan2"}</definedName>
    <definedName name="ÇKSDOEKR" localSheetId="33" hidden="1">{#N/A,#N/A,FALSE,"Plan1";#N/A,#N/A,FALSE,"Plan2"}</definedName>
    <definedName name="ÇKSDOEKR" localSheetId="35" hidden="1">{#N/A,#N/A,FALSE,"Plan1";#N/A,#N/A,FALSE,"Plan2"}</definedName>
    <definedName name="ÇKSDOEKR" hidden="1">{#N/A,#N/A,FALSE,"Plan1";#N/A,#N/A,FALSE,"Plan2"}</definedName>
    <definedName name="çl" localSheetId="3" hidden="1">{#N/A,#N/A,FALSE,"Plan1";#N/A,#N/A,FALSE,"Plan2"}</definedName>
    <definedName name="çl" localSheetId="33" hidden="1">{#N/A,#N/A,FALSE,"Plan1";#N/A,#N/A,FALSE,"Plan2"}</definedName>
    <definedName name="çl" localSheetId="35" hidden="1">{#N/A,#N/A,FALSE,"Plan1";#N/A,#N/A,FALSE,"Plan2"}</definedName>
    <definedName name="çl" hidden="1">{#N/A,#N/A,FALSE,"Plan1";#N/A,#N/A,FALSE,"Plan2"}</definedName>
    <definedName name="çlassde" localSheetId="3" hidden="1">{#N/A,#N/A,FALSE,"Plan1";#N/A,#N/A,FALSE,"Plan2"}</definedName>
    <definedName name="çlassde" localSheetId="33" hidden="1">{#N/A,#N/A,FALSE,"Plan1";#N/A,#N/A,FALSE,"Plan2"}</definedName>
    <definedName name="çlassde" localSheetId="35" hidden="1">{#N/A,#N/A,FALSE,"Plan1";#N/A,#N/A,FALSE,"Plan2"}</definedName>
    <definedName name="çlassde" hidden="1">{#N/A,#N/A,FALSE,"Plan1";#N/A,#N/A,FALSE,"Plan2"}</definedName>
    <definedName name="Classificação" localSheetId="12">#REF!</definedName>
    <definedName name="Classificação" localSheetId="30">#REF!</definedName>
    <definedName name="Classificação" localSheetId="28">#REF!</definedName>
    <definedName name="Classificação" localSheetId="27">#REF!</definedName>
    <definedName name="Classificação" localSheetId="18">#REF!</definedName>
    <definedName name="Classificação" localSheetId="7">#REF!</definedName>
    <definedName name="Classificação" localSheetId="23">#REF!</definedName>
    <definedName name="Classificação">#REF!</definedName>
    <definedName name="çlçlç" localSheetId="3" hidden="1">{#N/A,#N/A,FALSE,"Plan1";#N/A,#N/A,FALSE,"Plan2"}</definedName>
    <definedName name="çlçlç" localSheetId="33" hidden="1">{#N/A,#N/A,FALSE,"Plan1";#N/A,#N/A,FALSE,"Plan2"}</definedName>
    <definedName name="çlçlç" localSheetId="35" hidden="1">{#N/A,#N/A,FALSE,"Plan1";#N/A,#N/A,FALSE,"Plan2"}</definedName>
    <definedName name="çlçlç" hidden="1">{#N/A,#N/A,FALSE,"Plan1";#N/A,#N/A,FALSE,"Plan2"}</definedName>
    <definedName name="çld" localSheetId="3" hidden="1">{#N/A,#N/A,FALSE,"Plan1";#N/A,#N/A,FALSE,"Plan2"}</definedName>
    <definedName name="çld" localSheetId="33" hidden="1">{#N/A,#N/A,FALSE,"Plan1";#N/A,#N/A,FALSE,"Plan2"}</definedName>
    <definedName name="çld" localSheetId="35" hidden="1">{#N/A,#N/A,FALSE,"Plan1";#N/A,#N/A,FALSE,"Plan2"}</definedName>
    <definedName name="çld" hidden="1">{#N/A,#N/A,FALSE,"Plan1";#N/A,#N/A,FALSE,"Plan2"}</definedName>
    <definedName name="çlererr" localSheetId="3" hidden="1">{#N/A,#N/A,FALSE,"Plan1";#N/A,#N/A,FALSE,"Plan2"}</definedName>
    <definedName name="çlererr" localSheetId="33" hidden="1">{#N/A,#N/A,FALSE,"Plan1";#N/A,#N/A,FALSE,"Plan2"}</definedName>
    <definedName name="çlererr" localSheetId="35" hidden="1">{#N/A,#N/A,FALSE,"Plan1";#N/A,#N/A,FALSE,"Plan2"}</definedName>
    <definedName name="çlererr" hidden="1">{#N/A,#N/A,FALSE,"Plan1";#N/A,#N/A,FALSE,"Plan2"}</definedName>
    <definedName name="çlertert" localSheetId="3" hidden="1">{#N/A,#N/A,FALSE,"Plan1";#N/A,#N/A,FALSE,"Plan2"}</definedName>
    <definedName name="çlertert" localSheetId="33" hidden="1">{#N/A,#N/A,FALSE,"Plan1";#N/A,#N/A,FALSE,"Plan2"}</definedName>
    <definedName name="çlertert" localSheetId="35" hidden="1">{#N/A,#N/A,FALSE,"Plan1";#N/A,#N/A,FALSE,"Plan2"}</definedName>
    <definedName name="çlertert" hidden="1">{#N/A,#N/A,FALSE,"Plan1";#N/A,#N/A,FALSE,"Plan2"}</definedName>
    <definedName name="çlkdflçkrlr" localSheetId="3" hidden="1">#REF!</definedName>
    <definedName name="çlkdflçkrlr" localSheetId="12" hidden="1">#REF!</definedName>
    <definedName name="çlkdflçkrlr" localSheetId="30" hidden="1">#REF!</definedName>
    <definedName name="çlkdflçkrlr" localSheetId="28" hidden="1">#REF!</definedName>
    <definedName name="çlkdflçkrlr" localSheetId="27" hidden="1">#REF!</definedName>
    <definedName name="çlkdflçkrlr" localSheetId="18" hidden="1">#REF!</definedName>
    <definedName name="çlkdflçkrlr" localSheetId="7" hidden="1">#REF!</definedName>
    <definedName name="çlkdflçkrlr" localSheetId="23" hidden="1">#REF!</definedName>
    <definedName name="çlkdflçkrlr" hidden="1">#REF!</definedName>
    <definedName name="çll" localSheetId="3" hidden="1">{#N/A,#N/A,FALSE,"Plan1";#N/A,#N/A,FALSE,"Plan2"}</definedName>
    <definedName name="çll" localSheetId="33" hidden="1">{#N/A,#N/A,FALSE,"Plan1";#N/A,#N/A,FALSE,"Plan2"}</definedName>
    <definedName name="çll" localSheetId="35" hidden="1">{#N/A,#N/A,FALSE,"Plan1";#N/A,#N/A,FALSE,"Plan2"}</definedName>
    <definedName name="çll" hidden="1">{#N/A,#N/A,FALSE,"Plan1";#N/A,#N/A,FALSE,"Plan2"}</definedName>
    <definedName name="CMC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 localSheetId="12">#REF!</definedName>
    <definedName name="COBRANÇA" localSheetId="30">#REF!</definedName>
    <definedName name="COBRANÇA" localSheetId="28">#REF!</definedName>
    <definedName name="COBRANÇA" localSheetId="27">#REF!</definedName>
    <definedName name="COBRANÇA" localSheetId="18">#REF!</definedName>
    <definedName name="COBRANÇA" localSheetId="7">#REF!</definedName>
    <definedName name="COBRANÇA" localSheetId="23">#REF!</definedName>
    <definedName name="COBRANÇA">#REF!</definedName>
    <definedName name="Cod_Esquadrias" localSheetId="12">#REF!</definedName>
    <definedName name="Cod_Esquadrias" localSheetId="30">#REF!</definedName>
    <definedName name="Cod_Esquadrias" localSheetId="28">#REF!</definedName>
    <definedName name="Cod_Esquadrias" localSheetId="27">#REF!</definedName>
    <definedName name="Cod_Esquadrias" localSheetId="18">#REF!</definedName>
    <definedName name="Cod_Esquadrias" localSheetId="7">#REF!</definedName>
    <definedName name="Cod_Esquadrias" localSheetId="23">#REF!</definedName>
    <definedName name="Cod_Esquadrias">#REF!</definedName>
    <definedName name="CÓDG" localSheetId="12">OFFSET(#REF!,0,0,COUNTA(#REF!),1)</definedName>
    <definedName name="CÓDG" localSheetId="30">OFFSET(#REF!,0,0,COUNTA(#REF!),1)</definedName>
    <definedName name="CÓDG" localSheetId="28">OFFSET(#REF!,0,0,COUNTA(#REF!),1)</definedName>
    <definedName name="CÓDG" localSheetId="27">OFFSET(#REF!,0,0,COUNTA(#REF!),1)</definedName>
    <definedName name="CÓDG" localSheetId="18">OFFSET(#REF!,0,0,COUNTA(#REF!),1)</definedName>
    <definedName name="CÓDG" localSheetId="7">OFFSET(#REF!,0,0,COUNTA(#REF!),1)</definedName>
    <definedName name="CÓDG" localSheetId="23">OFFSET(#REF!,0,0,COUNTA(#REF!),1)</definedName>
    <definedName name="CÓDG">OFFSET(#REF!,0,0,COUNTA(#REF!),1)</definedName>
    <definedName name="codigo2" localSheetId="12">#REF!</definedName>
    <definedName name="codigo2" localSheetId="30">#REF!</definedName>
    <definedName name="codigo2" localSheetId="28">#REF!</definedName>
    <definedName name="codigo2" localSheetId="27">#REF!</definedName>
    <definedName name="codigo2" localSheetId="18">#REF!</definedName>
    <definedName name="codigo2" localSheetId="7">#REF!</definedName>
    <definedName name="codigo2" localSheetId="23">#REF!</definedName>
    <definedName name="codigo2">#REF!</definedName>
    <definedName name="codigo3" localSheetId="12">#REF!</definedName>
    <definedName name="codigo3" localSheetId="30">#REF!</definedName>
    <definedName name="codigo3" localSheetId="28">#REF!</definedName>
    <definedName name="codigo3" localSheetId="27">#REF!</definedName>
    <definedName name="codigo3" localSheetId="18">#REF!</definedName>
    <definedName name="codigo3" localSheetId="7">#REF!</definedName>
    <definedName name="codigo3" localSheetId="23">#REF!</definedName>
    <definedName name="codigo3">#REF!</definedName>
    <definedName name="CÓDT" localSheetId="12">OFFSET(#REF!,0,0,COUNTA(#REF!)+1,1)</definedName>
    <definedName name="CÓDT" localSheetId="30">OFFSET(#REF!,0,0,COUNTA(#REF!)+1,1)</definedName>
    <definedName name="CÓDT" localSheetId="28">OFFSET(#REF!,0,0,COUNTA(#REF!)+1,1)</definedName>
    <definedName name="CÓDT" localSheetId="27">OFFSET(#REF!,0,0,COUNTA(#REF!)+1,1)</definedName>
    <definedName name="CÓDT" localSheetId="18">OFFSET(#REF!,0,0,COUNTA(#REF!)+1,1)</definedName>
    <definedName name="CÓDT" localSheetId="7">OFFSET(#REF!,0,0,COUNTA(#REF!)+1,1)</definedName>
    <definedName name="CÓDT" localSheetId="23">OFFSET(#REF!,0,0,COUNTA(#REF!)+1,1)</definedName>
    <definedName name="CÓDT">OFFSET(#REF!,0,0,COUNTA(#REF!)+1,1)</definedName>
    <definedName name="COFINS" localSheetId="12">#REF!</definedName>
    <definedName name="COFINS" localSheetId="30">#REF!</definedName>
    <definedName name="COFINS" localSheetId="28">#REF!</definedName>
    <definedName name="COFINS" localSheetId="27">#REF!</definedName>
    <definedName name="COFINS" localSheetId="18">#REF!</definedName>
    <definedName name="COFINS" localSheetId="7">#REF!</definedName>
    <definedName name="COFINS" localSheetId="23">#REF!</definedName>
    <definedName name="COFINS">#REF!</definedName>
    <definedName name="cofins2" localSheetId="12">#REF!</definedName>
    <definedName name="cofins2" localSheetId="30">#REF!</definedName>
    <definedName name="cofins2" localSheetId="28">#REF!</definedName>
    <definedName name="cofins2" localSheetId="27">#REF!</definedName>
    <definedName name="cofins2" localSheetId="18">#REF!</definedName>
    <definedName name="cofins2" localSheetId="7">#REF!</definedName>
    <definedName name="cofins2" localSheetId="23">#REF!</definedName>
    <definedName name="cofins2">#REF!</definedName>
    <definedName name="COGS" localSheetId="12">#REF!</definedName>
    <definedName name="COGS" localSheetId="30">#REF!</definedName>
    <definedName name="COGS" localSheetId="28">#REF!</definedName>
    <definedName name="COGS" localSheetId="27">#REF!</definedName>
    <definedName name="COGS" localSheetId="18">#REF!</definedName>
    <definedName name="COGS" localSheetId="7">#REF!</definedName>
    <definedName name="COGS" localSheetId="23">#REF!</definedName>
    <definedName name="COGS">#REF!</definedName>
    <definedName name="COLSUB" localSheetId="12">#REF!</definedName>
    <definedName name="COLSUB" localSheetId="30">#REF!</definedName>
    <definedName name="COLSUB" localSheetId="28">#REF!</definedName>
    <definedName name="COLSUB" localSheetId="27">#REF!</definedName>
    <definedName name="COLSUB" localSheetId="18">#REF!</definedName>
    <definedName name="COLSUB" localSheetId="7">#REF!</definedName>
    <definedName name="COLSUB" localSheetId="23">#REF!</definedName>
    <definedName name="COLSUB">#REF!</definedName>
    <definedName name="COMISSOES" localSheetId="12">#REF!</definedName>
    <definedName name="COMISSOES" localSheetId="30">#REF!</definedName>
    <definedName name="COMISSOES" localSheetId="28">#REF!</definedName>
    <definedName name="COMISSOES" localSheetId="27">#REF!</definedName>
    <definedName name="COMISSOES" localSheetId="18">#REF!</definedName>
    <definedName name="COMISSOES" localSheetId="7">#REF!</definedName>
    <definedName name="COMISSOES" localSheetId="23">#REF!</definedName>
    <definedName name="COMISSOES">#REF!</definedName>
    <definedName name="COMPOSICAO" localSheetId="12">#REF!</definedName>
    <definedName name="COMPOSICAO" localSheetId="30">#REF!</definedName>
    <definedName name="COMPOSICAO" localSheetId="28">#REF!</definedName>
    <definedName name="COMPOSICAO" localSheetId="27">#REF!</definedName>
    <definedName name="COMPOSICAO" localSheetId="18">#REF!</definedName>
    <definedName name="COMPOSICAO" localSheetId="7">#REF!</definedName>
    <definedName name="COMPOSICAO" localSheetId="23">#REF!</definedName>
    <definedName name="COMPOSICAO">#REF!</definedName>
    <definedName name="composição" localSheetId="12">#REF!</definedName>
    <definedName name="composição" localSheetId="30">#REF!</definedName>
    <definedName name="composição" localSheetId="28">#REF!</definedName>
    <definedName name="composição" localSheetId="27">#REF!</definedName>
    <definedName name="composição" localSheetId="18">#REF!</definedName>
    <definedName name="composição" localSheetId="7">#REF!</definedName>
    <definedName name="composição" localSheetId="23">#REF!</definedName>
    <definedName name="composição">#REF!</definedName>
    <definedName name="COMPR" localSheetId="12">#REF!</definedName>
    <definedName name="COMPR" localSheetId="30">#REF!</definedName>
    <definedName name="COMPR" localSheetId="28">#REF!</definedName>
    <definedName name="COMPR" localSheetId="27">#REF!</definedName>
    <definedName name="COMPR" localSheetId="18">#REF!</definedName>
    <definedName name="COMPR" localSheetId="7">#REF!</definedName>
    <definedName name="COMPR" localSheetId="23">#REF!</definedName>
    <definedName name="COMPR">#REF!</definedName>
    <definedName name="COMPRIMENTO" localSheetId="12">#REF!</definedName>
    <definedName name="COMPRIMENTO" localSheetId="30">#REF!</definedName>
    <definedName name="COMPRIMENTO" localSheetId="28">#REF!</definedName>
    <definedName name="COMPRIMENTO" localSheetId="27">#REF!</definedName>
    <definedName name="COMPRIMENTO" localSheetId="21">#REF!</definedName>
    <definedName name="COMPRIMENTO" localSheetId="18">#REF!</definedName>
    <definedName name="COMPRIMENTO" localSheetId="7">#REF!</definedName>
    <definedName name="COMPRIMENTO" localSheetId="23">#REF!</definedName>
    <definedName name="COMPRIMENTO">#REF!</definedName>
    <definedName name="COMPROMETIDO" localSheetId="12">#REF!</definedName>
    <definedName name="COMPROMETIDO" localSheetId="30">#REF!</definedName>
    <definedName name="COMPROMETIDO" localSheetId="28">#REF!</definedName>
    <definedName name="COMPROMETIDO" localSheetId="27">#REF!</definedName>
    <definedName name="COMPROMETIDO" localSheetId="18">#REF!</definedName>
    <definedName name="COMPROMETIDO" localSheetId="7">#REF!</definedName>
    <definedName name="COMPROMETIDO" localSheetId="23">#REF!</definedName>
    <definedName name="COMPROMETIDO">#REF!</definedName>
    <definedName name="CONFIRMAR" localSheetId="33" hidden="1">{#N/A,#N/A,TRUE,"Quinzena 01 à 15-04-98 "}</definedName>
    <definedName name="CONFIRMAR" localSheetId="35" hidden="1">{#N/A,#N/A,TRUE,"Quinzena 01 à 15-04-98 "}</definedName>
    <definedName name="CONFIRMAR" hidden="1">{#N/A,#N/A,TRUE,"Quinzena 01 à 15-04-98 "}</definedName>
    <definedName name="cont" localSheetId="3" hidden="1">{#N/A,#N/A,FALSE,"Plan1";#N/A,#N/A,FALSE,"Plan2"}</definedName>
    <definedName name="cont" localSheetId="33" hidden="1">{#N/A,#N/A,FALSE,"Plan1";#N/A,#N/A,FALSE,"Plan2"}</definedName>
    <definedName name="cont" localSheetId="35" hidden="1">{#N/A,#N/A,FALSE,"Plan1";#N/A,#N/A,FALSE,"Plan2"}</definedName>
    <definedName name="cont" hidden="1">{#N/A,#N/A,FALSE,"Plan1";#N/A,#N/A,FALSE,"Plan2"}</definedName>
    <definedName name="CONT1" localSheetId="12">#REF!</definedName>
    <definedName name="CONT1" localSheetId="30">#REF!</definedName>
    <definedName name="CONT1" localSheetId="28">#REF!</definedName>
    <definedName name="CONT1" localSheetId="27">#REF!</definedName>
    <definedName name="CONT1" localSheetId="18">#REF!</definedName>
    <definedName name="CONT1" localSheetId="7">#REF!</definedName>
    <definedName name="CONT1" localSheetId="23">#REF!</definedName>
    <definedName name="CONT1">#REF!</definedName>
    <definedName name="CONT2" localSheetId="12">#REF!</definedName>
    <definedName name="CONT2" localSheetId="30">#REF!</definedName>
    <definedName name="CONT2" localSheetId="28">#REF!</definedName>
    <definedName name="CONT2" localSheetId="27">#REF!</definedName>
    <definedName name="CONT2" localSheetId="18">#REF!</definedName>
    <definedName name="CONT2" localSheetId="7">#REF!</definedName>
    <definedName name="CONT2" localSheetId="23">#REF!</definedName>
    <definedName name="CONT2">#REF!</definedName>
    <definedName name="CONT3" localSheetId="12">#REF!</definedName>
    <definedName name="CONT3" localSheetId="30">#REF!</definedName>
    <definedName name="CONT3" localSheetId="28">#REF!</definedName>
    <definedName name="CONT3" localSheetId="27">#REF!</definedName>
    <definedName name="CONT3" localSheetId="18">#REF!</definedName>
    <definedName name="CONT3" localSheetId="7">#REF!</definedName>
    <definedName name="CONT3" localSheetId="23">#REF!</definedName>
    <definedName name="CONT3">#REF!</definedName>
    <definedName name="CONTAIT" localSheetId="12">#REF!</definedName>
    <definedName name="CONTAIT" localSheetId="30">#REF!</definedName>
    <definedName name="CONTAIT" localSheetId="28">#REF!</definedName>
    <definedName name="CONTAIT" localSheetId="27">#REF!</definedName>
    <definedName name="CONTAIT" localSheetId="18">#REF!</definedName>
    <definedName name="CONTAIT" localSheetId="7">#REF!</definedName>
    <definedName name="CONTAIT" localSheetId="23">#REF!</definedName>
    <definedName name="CONTAIT">#REF!</definedName>
    <definedName name="CONTREC" localSheetId="12">#REF!</definedName>
    <definedName name="CONTREC" localSheetId="30">#REF!</definedName>
    <definedName name="CONTREC" localSheetId="28">#REF!</definedName>
    <definedName name="CONTREC" localSheetId="27">#REF!</definedName>
    <definedName name="CONTREC" localSheetId="18">#REF!</definedName>
    <definedName name="CONTREC" localSheetId="7">#REF!</definedName>
    <definedName name="CONTREC" localSheetId="23">#REF!</definedName>
    <definedName name="CONTREC">#REF!</definedName>
    <definedName name="CONTRES" localSheetId="12">#REF!</definedName>
    <definedName name="CONTRES" localSheetId="30">#REF!</definedName>
    <definedName name="CONTRES" localSheetId="28">#REF!</definedName>
    <definedName name="CONTRES" localSheetId="27">#REF!</definedName>
    <definedName name="CONTRES" localSheetId="18">#REF!</definedName>
    <definedName name="CONTRES" localSheetId="7">#REF!</definedName>
    <definedName name="CONTRES" localSheetId="23">#REF!</definedName>
    <definedName name="CONTRES">#REF!</definedName>
    <definedName name="CONTROLE" localSheetId="12">#REF!</definedName>
    <definedName name="CONTROLE" localSheetId="30">#REF!</definedName>
    <definedName name="CONTROLE" localSheetId="28">#REF!</definedName>
    <definedName name="CONTROLE" localSheetId="27">#REF!</definedName>
    <definedName name="CONTROLE" localSheetId="18">#REF!</definedName>
    <definedName name="CONTROLE" localSheetId="7">#REF!</definedName>
    <definedName name="CONTROLE" localSheetId="23">#REF!</definedName>
    <definedName name="CONTROLE">#REF!</definedName>
    <definedName name="CONVERSÃO" localSheetId="12">#REF!</definedName>
    <definedName name="CONVERSÃO" localSheetId="30">#REF!</definedName>
    <definedName name="CONVERSÃO" localSheetId="28">#REF!</definedName>
    <definedName name="CONVERSÃO" localSheetId="27">#REF!</definedName>
    <definedName name="CONVERSÃO" localSheetId="18">#REF!</definedName>
    <definedName name="CONVERSÃO" localSheetId="7">#REF!</definedName>
    <definedName name="CONVERSÃO" localSheetId="23">#REF!</definedName>
    <definedName name="CONVERSÃO">#REF!</definedName>
    <definedName name="cpmf" localSheetId="12">#REF!</definedName>
    <definedName name="cpmf" localSheetId="30">#REF!</definedName>
    <definedName name="cpmf" localSheetId="28">#REF!</definedName>
    <definedName name="cpmf" localSheetId="27">#REF!</definedName>
    <definedName name="cpmf" localSheetId="18">#REF!</definedName>
    <definedName name="cpmf" localSheetId="7">#REF!</definedName>
    <definedName name="cpmf" localSheetId="23">#REF!</definedName>
    <definedName name="cpmf">#REF!</definedName>
    <definedName name="Credor_Rel_Sienge" localSheetId="12">#REF!</definedName>
    <definedName name="Credor_Rel_Sienge" localSheetId="30">#REF!</definedName>
    <definedName name="Credor_Rel_Sienge" localSheetId="28">#REF!</definedName>
    <definedName name="Credor_Rel_Sienge" localSheetId="27">#REF!</definedName>
    <definedName name="Credor_Rel_Sienge" localSheetId="18">#REF!</definedName>
    <definedName name="Credor_Rel_Sienge" localSheetId="7">#REF!</definedName>
    <definedName name="Credor_Rel_Sienge" localSheetId="23">#REF!</definedName>
    <definedName name="Credor_Rel_Sienge">#REF!</definedName>
    <definedName name="_xlnm.Criteria" localSheetId="12">#REF!</definedName>
    <definedName name="_xlnm.Criteria" localSheetId="30">#REF!</definedName>
    <definedName name="_xlnm.Criteria" localSheetId="28">#REF!</definedName>
    <definedName name="_xlnm.Criteria" localSheetId="27">#REF!</definedName>
    <definedName name="_xlnm.Criteria" localSheetId="33">INTERFONIA!$B$11:$B$21</definedName>
    <definedName name="_xlnm.Criteria" localSheetId="21">#REF!</definedName>
    <definedName name="_xlnm.Criteria" localSheetId="18">#REF!</definedName>
    <definedName name="_xlnm.Criteria" localSheetId="35">PISCINA!$C$13:$C$22</definedName>
    <definedName name="_xlnm.Criteria" localSheetId="7">#REF!</definedName>
    <definedName name="_xlnm.Criteria" localSheetId="23">#REF!</definedName>
    <definedName name="_xlnm.Criteria">#REF!</definedName>
    <definedName name="CRONG" localSheetId="12">#REF!</definedName>
    <definedName name="CRONG" localSheetId="30">#REF!</definedName>
    <definedName name="CRONG" localSheetId="28">#REF!</definedName>
    <definedName name="CRONG" localSheetId="27">#REF!</definedName>
    <definedName name="CRONG" localSheetId="18">#REF!</definedName>
    <definedName name="CRONG" localSheetId="7">#REF!</definedName>
    <definedName name="CRONG" localSheetId="23">#REF!</definedName>
    <definedName name="CRONG">#REF!</definedName>
    <definedName name="cronograma" localSheetId="3">#REF!</definedName>
    <definedName name="cronograma" localSheetId="12">#REF!</definedName>
    <definedName name="cronograma" localSheetId="30">#REF!</definedName>
    <definedName name="cronograma" localSheetId="28">#REF!</definedName>
    <definedName name="cronograma" localSheetId="27">#REF!</definedName>
    <definedName name="cronograma" localSheetId="18">#REF!</definedName>
    <definedName name="cronograma" localSheetId="7">#REF!</definedName>
    <definedName name="cronograma" localSheetId="23">#REF!</definedName>
    <definedName name="cronograma">#REF!</definedName>
    <definedName name="CRONOGRAMA_FÍSICO_FINANCEIRO" localSheetId="12">#REF!</definedName>
    <definedName name="CRONOGRAMA_FÍSICO_FINANCEIRO" localSheetId="30">#REF!</definedName>
    <definedName name="CRONOGRAMA_FÍSICO_FINANCEIRO" localSheetId="28">#REF!</definedName>
    <definedName name="CRONOGRAMA_FÍSICO_FINANCEIRO" localSheetId="27">#REF!</definedName>
    <definedName name="CRONOGRAMA_FÍSICO_FINANCEIRO" localSheetId="18">#REF!</definedName>
    <definedName name="CRONOGRAMA_FÍSICO_FINANCEIRO" localSheetId="7">#REF!</definedName>
    <definedName name="CRONOGRAMA_FÍSICO_FINANCEIRO" localSheetId="23">#REF!</definedName>
    <definedName name="CRONOGRAMA_FÍSICO_FINANCEIRO">#REF!</definedName>
    <definedName name="CS" localSheetId="12">#REF!</definedName>
    <definedName name="CS" localSheetId="30">#REF!</definedName>
    <definedName name="CS" localSheetId="28">#REF!</definedName>
    <definedName name="CS" localSheetId="27">#REF!</definedName>
    <definedName name="CS" localSheetId="18">#REF!</definedName>
    <definedName name="CS" localSheetId="7">#REF!</definedName>
    <definedName name="CS" localSheetId="23">#REF!</definedName>
    <definedName name="CS">#REF!</definedName>
    <definedName name="cs_diferida" localSheetId="12">#REF!</definedName>
    <definedName name="cs_diferida" localSheetId="30">#REF!</definedName>
    <definedName name="cs_diferida" localSheetId="28">#REF!</definedName>
    <definedName name="cs_diferida" localSheetId="27">#REF!</definedName>
    <definedName name="cs_diferida" localSheetId="18">#REF!</definedName>
    <definedName name="cs_diferida" localSheetId="7">#REF!</definedName>
    <definedName name="cs_diferida" localSheetId="23">#REF!</definedName>
    <definedName name="cs_diferida">#REF!</definedName>
    <definedName name="ÇSAÇDFW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3" hidden="1">#REF!</definedName>
    <definedName name="çsdkfçdrkt" localSheetId="12" hidden="1">#REF!</definedName>
    <definedName name="çsdkfçdrkt" localSheetId="30" hidden="1">#REF!</definedName>
    <definedName name="çsdkfçdrkt" localSheetId="28" hidden="1">#REF!</definedName>
    <definedName name="çsdkfçdrkt" localSheetId="27" hidden="1">#REF!</definedName>
    <definedName name="çsdkfçdrkt" localSheetId="18" hidden="1">#REF!</definedName>
    <definedName name="çsdkfçdrkt" localSheetId="7" hidden="1">#REF!</definedName>
    <definedName name="çsdkfçdrkt" localSheetId="23" hidden="1">#REF!</definedName>
    <definedName name="çsdkfçdrkt" hidden="1">#REF!</definedName>
    <definedName name="CS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3" hidden="1">{#N/A,#N/A,FALSE,"Plan1";#N/A,#N/A,FALSE,"Plan2"}</definedName>
    <definedName name="ÇSLÇDLFKD" localSheetId="33" hidden="1">{#N/A,#N/A,FALSE,"Plan1";#N/A,#N/A,FALSE,"Plan2"}</definedName>
    <definedName name="ÇSLÇDLFKD" localSheetId="35" hidden="1">{#N/A,#N/A,FALSE,"Plan1";#N/A,#N/A,FALSE,"Plan2"}</definedName>
    <definedName name="ÇSLÇDLFKD" hidden="1">{#N/A,#N/A,FALSE,"Plan1";#N/A,#N/A,FALSE,"Plan2"}</definedName>
    <definedName name="CTH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 localSheetId="12">#REF!</definedName>
    <definedName name="CUST_DIR_IND" localSheetId="30">#REF!</definedName>
    <definedName name="CUST_DIR_IND" localSheetId="28">#REF!</definedName>
    <definedName name="CUST_DIR_IND" localSheetId="27">#REF!</definedName>
    <definedName name="CUST_DIR_IND" localSheetId="18">#REF!</definedName>
    <definedName name="CUST_DIR_IND" localSheetId="7">#REF!</definedName>
    <definedName name="CUST_DIR_IND" localSheetId="23">#REF!</definedName>
    <definedName name="CUST_DIR_IND">#REF!</definedName>
    <definedName name="CUSTINDIRETO" localSheetId="12">#REF!</definedName>
    <definedName name="CUSTINDIRETO" localSheetId="30">#REF!</definedName>
    <definedName name="CUSTINDIRETO" localSheetId="28">#REF!</definedName>
    <definedName name="CUSTINDIRETO" localSheetId="27">#REF!</definedName>
    <definedName name="CUSTINDIRETO" localSheetId="18">#REF!</definedName>
    <definedName name="CUSTINDIRETO" localSheetId="7">#REF!</definedName>
    <definedName name="CUSTINDIRETO" localSheetId="23">#REF!</definedName>
    <definedName name="CUSTINDIRETO">#REF!</definedName>
    <definedName name="CUSTO_DIR_IND" localSheetId="12">#REF!</definedName>
    <definedName name="CUSTO_DIR_IND" localSheetId="30">#REF!</definedName>
    <definedName name="CUSTO_DIR_IND" localSheetId="28">#REF!</definedName>
    <definedName name="CUSTO_DIR_IND" localSheetId="27">#REF!</definedName>
    <definedName name="CUSTO_DIR_IND" localSheetId="18">#REF!</definedName>
    <definedName name="CUSTO_DIR_IND" localSheetId="7">#REF!</definedName>
    <definedName name="CUSTO_DIR_IND" localSheetId="23">#REF!</definedName>
    <definedName name="CUSTO_DIR_IND">#REF!</definedName>
    <definedName name="Custo_Direto_de_Obras_Civis_e_Instalações_..........................................." localSheetId="12">#REF!</definedName>
    <definedName name="Custo_Direto_de_Obras_Civis_e_Instalações_..........................................." localSheetId="30">#REF!</definedName>
    <definedName name="Custo_Direto_de_Obras_Civis_e_Instalações_..........................................." localSheetId="28">#REF!</definedName>
    <definedName name="Custo_Direto_de_Obras_Civis_e_Instalações_..........................................." localSheetId="27">#REF!</definedName>
    <definedName name="Custo_Direto_de_Obras_Civis_e_Instalações_..........................................." localSheetId="18">#REF!</definedName>
    <definedName name="Custo_Direto_de_Obras_Civis_e_Instalações_..........................................." localSheetId="7">#REF!</definedName>
    <definedName name="Custo_Direto_de_Obras_Civis_e_Instalações_..........................................." localSheetId="23">#REF!</definedName>
    <definedName name="Custo_Direto_de_Obras_Civis_e_Instalações_...........................................">#REF!</definedName>
    <definedName name="Custo_Direto_em_geral" localSheetId="12">#REF!</definedName>
    <definedName name="Custo_Direto_em_geral" localSheetId="30">#REF!</definedName>
    <definedName name="Custo_Direto_em_geral" localSheetId="28">#REF!</definedName>
    <definedName name="Custo_Direto_em_geral" localSheetId="27">#REF!</definedName>
    <definedName name="Custo_Direto_em_geral" localSheetId="18">#REF!</definedName>
    <definedName name="Custo_Direto_em_geral" localSheetId="7">#REF!</definedName>
    <definedName name="Custo_Direto_em_geral" localSheetId="23">#REF!</definedName>
    <definedName name="Custo_Direto_em_geral">#REF!</definedName>
    <definedName name="custo_financing" localSheetId="12">#REF!</definedName>
    <definedName name="custo_financing" localSheetId="30">#REF!</definedName>
    <definedName name="custo_financing" localSheetId="28">#REF!</definedName>
    <definedName name="custo_financing" localSheetId="27">#REF!</definedName>
    <definedName name="custo_financing" localSheetId="18">#REF!</definedName>
    <definedName name="custo_financing" localSheetId="7">#REF!</definedName>
    <definedName name="custo_financing" localSheetId="23">#REF!</definedName>
    <definedName name="custo_financing">#REF!</definedName>
    <definedName name="CUSTO_OUTROS" localSheetId="12">#REF!</definedName>
    <definedName name="CUSTO_OUTROS" localSheetId="30">#REF!</definedName>
    <definedName name="CUSTO_OUTROS" localSheetId="28">#REF!</definedName>
    <definedName name="CUSTO_OUTROS" localSheetId="27">#REF!</definedName>
    <definedName name="CUSTO_OUTROS" localSheetId="18">#REF!</definedName>
    <definedName name="CUSTO_OUTROS" localSheetId="7">#REF!</definedName>
    <definedName name="CUSTO_OUTROS" localSheetId="23">#REF!</definedName>
    <definedName name="CUSTO_OUTROS">#REF!</definedName>
    <definedName name="Custo_Outros1" localSheetId="12">#REF!</definedName>
    <definedName name="Custo_Outros1" localSheetId="30">#REF!</definedName>
    <definedName name="Custo_Outros1" localSheetId="28">#REF!</definedName>
    <definedName name="Custo_Outros1" localSheetId="27">#REF!</definedName>
    <definedName name="Custo_Outros1" localSheetId="18">#REF!</definedName>
    <definedName name="Custo_Outros1" localSheetId="7">#REF!</definedName>
    <definedName name="Custo_Outros1" localSheetId="23">#REF!</definedName>
    <definedName name="Custo_Outros1">#REF!</definedName>
    <definedName name="CUSTODIRETO" localSheetId="12">#REF!</definedName>
    <definedName name="CUSTODIRETO" localSheetId="30">#REF!</definedName>
    <definedName name="CUSTODIRETO" localSheetId="28">#REF!</definedName>
    <definedName name="CUSTODIRETO" localSheetId="27">#REF!</definedName>
    <definedName name="CUSTODIRETO" localSheetId="18">#REF!</definedName>
    <definedName name="CUSTODIRETO" localSheetId="7">#REF!</definedName>
    <definedName name="CUSTODIRETO" localSheetId="23">#REF!</definedName>
    <definedName name="CUSTODIRETO">#REF!</definedName>
    <definedName name="CUSTODIRETO_R" localSheetId="12">#REF!</definedName>
    <definedName name="CUSTODIRETO_R" localSheetId="30">#REF!</definedName>
    <definedName name="CUSTODIRETO_R" localSheetId="28">#REF!</definedName>
    <definedName name="CUSTODIRETO_R" localSheetId="27">#REF!</definedName>
    <definedName name="CUSTODIRETO_R" localSheetId="18">#REF!</definedName>
    <definedName name="CUSTODIRETO_R" localSheetId="7">#REF!</definedName>
    <definedName name="CUSTODIRETO_R" localSheetId="23">#REF!</definedName>
    <definedName name="CUSTODIRETO_R">#REF!</definedName>
    <definedName name="CUSTODIRETO_U" localSheetId="12">#REF!</definedName>
    <definedName name="CUSTODIRETO_U" localSheetId="30">#REF!</definedName>
    <definedName name="CUSTODIRETO_U" localSheetId="28">#REF!</definedName>
    <definedName name="CUSTODIRETO_U" localSheetId="27">#REF!</definedName>
    <definedName name="CUSTODIRETO_U" localSheetId="18">#REF!</definedName>
    <definedName name="CUSTODIRETO_U" localSheetId="7">#REF!</definedName>
    <definedName name="CUSTODIRETO_U" localSheetId="23">#REF!</definedName>
    <definedName name="CUSTODIRETO_U">#REF!</definedName>
    <definedName name="CUSTODIRETO1" localSheetId="12">#REF!</definedName>
    <definedName name="CUSTODIRETO1" localSheetId="30">#REF!</definedName>
    <definedName name="CUSTODIRETO1" localSheetId="28">#REF!</definedName>
    <definedName name="CUSTODIRETO1" localSheetId="27">#REF!</definedName>
    <definedName name="CUSTODIRETO1" localSheetId="18">#REF!</definedName>
    <definedName name="CUSTODIRETO1" localSheetId="7">#REF!</definedName>
    <definedName name="CUSTODIRETO1" localSheetId="23">#REF!</definedName>
    <definedName name="CUSTODIRETO1">#REF!</definedName>
    <definedName name="CUSTOFIN" localSheetId="12">#REF!</definedName>
    <definedName name="CUSTOFIN" localSheetId="30">#REF!</definedName>
    <definedName name="CUSTOFIN" localSheetId="28">#REF!</definedName>
    <definedName name="CUSTOFIN" localSheetId="27">#REF!</definedName>
    <definedName name="CUSTOFIN" localSheetId="18">#REF!</definedName>
    <definedName name="CUSTOFIN" localSheetId="7">#REF!</definedName>
    <definedName name="CUSTOFIN" localSheetId="23">#REF!</definedName>
    <definedName name="CUSTOFIN">#REF!</definedName>
    <definedName name="D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" localSheetId="12">#REF!</definedName>
    <definedName name="D" localSheetId="30">#REF!</definedName>
    <definedName name="D" localSheetId="28">#REF!</definedName>
    <definedName name="D" localSheetId="27">#REF!</definedName>
    <definedName name="D" localSheetId="18">#REF!</definedName>
    <definedName name="D" localSheetId="7">#REF!</definedName>
    <definedName name="D" localSheetId="23">#REF!</definedName>
    <definedName name="D">#REF!</definedName>
    <definedName name="da" localSheetId="12">#REF!</definedName>
    <definedName name="da" localSheetId="30">#REF!</definedName>
    <definedName name="da" localSheetId="28">#REF!</definedName>
    <definedName name="da" localSheetId="27">#REF!</definedName>
    <definedName name="da" localSheetId="18">#REF!</definedName>
    <definedName name="da" localSheetId="7">#REF!</definedName>
    <definedName name="da" localSheetId="23">#REF!</definedName>
    <definedName name="da">#REF!</definedName>
    <definedName name="dalmo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3" hidden="1">{#N/A,#N/A,FALSE,"Plan1";#N/A,#N/A,FALSE,"Plan2"}</definedName>
    <definedName name="dasfrt" localSheetId="33" hidden="1">{#N/A,#N/A,FALSE,"Plan1";#N/A,#N/A,FALSE,"Plan2"}</definedName>
    <definedName name="dasfrt" localSheetId="35" hidden="1">{#N/A,#N/A,FALSE,"Plan1";#N/A,#N/A,FALSE,"Plan2"}</definedName>
    <definedName name="dasfrt" hidden="1">{#N/A,#N/A,FALSE,"Plan1";#N/A,#N/A,FALSE,"Plan2"}</definedName>
    <definedName name="DATA" localSheetId="12">#REF!</definedName>
    <definedName name="DATA" localSheetId="30">#REF!</definedName>
    <definedName name="DATA" localSheetId="28">#REF!</definedName>
    <definedName name="DATA" localSheetId="27">#REF!</definedName>
    <definedName name="DATA" localSheetId="18">#REF!</definedName>
    <definedName name="DATA" localSheetId="7">#REF!</definedName>
    <definedName name="DATA" localSheetId="23">#REF!</definedName>
    <definedName name="DATA">#REF!</definedName>
    <definedName name="Data_base" localSheetId="12">#REF!</definedName>
    <definedName name="Data_base" localSheetId="30">#REF!</definedName>
    <definedName name="Data_base" localSheetId="28">#REF!</definedName>
    <definedName name="Data_base" localSheetId="27">#REF!</definedName>
    <definedName name="Data_base" localSheetId="18">#REF!</definedName>
    <definedName name="Data_base" localSheetId="7">#REF!</definedName>
    <definedName name="Data_base" localSheetId="23">#REF!</definedName>
    <definedName name="Data_base">#REF!</definedName>
    <definedName name="data_base_VL" localSheetId="12">#REF!</definedName>
    <definedName name="data_base_VL" localSheetId="30">#REF!</definedName>
    <definedName name="data_base_VL" localSheetId="28">#REF!</definedName>
    <definedName name="data_base_VL" localSheetId="27">#REF!</definedName>
    <definedName name="data_base_VL" localSheetId="18">#REF!</definedName>
    <definedName name="data_base_VL" localSheetId="7">#REF!</definedName>
    <definedName name="data_base_VL" localSheetId="23">#REF!</definedName>
    <definedName name="data_base_VL">#REF!</definedName>
    <definedName name="DATA_COTAÇÃO" localSheetId="12">#REF!</definedName>
    <definedName name="DATA_COTAÇÃO" localSheetId="30">#REF!</definedName>
    <definedName name="DATA_COTAÇÃO" localSheetId="28">#REF!</definedName>
    <definedName name="DATA_COTAÇÃO" localSheetId="27">#REF!</definedName>
    <definedName name="DATA_COTAÇÃO" localSheetId="18">#REF!</definedName>
    <definedName name="DATA_COTAÇÃO" localSheetId="7">#REF!</definedName>
    <definedName name="DATA_COTAÇÃO" localSheetId="23">#REF!</definedName>
    <definedName name="DATA_COTAÇÃO">#REF!</definedName>
    <definedName name="DATA_ENTREGA" localSheetId="12">#REF!</definedName>
    <definedName name="DATA_ENTREGA" localSheetId="30">#REF!</definedName>
    <definedName name="DATA_ENTREGA" localSheetId="28">#REF!</definedName>
    <definedName name="DATA_ENTREGA" localSheetId="27">#REF!</definedName>
    <definedName name="DATA_ENTREGA" localSheetId="18">#REF!</definedName>
    <definedName name="DATA_ENTREGA" localSheetId="7">#REF!</definedName>
    <definedName name="DATA_ENTREGA" localSheetId="23">#REF!</definedName>
    <definedName name="DATA_ENTREGA">#REF!</definedName>
    <definedName name="DATA_FECHA" localSheetId="12">#REF!</definedName>
    <definedName name="DATA_FECHA" localSheetId="30">#REF!</definedName>
    <definedName name="DATA_FECHA" localSheetId="28">#REF!</definedName>
    <definedName name="DATA_FECHA" localSheetId="27">#REF!</definedName>
    <definedName name="DATA_FECHA" localSheetId="18">#REF!</definedName>
    <definedName name="DATA_FECHA" localSheetId="7">#REF!</definedName>
    <definedName name="DATA_FECHA" localSheetId="23">#REF!</definedName>
    <definedName name="DATA_FECHA">#REF!</definedName>
    <definedName name="Data_Inicio" localSheetId="12">#REF!</definedName>
    <definedName name="Data_Inicio" localSheetId="30">#REF!</definedName>
    <definedName name="Data_Inicio" localSheetId="28">#REF!</definedName>
    <definedName name="Data_Inicio" localSheetId="27">#REF!</definedName>
    <definedName name="Data_Inicio" localSheetId="18">#REF!</definedName>
    <definedName name="Data_Inicio" localSheetId="7">#REF!</definedName>
    <definedName name="Data_Inicio" localSheetId="23">#REF!</definedName>
    <definedName name="Data_Inicio">#REF!</definedName>
    <definedName name="Data_Lançado_Sienge" localSheetId="12">#REF!</definedName>
    <definedName name="Data_Lançado_Sienge" localSheetId="30">#REF!</definedName>
    <definedName name="Data_Lançado_Sienge" localSheetId="28">#REF!</definedName>
    <definedName name="Data_Lançado_Sienge" localSheetId="27">#REF!</definedName>
    <definedName name="Data_Lançado_Sienge" localSheetId="18">#REF!</definedName>
    <definedName name="Data_Lançado_Sienge" localSheetId="7">#REF!</definedName>
    <definedName name="Data_Lançado_Sienge" localSheetId="23">#REF!</definedName>
    <definedName name="Data_Lançado_Sienge">#REF!</definedName>
    <definedName name="Data_Pagamento_Sienge" localSheetId="12">#REF!</definedName>
    <definedName name="Data_Pagamento_Sienge" localSheetId="30">#REF!</definedName>
    <definedName name="Data_Pagamento_Sienge" localSheetId="28">#REF!</definedName>
    <definedName name="Data_Pagamento_Sienge" localSheetId="27">#REF!</definedName>
    <definedName name="Data_Pagamento_Sienge" localSheetId="18">#REF!</definedName>
    <definedName name="Data_Pagamento_Sienge" localSheetId="7">#REF!</definedName>
    <definedName name="Data_Pagamento_Sienge" localSheetId="23">#REF!</definedName>
    <definedName name="Data_Pagamento_Sienge">#REF!</definedName>
    <definedName name="Data_Previsão_Medição_Fin_Medição" localSheetId="12">#REF!</definedName>
    <definedName name="Data_Previsão_Medição_Fin_Medição" localSheetId="30">#REF!</definedName>
    <definedName name="Data_Previsão_Medição_Fin_Medição" localSheetId="28">#REF!</definedName>
    <definedName name="Data_Previsão_Medição_Fin_Medição" localSheetId="27">#REF!</definedName>
    <definedName name="Data_Previsão_Medição_Fin_Medição" localSheetId="18">#REF!</definedName>
    <definedName name="Data_Previsão_Medição_Fin_Medição" localSheetId="7">#REF!</definedName>
    <definedName name="Data_Previsão_Medição_Fin_Medição" localSheetId="23">#REF!</definedName>
    <definedName name="Data_Previsão_Medição_Fin_Medição">#REF!</definedName>
    <definedName name="Data_Tendência_Recebimento_Fin_Medições" localSheetId="12">#REF!</definedName>
    <definedName name="Data_Tendência_Recebimento_Fin_Medições" localSheetId="30">#REF!</definedName>
    <definedName name="Data_Tendência_Recebimento_Fin_Medições" localSheetId="28">#REF!</definedName>
    <definedName name="Data_Tendência_Recebimento_Fin_Medições" localSheetId="27">#REF!</definedName>
    <definedName name="Data_Tendência_Recebimento_Fin_Medições" localSheetId="18">#REF!</definedName>
    <definedName name="Data_Tendência_Recebimento_Fin_Medições" localSheetId="7">#REF!</definedName>
    <definedName name="Data_Tendência_Recebimento_Fin_Medições" localSheetId="23">#REF!</definedName>
    <definedName name="Data_Tendência_Recebimento_Fin_Medições">#REF!</definedName>
    <definedName name="DATA1" localSheetId="12">#REF!</definedName>
    <definedName name="DATA1" localSheetId="30">#REF!</definedName>
    <definedName name="DATA1" localSheetId="28">#REF!</definedName>
    <definedName name="DATA1" localSheetId="27">#REF!</definedName>
    <definedName name="DATA1" localSheetId="18">#REF!</definedName>
    <definedName name="DATA1" localSheetId="7">#REF!</definedName>
    <definedName name="DATA1" localSheetId="23">#REF!</definedName>
    <definedName name="DATA1">#REF!</definedName>
    <definedName name="DATA3" localSheetId="12">#REF!</definedName>
    <definedName name="DATA3" localSheetId="30">#REF!</definedName>
    <definedName name="DATA3" localSheetId="28">#REF!</definedName>
    <definedName name="DATA3" localSheetId="27">#REF!</definedName>
    <definedName name="DATA3" localSheetId="18">#REF!</definedName>
    <definedName name="DATA3" localSheetId="7">#REF!</definedName>
    <definedName name="DATA3" localSheetId="23">#REF!</definedName>
    <definedName name="DATA3">#REF!</definedName>
    <definedName name="DATA4" localSheetId="12">#REF!</definedName>
    <definedName name="DATA4" localSheetId="30">#REF!</definedName>
    <definedName name="DATA4" localSheetId="28">#REF!</definedName>
    <definedName name="DATA4" localSheetId="27">#REF!</definedName>
    <definedName name="DATA4" localSheetId="18">#REF!</definedName>
    <definedName name="DATA4" localSheetId="7">#REF!</definedName>
    <definedName name="DATA4" localSheetId="23">#REF!</definedName>
    <definedName name="DATA4">#REF!</definedName>
    <definedName name="DATA6" localSheetId="12">#REF!</definedName>
    <definedName name="DATA6" localSheetId="30">#REF!</definedName>
    <definedName name="DATA6" localSheetId="28">#REF!</definedName>
    <definedName name="DATA6" localSheetId="27">#REF!</definedName>
    <definedName name="DATA6" localSheetId="18">#REF!</definedName>
    <definedName name="DATA6" localSheetId="7">#REF!</definedName>
    <definedName name="DATA6" localSheetId="23">#REF!</definedName>
    <definedName name="DATA6">#REF!</definedName>
    <definedName name="DataChaves_MAP" localSheetId="12">#REF!</definedName>
    <definedName name="DataChaves_MAP" localSheetId="30">#REF!</definedName>
    <definedName name="DataChaves_MAP" localSheetId="28">#REF!</definedName>
    <definedName name="DataChaves_MAP" localSheetId="27">#REF!</definedName>
    <definedName name="DataChaves_MAP" localSheetId="18">#REF!</definedName>
    <definedName name="DataChaves_MAP" localSheetId="7">#REF!</definedName>
    <definedName name="DataChaves_MAP" localSheetId="23">#REF!</definedName>
    <definedName name="DataChaves_MAP">#REF!</definedName>
    <definedName name="DatasOut13AteDez20" localSheetId="12">#REF!</definedName>
    <definedName name="DatasOut13AteDez20" localSheetId="30">#REF!</definedName>
    <definedName name="DatasOut13AteDez20" localSheetId="28">#REF!</definedName>
    <definedName name="DatasOut13AteDez20" localSheetId="27">#REF!</definedName>
    <definedName name="DatasOut13AteDez20" localSheetId="18">#REF!</definedName>
    <definedName name="DatasOut13AteDez20" localSheetId="7">#REF!</definedName>
    <definedName name="DatasOut13AteDez20" localSheetId="23">#REF!</definedName>
    <definedName name="DatasOut13AteDez20">#REF!</definedName>
    <definedName name="DÇDL" localSheetId="3" hidden="1">{#N/A,#N/A,FALSE,"Plan1";#N/A,#N/A,FALSE,"Plan2"}</definedName>
    <definedName name="DÇDL" localSheetId="33" hidden="1">{#N/A,#N/A,FALSE,"Plan1";#N/A,#N/A,FALSE,"Plan2"}</definedName>
    <definedName name="DÇDL" localSheetId="35" hidden="1">{#N/A,#N/A,FALSE,"Plan1";#N/A,#N/A,FALSE,"Plan2"}</definedName>
    <definedName name="DÇDL" hidden="1">{#N/A,#N/A,FALSE,"Plan1";#N/A,#N/A,FALSE,"Plan2"}</definedName>
    <definedName name="dchart26" localSheetId="3" hidden="1">#REF!</definedName>
    <definedName name="dchart26" localSheetId="12" hidden="1">#REF!</definedName>
    <definedName name="dchart26" localSheetId="30" hidden="1">#REF!</definedName>
    <definedName name="dchart26" localSheetId="28" hidden="1">#REF!</definedName>
    <definedName name="dchart26" localSheetId="27" hidden="1">#REF!</definedName>
    <definedName name="dchart26" localSheetId="18" hidden="1">#REF!</definedName>
    <definedName name="dchart26" localSheetId="7" hidden="1">#REF!</definedName>
    <definedName name="dchart26" localSheetId="23" hidden="1">#REF!</definedName>
    <definedName name="dchart26" hidden="1">#REF!</definedName>
    <definedName name="dchart31" localSheetId="12" hidden="1">#REF!</definedName>
    <definedName name="dchart31" localSheetId="30" hidden="1">#REF!</definedName>
    <definedName name="dchart31" localSheetId="28" hidden="1">#REF!</definedName>
    <definedName name="dchart31" localSheetId="27" hidden="1">#REF!</definedName>
    <definedName name="dchart31" localSheetId="18" hidden="1">#REF!</definedName>
    <definedName name="dchart31" localSheetId="7" hidden="1">#REF!</definedName>
    <definedName name="dchart31" localSheetId="23" hidden="1">#REF!</definedName>
    <definedName name="dchart31" hidden="1">#REF!</definedName>
    <definedName name="dcnsfgdjkgb" localSheetId="3" hidden="1">{#N/A,#N/A,FALSE,"Plan1";#N/A,#N/A,FALSE,"Plan2"}</definedName>
    <definedName name="dcnsfgdjkgb" localSheetId="33" hidden="1">{#N/A,#N/A,FALSE,"Plan1";#N/A,#N/A,FALSE,"Plan2"}</definedName>
    <definedName name="dcnsfgdjkgb" localSheetId="35" hidden="1">{#N/A,#N/A,FALSE,"Plan1";#N/A,#N/A,FALSE,"Plan2"}</definedName>
    <definedName name="dcnsfgdjkgb" hidden="1">{#N/A,#N/A,FALSE,"Plan1";#N/A,#N/A,FALSE,"Plan2"}</definedName>
    <definedName name="DÇWK" localSheetId="3" hidden="1">{#N/A,#N/A,FALSE,"Plan1";#N/A,#N/A,FALSE,"Plan2"}</definedName>
    <definedName name="DÇWK" localSheetId="33" hidden="1">{#N/A,#N/A,FALSE,"Plan1";#N/A,#N/A,FALSE,"Plan2"}</definedName>
    <definedName name="DÇWK" localSheetId="35" hidden="1">{#N/A,#N/A,FALSE,"Plan1";#N/A,#N/A,FALSE,"Plan2"}</definedName>
    <definedName name="DÇWK" hidden="1">{#N/A,#N/A,FALSE,"Plan1";#N/A,#N/A,FALSE,"Plan2"}</definedName>
    <definedName name="DD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12">#REF!</definedName>
    <definedName name="DDD" localSheetId="30">#REF!</definedName>
    <definedName name="DDD" localSheetId="28">#REF!</definedName>
    <definedName name="DDD" localSheetId="27">#REF!</definedName>
    <definedName name="DDD" localSheetId="18">#REF!</definedName>
    <definedName name="ddd" localSheetId="35" hidden="1">{"'장비'!$A$3:$M$12"}</definedName>
    <definedName name="DDD" localSheetId="7">#REF!</definedName>
    <definedName name="DDD" localSheetId="23">#REF!</definedName>
    <definedName name="DDD">#REF!</definedName>
    <definedName name="ddddd" localSheetId="3" hidden="1">{#N/A,#N/A,FALSE,"Plan1";#N/A,#N/A,FALSE,"Plan2"}</definedName>
    <definedName name="ddddd" localSheetId="33" hidden="1">{#N/A,#N/A,FALSE,"Plan1";#N/A,#N/A,FALSE,"Plan2"}</definedName>
    <definedName name="ddddd" localSheetId="35" hidden="1">{#N/A,#N/A,FALSE,"Plan1";#N/A,#N/A,FALSE,"Plan2"}</definedName>
    <definedName name="ddddd" hidden="1">{#N/A,#N/A,FALSE,"Plan1";#N/A,#N/A,FALSE,"Plan2"}</definedName>
    <definedName name="ddddddddddd" localSheetId="12">#REF!</definedName>
    <definedName name="ddddddddddd" localSheetId="30">#REF!</definedName>
    <definedName name="ddddddddddd" localSheetId="28">#REF!</definedName>
    <definedName name="ddddddddddd" localSheetId="27">#REF!</definedName>
    <definedName name="ddddddddddd" localSheetId="21">#REF!</definedName>
    <definedName name="ddddddddddd" localSheetId="18">#REF!</definedName>
    <definedName name="ddddddddddd" localSheetId="7">#REF!</definedName>
    <definedName name="ddddddddddd" localSheetId="23">#REF!</definedName>
    <definedName name="ddddddddddd">#REF!</definedName>
    <definedName name="dddddddddddddddddddddddddd" localSheetId="12">#REF!</definedName>
    <definedName name="dddddddddddddddddddddddddd" localSheetId="30">#REF!</definedName>
    <definedName name="dddddddddddddddddddddddddd" localSheetId="28">#REF!</definedName>
    <definedName name="dddddddddddddddddddddddddd" localSheetId="27">#REF!</definedName>
    <definedName name="dddddddddddddddddddddddddd" localSheetId="18">#REF!</definedName>
    <definedName name="dddddddddddddddddddddddddd" localSheetId="7">#REF!</definedName>
    <definedName name="dddddddddddddddddddddddddd" localSheetId="23">#REF!</definedName>
    <definedName name="dddddddddddddddddddddddddd">#REF!</definedName>
    <definedName name="dddddddddddddppppppppp" localSheetId="12">#REF!</definedName>
    <definedName name="dddddddddddddppppppppp" localSheetId="30">#REF!</definedName>
    <definedName name="dddddddddddddppppppppp" localSheetId="28">#REF!</definedName>
    <definedName name="dddddddddddddppppppppp" localSheetId="27">#REF!</definedName>
    <definedName name="dddddddddddddppppppppp" localSheetId="18">#REF!</definedName>
    <definedName name="dddddddddddddppppppppp" localSheetId="7">#REF!</definedName>
    <definedName name="dddddddddddddppppppppp" localSheetId="23">#REF!</definedName>
    <definedName name="dddddddddddddppppppppp">#REF!</definedName>
    <definedName name="dde" localSheetId="3" hidden="1">{#N/A,#N/A,FALSE,"Plan1";#N/A,#N/A,FALSE,"Plan2"}</definedName>
    <definedName name="dde" localSheetId="33" hidden="1">{#N/A,#N/A,FALSE,"Plan1";#N/A,#N/A,FALSE,"Plan2"}</definedName>
    <definedName name="dde" localSheetId="35" hidden="1">{#N/A,#N/A,FALSE,"Plan1";#N/A,#N/A,FALSE,"Plan2"}</definedName>
    <definedName name="dde" hidden="1">{#N/A,#N/A,FALSE,"Plan1";#N/A,#N/A,FALSE,"Plan2"}</definedName>
    <definedName name="ddfs" localSheetId="3" hidden="1">#REF!</definedName>
    <definedName name="ddfs" localSheetId="12" hidden="1">#REF!</definedName>
    <definedName name="ddfs" localSheetId="30" hidden="1">#REF!</definedName>
    <definedName name="ddfs" localSheetId="28" hidden="1">#REF!</definedName>
    <definedName name="ddfs" localSheetId="27" hidden="1">#REF!</definedName>
    <definedName name="ddfs" localSheetId="18" hidden="1">#REF!</definedName>
    <definedName name="ddfs" localSheetId="7" hidden="1">#REF!</definedName>
    <definedName name="ddfs" localSheetId="23" hidden="1">#REF!</definedName>
    <definedName name="ddfs" hidden="1">#REF!</definedName>
    <definedName name="ddgfdvgd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3" hidden="1">{#N/A,#N/A,FALSE,"Plan1";#N/A,#N/A,FALSE,"Plan2"}</definedName>
    <definedName name="DDGSFG" localSheetId="33" hidden="1">{#N/A,#N/A,FALSE,"Plan1";#N/A,#N/A,FALSE,"Plan2"}</definedName>
    <definedName name="DDGSFG" localSheetId="35" hidden="1">{#N/A,#N/A,FALSE,"Plan1";#N/A,#N/A,FALSE,"Plan2"}</definedName>
    <definedName name="DDGSFG" hidden="1">{#N/A,#N/A,FALSE,"Plan1";#N/A,#N/A,FALSE,"Plan2"}</definedName>
    <definedName name="dede" localSheetId="3" hidden="1">{#N/A,#N/A,FALSE,"Plan1";#N/A,#N/A,FALSE,"Plan2"}</definedName>
    <definedName name="dede" localSheetId="33" hidden="1">{#N/A,#N/A,FALSE,"Plan1";#N/A,#N/A,FALSE,"Plan2"}</definedName>
    <definedName name="dede" localSheetId="35" hidden="1">{#N/A,#N/A,FALSE,"Plan1";#N/A,#N/A,FALSE,"Plan2"}</definedName>
    <definedName name="dede" hidden="1">{#N/A,#N/A,FALSE,"Plan1";#N/A,#N/A,FALSE,"Plan2"}</definedName>
    <definedName name="defasagem" localSheetId="12">OFFSET(INDEX(#REF!,MATCH(#REF!,#REF!,0)),1,0,COUNTA(#REF!)-1)</definedName>
    <definedName name="defasagem" localSheetId="30">OFFSET(INDEX(#REF!,MATCH(#REF!,#REF!,0)),1,0,COUNTA(#REF!)-1)</definedName>
    <definedName name="defasagem" localSheetId="28">OFFSET(INDEX(#REF!,MATCH(#REF!,#REF!,0)),1,0,COUNTA(#REF!)-1)</definedName>
    <definedName name="defasagem" localSheetId="27">OFFSET(INDEX(#REF!,MATCH(#REF!,#REF!,0)),1,0,COUNTA(#REF!)-1)</definedName>
    <definedName name="defasagem" localSheetId="18">OFFSET(INDEX(#REF!,MATCH(#REF!,#REF!,0)),1,0,COUNTA(#REF!)-1)</definedName>
    <definedName name="defasagem" localSheetId="7">OFFSET(INDEX(#REF!,MATCH(#REF!,#REF!,0)),1,0,COUNTA(#REF!)-1)</definedName>
    <definedName name="defasagem" localSheetId="23">OFFSET(INDEX(#REF!,MATCH(#REF!,#REF!,0)),1,0,COUNTA(#REF!)-1)</definedName>
    <definedName name="defasagem">OFFSET(INDEX(#REF!,MATCH(#REF!,#REF!,0)),1,0,COUNTA(#REF!)-1)</definedName>
    <definedName name="depara" localSheetId="12">#REF!</definedName>
    <definedName name="depara" localSheetId="30">#REF!</definedName>
    <definedName name="depara" localSheetId="28">#REF!</definedName>
    <definedName name="depara" localSheetId="27">#REF!</definedName>
    <definedName name="depara" localSheetId="18">#REF!</definedName>
    <definedName name="depara" localSheetId="7">#REF!</definedName>
    <definedName name="depara" localSheetId="23">#REF!</definedName>
    <definedName name="depara">#REF!</definedName>
    <definedName name="DERIVQT" localSheetId="12">#REF!</definedName>
    <definedName name="DERIVQT" localSheetId="30">#REF!</definedName>
    <definedName name="DERIVQT" localSheetId="28">#REF!</definedName>
    <definedName name="DERIVQT" localSheetId="27">#REF!</definedName>
    <definedName name="DERIVQT" localSheetId="18">#REF!</definedName>
    <definedName name="DERIVQT" localSheetId="7">#REF!</definedName>
    <definedName name="DERIVQT" localSheetId="23">#REF!</definedName>
    <definedName name="DERIVQT">#REF!</definedName>
    <definedName name="des" localSheetId="3" hidden="1">{#N/A,#N/A,FALSE,"Plan1";#N/A,#N/A,FALSE,"Plan2"}</definedName>
    <definedName name="des" localSheetId="33" hidden="1">{#N/A,#N/A,FALSE,"Plan1";#N/A,#N/A,FALSE,"Plan2"}</definedName>
    <definedName name="des" localSheetId="35" hidden="1">{#N/A,#N/A,FALSE,"Plan1";#N/A,#N/A,FALSE,"Plan2"}</definedName>
    <definedName name="des" hidden="1">{#N/A,#N/A,FALSE,"Plan1";#N/A,#N/A,FALSE,"Plan2"}</definedName>
    <definedName name="desc" localSheetId="3" hidden="1">{#N/A,#N/A,FALSE,"Plan1";#N/A,#N/A,FALSE,"Plan2"}</definedName>
    <definedName name="desc" localSheetId="33" hidden="1">{#N/A,#N/A,FALSE,"Plan1";#N/A,#N/A,FALSE,"Plan2"}</definedName>
    <definedName name="desc" localSheetId="35" hidden="1">{#N/A,#N/A,FALSE,"Plan1";#N/A,#N/A,FALSE,"Plan2"}</definedName>
    <definedName name="desc" hidden="1">{#N/A,#N/A,FALSE,"Plan1";#N/A,#N/A,FALSE,"Plan2"}</definedName>
    <definedName name="DESCONTO" localSheetId="12">#REF!</definedName>
    <definedName name="DESCONTO" localSheetId="30">#REF!</definedName>
    <definedName name="DESCONTO" localSheetId="28">#REF!</definedName>
    <definedName name="DESCONTO" localSheetId="27">#REF!</definedName>
    <definedName name="DESCONTO" localSheetId="21">#REF!</definedName>
    <definedName name="DESCONTO" localSheetId="18">#REF!</definedName>
    <definedName name="DESCONTO" localSheetId="7">#REF!</definedName>
    <definedName name="DESCONTO" localSheetId="23">#REF!</definedName>
    <definedName name="DESCONTO">#REF!</definedName>
    <definedName name="DESCRIÇÃO_OBRA" localSheetId="12">#REF!</definedName>
    <definedName name="DESCRIÇÃO_OBRA" localSheetId="30">#REF!</definedName>
    <definedName name="DESCRIÇÃO_OBRA" localSheetId="28">#REF!</definedName>
    <definedName name="DESCRIÇÃO_OBRA" localSheetId="27">#REF!</definedName>
    <definedName name="DESCRIÇÃO_OBRA" localSheetId="18">#REF!</definedName>
    <definedName name="DESCRIÇÃO_OBRA" localSheetId="7">#REF!</definedName>
    <definedName name="DESCRIÇÃO_OBRA" localSheetId="23">#REF!</definedName>
    <definedName name="DESCRIÇÃO_OBRA">#REF!</definedName>
    <definedName name="DespFatur" localSheetId="12">#REF!</definedName>
    <definedName name="DespFatur" localSheetId="30">#REF!</definedName>
    <definedName name="DespFatur" localSheetId="28">#REF!</definedName>
    <definedName name="DespFatur" localSheetId="27">#REF!</definedName>
    <definedName name="DespFatur" localSheetId="18">#REF!</definedName>
    <definedName name="DespFatur" localSheetId="7">#REF!</definedName>
    <definedName name="DespFatur" localSheetId="23">#REF!</definedName>
    <definedName name="DespFatur">#REF!</definedName>
    <definedName name="DEZ" localSheetId="12">#REF!</definedName>
    <definedName name="DEZ" localSheetId="30">#REF!</definedName>
    <definedName name="DEZ" localSheetId="28">#REF!</definedName>
    <definedName name="DEZ" localSheetId="27">#REF!</definedName>
    <definedName name="DEZ" localSheetId="21">#REF!</definedName>
    <definedName name="DEZ" localSheetId="18">#REF!</definedName>
    <definedName name="DEZ" localSheetId="7">#REF!</definedName>
    <definedName name="DEZ" localSheetId="23">#REF!</definedName>
    <definedName name="DEZ">#REF!</definedName>
    <definedName name="dez17RJ" localSheetId="12">#REF!</definedName>
    <definedName name="dez17RJ" localSheetId="30">#REF!</definedName>
    <definedName name="dez17RJ" localSheetId="28">#REF!</definedName>
    <definedName name="dez17RJ" localSheetId="27">#REF!</definedName>
    <definedName name="dez17RJ" localSheetId="18">#REF!</definedName>
    <definedName name="dez17RJ" localSheetId="7">#REF!</definedName>
    <definedName name="dez17RJ" localSheetId="23">#REF!</definedName>
    <definedName name="dez17RJ">#REF!</definedName>
    <definedName name="DEZEMBRO" localSheetId="12">#REF!</definedName>
    <definedName name="DEZEMBRO" localSheetId="30">#REF!</definedName>
    <definedName name="DEZEMBRO" localSheetId="28">#REF!</definedName>
    <definedName name="DEZEMBRO" localSheetId="27">#REF!</definedName>
    <definedName name="DEZEMBRO" localSheetId="18">#REF!</definedName>
    <definedName name="DEZEMBRO" localSheetId="7">#REF!</definedName>
    <definedName name="DEZEMBRO" localSheetId="23">#REF!</definedName>
    <definedName name="DEZEMBRO">#REF!</definedName>
    <definedName name="DEZENOVE" localSheetId="12">#REF!</definedName>
    <definedName name="DEZENOVE" localSheetId="30">#REF!</definedName>
    <definedName name="DEZENOVE" localSheetId="28">#REF!</definedName>
    <definedName name="DEZENOVE" localSheetId="27">#REF!</definedName>
    <definedName name="DEZENOVE" localSheetId="21">#REF!</definedName>
    <definedName name="DEZENOVE" localSheetId="18">#REF!</definedName>
    <definedName name="DEZENOVE" localSheetId="7">#REF!</definedName>
    <definedName name="DEZENOVE" localSheetId="23">#REF!</definedName>
    <definedName name="DEZENOVE">#REF!</definedName>
    <definedName name="DEZESSEIS" localSheetId="12">#REF!</definedName>
    <definedName name="DEZESSEIS" localSheetId="30">#REF!</definedName>
    <definedName name="DEZESSEIS" localSheetId="28">#REF!</definedName>
    <definedName name="DEZESSEIS" localSheetId="27">#REF!</definedName>
    <definedName name="DEZESSEIS" localSheetId="21">#REF!</definedName>
    <definedName name="DEZESSEIS" localSheetId="18">#REF!</definedName>
    <definedName name="DEZESSEIS" localSheetId="7">#REF!</definedName>
    <definedName name="DEZESSEIS" localSheetId="23">#REF!</definedName>
    <definedName name="DEZESSEIS">#REF!</definedName>
    <definedName name="DEZESSETE" localSheetId="12">#REF!</definedName>
    <definedName name="DEZESSETE" localSheetId="30">#REF!</definedName>
    <definedName name="DEZESSETE" localSheetId="28">#REF!</definedName>
    <definedName name="DEZESSETE" localSheetId="27">#REF!</definedName>
    <definedName name="DEZESSETE" localSheetId="21">#REF!</definedName>
    <definedName name="DEZESSETE" localSheetId="18">#REF!</definedName>
    <definedName name="DEZESSETE" localSheetId="7">#REF!</definedName>
    <definedName name="DEZESSETE" localSheetId="23">#REF!</definedName>
    <definedName name="DEZESSETE">#REF!</definedName>
    <definedName name="DEZOITO" localSheetId="12">#REF!</definedName>
    <definedName name="DEZOITO" localSheetId="30">#REF!</definedName>
    <definedName name="DEZOITO" localSheetId="28">#REF!</definedName>
    <definedName name="DEZOITO" localSheetId="27">#REF!</definedName>
    <definedName name="DEZOITO" localSheetId="21">#REF!</definedName>
    <definedName name="DEZOITO" localSheetId="18">#REF!</definedName>
    <definedName name="DEZOITO" localSheetId="7">#REF!</definedName>
    <definedName name="DEZOITO" localSheetId="23">#REF!</definedName>
    <definedName name="DEZOITO">#REF!</definedName>
    <definedName name="d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33" hidden="1">{#N/A,#N/A,FALSE,"명세표"}</definedName>
    <definedName name="DFD" localSheetId="35" hidden="1">{#N/A,#N/A,FALSE,"명세표"}</definedName>
    <definedName name="DFD" hidden="1">{#N/A,#N/A,FALSE,"명세표"}</definedName>
    <definedName name="dfdfty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3" hidden="1">{#N/A,#N/A,FALSE,"Plan1";#N/A,#N/A,FALSE,"Plan2"}</definedName>
    <definedName name="dfdjgfdfgdf" localSheetId="33" hidden="1">{#N/A,#N/A,FALSE,"Plan1";#N/A,#N/A,FALSE,"Plan2"}</definedName>
    <definedName name="dfdjgfdfgdf" localSheetId="35" hidden="1">{#N/A,#N/A,FALSE,"Plan1";#N/A,#N/A,FALSE,"Plan2"}</definedName>
    <definedName name="dfdjgfdfgdf" hidden="1">{#N/A,#N/A,FALSE,"Plan1";#N/A,#N/A,FALSE,"Plan2"}</definedName>
    <definedName name="dfdrtrr" localSheetId="3" hidden="1">{#N/A,#N/A,FALSE,"Plan1";#N/A,#N/A,FALSE,"Plan2"}</definedName>
    <definedName name="dfdrtrr" localSheetId="33" hidden="1">{#N/A,#N/A,FALSE,"Plan1";#N/A,#N/A,FALSE,"Plan2"}</definedName>
    <definedName name="dfdrtrr" localSheetId="35" hidden="1">{#N/A,#N/A,FALSE,"Plan1";#N/A,#N/A,FALSE,"Plan2"}</definedName>
    <definedName name="dfdrtrr" hidden="1">{#N/A,#N/A,FALSE,"Plan1";#N/A,#N/A,FALSE,"Plan2"}</definedName>
    <definedName name="DFDSG" localSheetId="3" hidden="1">{#N/A,#N/A,FALSE,"Plan1";#N/A,#N/A,FALSE,"Plan2"}</definedName>
    <definedName name="DFDSG" localSheetId="33" hidden="1">{#N/A,#N/A,FALSE,"Plan1";#N/A,#N/A,FALSE,"Plan2"}</definedName>
    <definedName name="DFDSG" localSheetId="35" hidden="1">{#N/A,#N/A,FALSE,"Plan1";#N/A,#N/A,FALSE,"Plan2"}</definedName>
    <definedName name="DFDSG" hidden="1">{#N/A,#N/A,FALSE,"Plan1";#N/A,#N/A,FALSE,"Plan2"}</definedName>
    <definedName name="dfer" localSheetId="3" hidden="1">{#N/A,#N/A,FALSE,"Plan1";#N/A,#N/A,FALSE,"Plan2"}</definedName>
    <definedName name="dfer" localSheetId="33" hidden="1">{#N/A,#N/A,FALSE,"Plan1";#N/A,#N/A,FALSE,"Plan2"}</definedName>
    <definedName name="dfer" localSheetId="35" hidden="1">{#N/A,#N/A,FALSE,"Plan1";#N/A,#N/A,FALSE,"Plan2"}</definedName>
    <definedName name="dfer" hidden="1">{#N/A,#N/A,FALSE,"Plan1";#N/A,#N/A,FALSE,"Plan2"}</definedName>
    <definedName name="dffbty" localSheetId="3" hidden="1">{#N/A,#N/A,FALSE,"Plan1";#N/A,#N/A,FALSE,"Plan2"}</definedName>
    <definedName name="dffbty" localSheetId="33" hidden="1">{#N/A,#N/A,FALSE,"Plan1";#N/A,#N/A,FALSE,"Plan2"}</definedName>
    <definedName name="dffbty" localSheetId="35" hidden="1">{#N/A,#N/A,FALSE,"Plan1";#N/A,#N/A,FALSE,"Plan2"}</definedName>
    <definedName name="dffbty" hidden="1">{#N/A,#N/A,FALSE,"Plan1";#N/A,#N/A,FALSE,"Plan2"}</definedName>
    <definedName name="dffg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3" hidden="1">{#N/A,#N/A,FALSE,"Plan1";#N/A,#N/A,FALSE,"Plan2"}</definedName>
    <definedName name="dffhg" localSheetId="33" hidden="1">{#N/A,#N/A,FALSE,"Plan1";#N/A,#N/A,FALSE,"Plan2"}</definedName>
    <definedName name="dffhg" localSheetId="35" hidden="1">{#N/A,#N/A,FALSE,"Plan1";#N/A,#N/A,FALSE,"Plan2"}</definedName>
    <definedName name="dffhg" hidden="1">{#N/A,#N/A,FALSE,"Plan1";#N/A,#N/A,FALSE,"Plan2"}</definedName>
    <definedName name="dfg" localSheetId="3" hidden="1">{#N/A,#N/A,FALSE,"Plan1";#N/A,#N/A,FALSE,"Plan2"}</definedName>
    <definedName name="dfg" localSheetId="33" hidden="1">{#N/A,#N/A,FALSE,"Plan1";#N/A,#N/A,FALSE,"Plan2"}</definedName>
    <definedName name="dfg" localSheetId="35" hidden="1">{#N/A,#N/A,FALSE,"Plan1";#N/A,#N/A,FALSE,"Plan2"}</definedName>
    <definedName name="dfg" hidden="1">{#N/A,#N/A,FALSE,"Plan1";#N/A,#N/A,FALSE,"Plan2"}</definedName>
    <definedName name="dfgdf" localSheetId="3" hidden="1">{#N/A,#N/A,FALSE,"Plan1";#N/A,#N/A,FALSE,"Plan2"}</definedName>
    <definedName name="dfgdf" localSheetId="33" hidden="1">{#N/A,#N/A,FALSE,"Plan1";#N/A,#N/A,FALSE,"Plan2"}</definedName>
    <definedName name="dfgdf" localSheetId="35" hidden="1">{#N/A,#N/A,FALSE,"Plan1";#N/A,#N/A,FALSE,"Plan2"}</definedName>
    <definedName name="dfgdf" hidden="1">{#N/A,#N/A,FALSE,"Plan1";#N/A,#N/A,FALSE,"Plan2"}</definedName>
    <definedName name="dfgdytygr" localSheetId="3" hidden="1">{#N/A,#N/A,FALSE,"Plan1";#N/A,#N/A,FALSE,"Plan2"}</definedName>
    <definedName name="dfgdytygr" localSheetId="33" hidden="1">{#N/A,#N/A,FALSE,"Plan1";#N/A,#N/A,FALSE,"Plan2"}</definedName>
    <definedName name="dfgdytygr" localSheetId="35" hidden="1">{#N/A,#N/A,FALSE,"Plan1";#N/A,#N/A,FALSE,"Plan2"}</definedName>
    <definedName name="dfgdytygr" hidden="1">{#N/A,#N/A,FALSE,"Plan1";#N/A,#N/A,FALSE,"Plan2"}</definedName>
    <definedName name="dfgftrrdt5" localSheetId="3" hidden="1">{#N/A,#N/A,FALSE,"Plan1";#N/A,#N/A,FALSE,"Plan2"}</definedName>
    <definedName name="dfgftrrdt5" localSheetId="33" hidden="1">{#N/A,#N/A,FALSE,"Plan1";#N/A,#N/A,FALSE,"Plan2"}</definedName>
    <definedName name="dfgftrrdt5" localSheetId="35" hidden="1">{#N/A,#N/A,FALSE,"Plan1";#N/A,#N/A,FALSE,"Plan2"}</definedName>
    <definedName name="dfgftrrdt5" hidden="1">{#N/A,#N/A,FALSE,"Plan1";#N/A,#N/A,FALSE,"Plan2"}</definedName>
    <definedName name="dfgh" localSheetId="12">#REF!</definedName>
    <definedName name="dfgh" localSheetId="30">#REF!</definedName>
    <definedName name="dfgh" localSheetId="28">#REF!</definedName>
    <definedName name="dfgh" localSheetId="27">#REF!</definedName>
    <definedName name="dfgh" localSheetId="18">#REF!</definedName>
    <definedName name="dfgh" localSheetId="7">#REF!</definedName>
    <definedName name="dfgh" localSheetId="23">#REF!</definedName>
    <definedName name="dfgh">#REF!</definedName>
    <definedName name="dfghjfhsg" localSheetId="3" hidden="1">{#N/A,#N/A,FALSE,"Plan1";#N/A,#N/A,FALSE,"Plan2"}</definedName>
    <definedName name="dfghjfhsg" localSheetId="33" hidden="1">{#N/A,#N/A,FALSE,"Plan1";#N/A,#N/A,FALSE,"Plan2"}</definedName>
    <definedName name="dfghjfhsg" localSheetId="35" hidden="1">{#N/A,#N/A,FALSE,"Plan1";#N/A,#N/A,FALSE,"Plan2"}</definedName>
    <definedName name="dfghjfhsg" hidden="1">{#N/A,#N/A,FALSE,"Plan1";#N/A,#N/A,FALSE,"Plan2"}</definedName>
    <definedName name="dfgj" localSheetId="3" hidden="1">{#N/A,#N/A,FALSE,"Plan1";#N/A,#N/A,FALSE,"Plan2"}</definedName>
    <definedName name="dfgj" localSheetId="33" hidden="1">{#N/A,#N/A,FALSE,"Plan1";#N/A,#N/A,FALSE,"Plan2"}</definedName>
    <definedName name="dfgj" localSheetId="35" hidden="1">{#N/A,#N/A,FALSE,"Plan1";#N/A,#N/A,FALSE,"Plan2"}</definedName>
    <definedName name="dfgj" hidden="1">{#N/A,#N/A,FALSE,"Plan1";#N/A,#N/A,FALSE,"Plan2"}</definedName>
    <definedName name="dfgjfttyd" localSheetId="3" hidden="1">{#N/A,#N/A,FALSE,"Plan1";#N/A,#N/A,FALSE,"Plan2"}</definedName>
    <definedName name="dfgjfttyd" localSheetId="33" hidden="1">{#N/A,#N/A,FALSE,"Plan1";#N/A,#N/A,FALSE,"Plan2"}</definedName>
    <definedName name="dfgjfttyd" localSheetId="35" hidden="1">{#N/A,#N/A,FALSE,"Plan1";#N/A,#N/A,FALSE,"Plan2"}</definedName>
    <definedName name="dfgjfttyd" hidden="1">{#N/A,#N/A,FALSE,"Plan1";#N/A,#N/A,FALSE,"Plan2"}</definedName>
    <definedName name="dfgjjtdrtg" localSheetId="3" hidden="1">{#N/A,#N/A,FALSE,"Plan1";#N/A,#N/A,FALSE,"Plan2"}</definedName>
    <definedName name="dfgjjtdrtg" localSheetId="33" hidden="1">{#N/A,#N/A,FALSE,"Plan1";#N/A,#N/A,FALSE,"Plan2"}</definedName>
    <definedName name="dfgjjtdrtg" localSheetId="35" hidden="1">{#N/A,#N/A,FALSE,"Plan1";#N/A,#N/A,FALSE,"Plan2"}</definedName>
    <definedName name="dfgjjtdrtg" hidden="1">{#N/A,#N/A,FALSE,"Plan1";#N/A,#N/A,FALSE,"Plan2"}</definedName>
    <definedName name="dfgt" localSheetId="3" hidden="1">{#N/A,#N/A,FALSE,"Plan1";#N/A,#N/A,FALSE,"Plan2"}</definedName>
    <definedName name="dfgt" localSheetId="33" hidden="1">{#N/A,#N/A,FALSE,"Plan1";#N/A,#N/A,FALSE,"Plan2"}</definedName>
    <definedName name="dfgt" localSheetId="35" hidden="1">{#N/A,#N/A,FALSE,"Plan1";#N/A,#N/A,FALSE,"Plan2"}</definedName>
    <definedName name="dfgt" hidden="1">{#N/A,#N/A,FALSE,"Plan1";#N/A,#N/A,FALSE,"Plan2"}</definedName>
    <definedName name="dfgtrkjhk" localSheetId="3" hidden="1">{#N/A,#N/A,FALSE,"Plan1";#N/A,#N/A,FALSE,"Plan2"}</definedName>
    <definedName name="dfgtrkjhk" localSheetId="33" hidden="1">{#N/A,#N/A,FALSE,"Plan1";#N/A,#N/A,FALSE,"Plan2"}</definedName>
    <definedName name="dfgtrkjhk" localSheetId="35" hidden="1">{#N/A,#N/A,FALSE,"Plan1";#N/A,#N/A,FALSE,"Plan2"}</definedName>
    <definedName name="dfgtrkjhk" hidden="1">{#N/A,#N/A,FALSE,"Plan1";#N/A,#N/A,FALSE,"Plan2"}</definedName>
    <definedName name="dfgty" localSheetId="3" hidden="1">{#N/A,#N/A,FALSE,"Plan1";#N/A,#N/A,FALSE,"Plan2"}</definedName>
    <definedName name="dfgty" localSheetId="33" hidden="1">{#N/A,#N/A,FALSE,"Plan1";#N/A,#N/A,FALSE,"Plan2"}</definedName>
    <definedName name="dfgty" localSheetId="35" hidden="1">{#N/A,#N/A,FALSE,"Plan1";#N/A,#N/A,FALSE,"Plan2"}</definedName>
    <definedName name="dfgty" hidden="1">{#N/A,#N/A,FALSE,"Plan1";#N/A,#N/A,FALSE,"Plan2"}</definedName>
    <definedName name="dfhdgfdgf" localSheetId="3" hidden="1">{#N/A,#N/A,FALSE,"Plan1";#N/A,#N/A,FALSE,"Plan2"}</definedName>
    <definedName name="dfhdgfdgf" localSheetId="33" hidden="1">{#N/A,#N/A,FALSE,"Plan1";#N/A,#N/A,FALSE,"Plan2"}</definedName>
    <definedName name="dfhdgfdgf" localSheetId="35" hidden="1">{#N/A,#N/A,FALSE,"Plan1";#N/A,#N/A,FALSE,"Plan2"}</definedName>
    <definedName name="dfhdgfdgf" hidden="1">{#N/A,#N/A,FALSE,"Plan1";#N/A,#N/A,FALSE,"Plan2"}</definedName>
    <definedName name="DFHDJGJFHJGF" localSheetId="3" hidden="1">{#N/A,#N/A,FALSE,"Plan1";#N/A,#N/A,FALSE,"Plan2"}</definedName>
    <definedName name="DFHDJGJFHJGF" localSheetId="33" hidden="1">{#N/A,#N/A,FALSE,"Plan1";#N/A,#N/A,FALSE,"Plan2"}</definedName>
    <definedName name="DFHDJGJFHJGF" localSheetId="35" hidden="1">{#N/A,#N/A,FALSE,"Plan1";#N/A,#N/A,FALSE,"Plan2"}</definedName>
    <definedName name="DFHDJGJFHJGF" hidden="1">{#N/A,#N/A,FALSE,"Plan1";#N/A,#N/A,FALSE,"Plan2"}</definedName>
    <definedName name="dfhdyg" localSheetId="3" hidden="1">{#N/A,#N/A,FALSE,"Plan1";#N/A,#N/A,FALSE,"Plan2"}</definedName>
    <definedName name="dfhdyg" localSheetId="33" hidden="1">{#N/A,#N/A,FALSE,"Plan1";#N/A,#N/A,FALSE,"Plan2"}</definedName>
    <definedName name="dfhdyg" localSheetId="35" hidden="1">{#N/A,#N/A,FALSE,"Plan1";#N/A,#N/A,FALSE,"Plan2"}</definedName>
    <definedName name="dfhdyg" hidden="1">{#N/A,#N/A,FALSE,"Plan1";#N/A,#N/A,FALSE,"Plan2"}</definedName>
    <definedName name="DFHGDHUR" localSheetId="3" hidden="1">{#N/A,#N/A,FALSE,"Plan1";#N/A,#N/A,FALSE,"Plan2"}</definedName>
    <definedName name="DFHGDHUR" localSheetId="33" hidden="1">{#N/A,#N/A,FALSE,"Plan1";#N/A,#N/A,FALSE,"Plan2"}</definedName>
    <definedName name="DFHGDHUR" localSheetId="35" hidden="1">{#N/A,#N/A,FALSE,"Plan1";#N/A,#N/A,FALSE,"Plan2"}</definedName>
    <definedName name="DFHGDHUR" hidden="1">{#N/A,#N/A,FALSE,"Plan1";#N/A,#N/A,FALSE,"Plan2"}</definedName>
    <definedName name="dfhgjfgdhfjdrf" localSheetId="3" hidden="1">{#N/A,#N/A,FALSE,"Plan1";#N/A,#N/A,FALSE,"Plan2"}</definedName>
    <definedName name="dfhgjfgdhfjdrf" localSheetId="33" hidden="1">{#N/A,#N/A,FALSE,"Plan1";#N/A,#N/A,FALSE,"Plan2"}</definedName>
    <definedName name="dfhgjfgdhfjdrf" localSheetId="35" hidden="1">{#N/A,#N/A,FALSE,"Plan1";#N/A,#N/A,FALSE,"Plan2"}</definedName>
    <definedName name="dfhgjfgdhfjdrf" hidden="1">{#N/A,#N/A,FALSE,"Plan1";#N/A,#N/A,FALSE,"Plan2"}</definedName>
    <definedName name="dfhgkhfut" localSheetId="3" hidden="1">{#N/A,#N/A,FALSE,"Plan1";#N/A,#N/A,FALSE,"Plan2"}</definedName>
    <definedName name="dfhgkhfut" localSheetId="33" hidden="1">{#N/A,#N/A,FALSE,"Plan1";#N/A,#N/A,FALSE,"Plan2"}</definedName>
    <definedName name="dfhgkhfut" localSheetId="35" hidden="1">{#N/A,#N/A,FALSE,"Plan1";#N/A,#N/A,FALSE,"Plan2"}</definedName>
    <definedName name="dfhgkhfut" hidden="1">{#N/A,#N/A,FALSE,"Plan1";#N/A,#N/A,FALSE,"Plan2"}</definedName>
    <definedName name="dfhgkjdhkjghjd" localSheetId="3" hidden="1">#REF!</definedName>
    <definedName name="dfhgkjdhkjghjd" localSheetId="12" hidden="1">#REF!</definedName>
    <definedName name="dfhgkjdhkjghjd" localSheetId="30" hidden="1">#REF!</definedName>
    <definedName name="dfhgkjdhkjghjd" localSheetId="28" hidden="1">#REF!</definedName>
    <definedName name="dfhgkjdhkjghjd" localSheetId="27" hidden="1">#REF!</definedName>
    <definedName name="dfhgkjdhkjghjd" localSheetId="18" hidden="1">#REF!</definedName>
    <definedName name="dfhgkjdhkjghjd" localSheetId="7" hidden="1">#REF!</definedName>
    <definedName name="dfhgkjdhkjghjd" localSheetId="23" hidden="1">#REF!</definedName>
    <definedName name="dfhgkjdhkjghjd" hidden="1">#REF!</definedName>
    <definedName name="dfhguitrhfg" localSheetId="3" hidden="1">{#N/A,#N/A,FALSE,"Plan1";#N/A,#N/A,FALSE,"Plan2"}</definedName>
    <definedName name="dfhguitrhfg" localSheetId="33" hidden="1">{#N/A,#N/A,FALSE,"Plan1";#N/A,#N/A,FALSE,"Plan2"}</definedName>
    <definedName name="dfhguitrhfg" localSheetId="35" hidden="1">{#N/A,#N/A,FALSE,"Plan1";#N/A,#N/A,FALSE,"Plan2"}</definedName>
    <definedName name="dfhguitrhfg" hidden="1">{#N/A,#N/A,FALSE,"Plan1";#N/A,#N/A,FALSE,"Plan2"}</definedName>
    <definedName name="DFHKHDGKJHDKS" localSheetId="3" hidden="1">{#N/A,#N/A,FALSE,"Plan1";#N/A,#N/A,FALSE,"Plan2"}</definedName>
    <definedName name="DFHKHDGKJHDKS" localSheetId="33" hidden="1">{#N/A,#N/A,FALSE,"Plan1";#N/A,#N/A,FALSE,"Plan2"}</definedName>
    <definedName name="DFHKHDGKJHDKS" localSheetId="35" hidden="1">{#N/A,#N/A,FALSE,"Plan1";#N/A,#N/A,FALSE,"Plan2"}</definedName>
    <definedName name="DFHKHDGKJHDKS" hidden="1">{#N/A,#N/A,FALSE,"Plan1";#N/A,#N/A,FALSE,"Plan2"}</definedName>
    <definedName name="dfijvnqienvvnjv" localSheetId="12">#REF!</definedName>
    <definedName name="dfijvnqienvvnjv" localSheetId="30">#REF!</definedName>
    <definedName name="dfijvnqienvvnjv" localSheetId="28">#REF!</definedName>
    <definedName name="dfijvnqienvvnjv" localSheetId="27">#REF!</definedName>
    <definedName name="dfijvnqienvvnjv" localSheetId="18">#REF!</definedName>
    <definedName name="dfijvnqienvvnjv" localSheetId="7">#REF!</definedName>
    <definedName name="dfijvnqienvvnjv" localSheetId="23">#REF!</definedName>
    <definedName name="dfijvnqienvvnjv">#REF!</definedName>
    <definedName name="dfjgjfhykj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3" hidden="1">{#N/A,#N/A,FALSE,"Plan1";#N/A,#N/A,FALSE,"Plan2"}</definedName>
    <definedName name="dfjkgtdftr" localSheetId="33" hidden="1">{#N/A,#N/A,FALSE,"Plan1";#N/A,#N/A,FALSE,"Plan2"}</definedName>
    <definedName name="dfjkgtdftr" localSheetId="35" hidden="1">{#N/A,#N/A,FALSE,"Plan1";#N/A,#N/A,FALSE,"Plan2"}</definedName>
    <definedName name="dfjkgtdftr" hidden="1">{#N/A,#N/A,FALSE,"Plan1";#N/A,#N/A,FALSE,"Plan2"}</definedName>
    <definedName name="dfkhgfg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3" hidden="1">{#N/A,#N/A,FALSE,"Plan1";#N/A,#N/A,FALSE,"Plan2"}</definedName>
    <definedName name="dfknfhkdrj" localSheetId="33" hidden="1">{#N/A,#N/A,FALSE,"Plan1";#N/A,#N/A,FALSE,"Plan2"}</definedName>
    <definedName name="dfknfhkdrj" localSheetId="35" hidden="1">{#N/A,#N/A,FALSE,"Plan1";#N/A,#N/A,FALSE,"Plan2"}</definedName>
    <definedName name="dfknfhkdrj" hidden="1">{#N/A,#N/A,FALSE,"Plan1";#N/A,#N/A,FALSE,"Plan2"}</definedName>
    <definedName name="dfnert" localSheetId="3" hidden="1">{#N/A,#N/A,FALSE,"Plan1";#N/A,#N/A,FALSE,"Plan2"}</definedName>
    <definedName name="dfnert" localSheetId="33" hidden="1">{#N/A,#N/A,FALSE,"Plan1";#N/A,#N/A,FALSE,"Plan2"}</definedName>
    <definedName name="dfnert" localSheetId="35" hidden="1">{#N/A,#N/A,FALSE,"Plan1";#N/A,#N/A,FALSE,"Plan2"}</definedName>
    <definedName name="dfnert" hidden="1">{#N/A,#N/A,FALSE,"Plan1";#N/A,#N/A,FALSE,"Plan2"}</definedName>
    <definedName name="dfrt" localSheetId="3" hidden="1">{#N/A,#N/A,FALSE,"Plan1";#N/A,#N/A,FALSE,"Plan2"}</definedName>
    <definedName name="dfrt" localSheetId="33" hidden="1">{#N/A,#N/A,FALSE,"Plan1";#N/A,#N/A,FALSE,"Plan2"}</definedName>
    <definedName name="dfrt" localSheetId="35" hidden="1">{#N/A,#N/A,FALSE,"Plan1";#N/A,#N/A,FALSE,"Plan2"}</definedName>
    <definedName name="dfrt" hidden="1">{#N/A,#N/A,FALSE,"Plan1";#N/A,#N/A,FALSE,"Plan2"}</definedName>
    <definedName name="dfsdr5tt" localSheetId="3" hidden="1">{#N/A,#N/A,FALSE,"Plan1";#N/A,#N/A,FALSE,"Plan2"}</definedName>
    <definedName name="dfsdr5tt" localSheetId="33" hidden="1">{#N/A,#N/A,FALSE,"Plan1";#N/A,#N/A,FALSE,"Plan2"}</definedName>
    <definedName name="dfsdr5tt" localSheetId="35" hidden="1">{#N/A,#N/A,FALSE,"Plan1";#N/A,#N/A,FALSE,"Plan2"}</definedName>
    <definedName name="dfsdr5tt" hidden="1">{#N/A,#N/A,FALSE,"Plan1";#N/A,#N/A,FALSE,"Plan2"}</definedName>
    <definedName name="dfsds" localSheetId="3" hidden="1">#REF!</definedName>
    <definedName name="dfsds" localSheetId="12" hidden="1">#REF!</definedName>
    <definedName name="dfsds" localSheetId="30" hidden="1">#REF!</definedName>
    <definedName name="dfsds" localSheetId="28" hidden="1">#REF!</definedName>
    <definedName name="dfsds" localSheetId="27" hidden="1">#REF!</definedName>
    <definedName name="dfsds" localSheetId="18" hidden="1">#REF!</definedName>
    <definedName name="dfsds" localSheetId="7" hidden="1">#REF!</definedName>
    <definedName name="dfsds" localSheetId="23" hidden="1">#REF!</definedName>
    <definedName name="dfsds" hidden="1">#REF!</definedName>
    <definedName name="dfsd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3" hidden="1">{#N/A,#N/A,FALSE,"Plan1";#N/A,#N/A,FALSE,"Plan2"}</definedName>
    <definedName name="dfsdtr" localSheetId="33" hidden="1">{#N/A,#N/A,FALSE,"Plan1";#N/A,#N/A,FALSE,"Plan2"}</definedName>
    <definedName name="dfsdtr" localSheetId="35" hidden="1">{#N/A,#N/A,FALSE,"Plan1";#N/A,#N/A,FALSE,"Plan2"}</definedName>
    <definedName name="dfsdtr" hidden="1">{#N/A,#N/A,FALSE,"Plan1";#N/A,#N/A,FALSE,"Plan2"}</definedName>
    <definedName name="dfsf" localSheetId="3" hidden="1">{#N/A,#N/A,FALSE,"Plan1";#N/A,#N/A,FALSE,"Plan2"}</definedName>
    <definedName name="dfsf" localSheetId="33" hidden="1">{#N/A,#N/A,FALSE,"Plan1";#N/A,#N/A,FALSE,"Plan2"}</definedName>
    <definedName name="dfsf" localSheetId="35" hidden="1">{#N/A,#N/A,FALSE,"Plan1";#N/A,#N/A,FALSE,"Plan2"}</definedName>
    <definedName name="dfsf" hidden="1">{#N/A,#N/A,FALSE,"Plan1";#N/A,#N/A,FALSE,"Plan2"}</definedName>
    <definedName name="DFT" localSheetId="3" hidden="1">{#N/A,#N/A,FALSE,"Plan1";#N/A,#N/A,FALSE,"Plan2"}</definedName>
    <definedName name="DFT" localSheetId="33" hidden="1">{#N/A,#N/A,FALSE,"Plan1";#N/A,#N/A,FALSE,"Plan2"}</definedName>
    <definedName name="DFT" localSheetId="35" hidden="1">{#N/A,#N/A,FALSE,"Plan1";#N/A,#N/A,FALSE,"Plan2"}</definedName>
    <definedName name="DFT" hidden="1">{#N/A,#N/A,FALSE,"Plan1";#N/A,#N/A,FALSE,"Plan2"}</definedName>
    <definedName name="DFTRTTY" localSheetId="3" hidden="1">{#N/A,#N/A,FALSE,"Plan1";#N/A,#N/A,FALSE,"Plan2"}</definedName>
    <definedName name="DFTRTTY" localSheetId="33" hidden="1">{#N/A,#N/A,FALSE,"Plan1";#N/A,#N/A,FALSE,"Plan2"}</definedName>
    <definedName name="DFTRTTY" localSheetId="35" hidden="1">{#N/A,#N/A,FALSE,"Plan1";#N/A,#N/A,FALSE,"Plan2"}</definedName>
    <definedName name="DFTRTTY" hidden="1">{#N/A,#N/A,FALSE,"Plan1";#N/A,#N/A,FALSE,"Plan2"}</definedName>
    <definedName name="dfurghifdjyhits" localSheetId="3" hidden="1">{#N/A,#N/A,FALSE,"Plan1";#N/A,#N/A,FALSE,"Plan2"}</definedName>
    <definedName name="dfurghifdjyhits" localSheetId="33" hidden="1">{#N/A,#N/A,FALSE,"Plan1";#N/A,#N/A,FALSE,"Plan2"}</definedName>
    <definedName name="dfurghifdjyhits" localSheetId="35" hidden="1">{#N/A,#N/A,FALSE,"Plan1";#N/A,#N/A,FALSE,"Plan2"}</definedName>
    <definedName name="dfurghifdjyhits" hidden="1">{#N/A,#N/A,FALSE,"Plan1";#N/A,#N/A,FALSE,"Plan2"}</definedName>
    <definedName name="dfxgdrged" localSheetId="3" hidden="1">{#N/A,#N/A,FALSE,"Plan1";#N/A,#N/A,FALSE,"Plan2"}</definedName>
    <definedName name="dfxgdrged" localSheetId="33" hidden="1">{#N/A,#N/A,FALSE,"Plan1";#N/A,#N/A,FALSE,"Plan2"}</definedName>
    <definedName name="dfxgdrged" localSheetId="35" hidden="1">{#N/A,#N/A,FALSE,"Plan1";#N/A,#N/A,FALSE,"Plan2"}</definedName>
    <definedName name="dfxgdrged" hidden="1">{#N/A,#N/A,FALSE,"Plan1";#N/A,#N/A,FALSE,"Plan2"}</definedName>
    <definedName name="dgfrtyt" localSheetId="3" hidden="1">{#N/A,#N/A,FALSE,"Plan1";#N/A,#N/A,FALSE,"Plan2"}</definedName>
    <definedName name="dgfrtyt" localSheetId="33" hidden="1">{#N/A,#N/A,FALSE,"Plan1";#N/A,#N/A,FALSE,"Plan2"}</definedName>
    <definedName name="dgfrtyt" localSheetId="35" hidden="1">{#N/A,#N/A,FALSE,"Plan1";#N/A,#N/A,FALSE,"Plan2"}</definedName>
    <definedName name="dgfrtyt" hidden="1">{#N/A,#N/A,FALSE,"Plan1";#N/A,#N/A,FALSE,"Plan2"}</definedName>
    <definedName name="dggfdg" localSheetId="3" hidden="1">{#N/A,#N/A,FALSE,"Plan1";#N/A,#N/A,FALSE,"Plan2"}</definedName>
    <definedName name="dggfdg" localSheetId="33" hidden="1">{#N/A,#N/A,FALSE,"Plan1";#N/A,#N/A,FALSE,"Plan2"}</definedName>
    <definedName name="dggfdg" localSheetId="35" hidden="1">{#N/A,#N/A,FALSE,"Plan1";#N/A,#N/A,FALSE,"Plan2"}</definedName>
    <definedName name="dggfdg" hidden="1">{#N/A,#N/A,FALSE,"Plan1";#N/A,#N/A,FALSE,"Plan2"}</definedName>
    <definedName name="dgldfhgkljslh" localSheetId="3" hidden="1">{#N/A,#N/A,FALSE,"Plan1";#N/A,#N/A,FALSE,"Plan2"}</definedName>
    <definedName name="dgldfhgkljslh" localSheetId="33" hidden="1">{#N/A,#N/A,FALSE,"Plan1";#N/A,#N/A,FALSE,"Plan2"}</definedName>
    <definedName name="dgldfhgkljslh" localSheetId="35" hidden="1">{#N/A,#N/A,FALSE,"Plan1";#N/A,#N/A,FALSE,"Plan2"}</definedName>
    <definedName name="dgldfhgkljslh" hidden="1">{#N/A,#N/A,FALSE,"Plan1";#N/A,#N/A,FALSE,"Plan2"}</definedName>
    <definedName name="dhfgdhrehrwe" localSheetId="3" hidden="1">{#N/A,#N/A,FALSE,"Plan1";#N/A,#N/A,FALSE,"Plan2"}</definedName>
    <definedName name="dhfgdhrehrwe" localSheetId="33" hidden="1">{#N/A,#N/A,FALSE,"Plan1";#N/A,#N/A,FALSE,"Plan2"}</definedName>
    <definedName name="dhfgdhrehrwe" localSheetId="35" hidden="1">{#N/A,#N/A,FALSE,"Plan1";#N/A,#N/A,FALSE,"Plan2"}</definedName>
    <definedName name="dhfgdhrehrwe" hidden="1">{#N/A,#N/A,FALSE,"Plan1";#N/A,#N/A,FALSE,"Plan2"}</definedName>
    <definedName name="dhgfdgrfgdfgd" localSheetId="3" hidden="1">{#N/A,#N/A,FALSE,"Plan1";#N/A,#N/A,FALSE,"Plan2"}</definedName>
    <definedName name="dhgfdgrfgdfgd" localSheetId="33" hidden="1">{#N/A,#N/A,FALSE,"Plan1";#N/A,#N/A,FALSE,"Plan2"}</definedName>
    <definedName name="dhgfdgrfgdfgd" localSheetId="35" hidden="1">{#N/A,#N/A,FALSE,"Plan1";#N/A,#N/A,FALSE,"Plan2"}</definedName>
    <definedName name="dhgfdgrfgdfgd" hidden="1">{#N/A,#N/A,FALSE,"Plan1";#N/A,#N/A,FALSE,"Plan2"}</definedName>
    <definedName name="dhkjfhdhfjdh" localSheetId="3" hidden="1">{#N/A,#N/A,FALSE,"Plan1";#N/A,#N/A,FALSE,"Plan2"}</definedName>
    <definedName name="dhkjfhdhfjdh" localSheetId="33" hidden="1">{#N/A,#N/A,FALSE,"Plan1";#N/A,#N/A,FALSE,"Plan2"}</definedName>
    <definedName name="dhkjfhdhfjdh" localSheetId="35" hidden="1">{#N/A,#N/A,FALSE,"Plan1";#N/A,#N/A,FALSE,"Plan2"}</definedName>
    <definedName name="dhkjfhdhfjdh" hidden="1">{#N/A,#N/A,FALSE,"Plan1";#N/A,#N/A,FALSE,"Plan2"}</definedName>
    <definedName name="DHTJRT" localSheetId="3" hidden="1">{#N/A,#N/A,FALSE,"Plan1";#N/A,#N/A,FALSE,"Plan2"}</definedName>
    <definedName name="DHTJRT" localSheetId="33" hidden="1">{#N/A,#N/A,FALSE,"Plan1";#N/A,#N/A,FALSE,"Plan2"}</definedName>
    <definedName name="DHTJRT" localSheetId="35" hidden="1">{#N/A,#N/A,FALSE,"Plan1";#N/A,#N/A,FALSE,"Plan2"}</definedName>
    <definedName name="DHTJRT" hidden="1">{#N/A,#N/A,FALSE,"Plan1";#N/A,#N/A,FALSE,"Plan2"}</definedName>
    <definedName name="DI" localSheetId="12">#REF!</definedName>
    <definedName name="DI" localSheetId="30">#REF!</definedName>
    <definedName name="DI" localSheetId="28">#REF!</definedName>
    <definedName name="DI" localSheetId="27">#REF!</definedName>
    <definedName name="DI" localSheetId="18">#REF!</definedName>
    <definedName name="DI" localSheetId="7">#REF!</definedName>
    <definedName name="DI" localSheetId="23">#REF!</definedName>
    <definedName name="DI">#REF!</definedName>
    <definedName name="dia3estac" localSheetId="12">#REF!</definedName>
    <definedName name="dia3estac" localSheetId="30">#REF!</definedName>
    <definedName name="dia3estac" localSheetId="28">#REF!</definedName>
    <definedName name="dia3estac" localSheetId="27">#REF!</definedName>
    <definedName name="dia3estac" localSheetId="18">#REF!</definedName>
    <definedName name="dia3estac" localSheetId="7">#REF!</definedName>
    <definedName name="dia3estac" localSheetId="23">#REF!</definedName>
    <definedName name="dia3estac">#REF!</definedName>
    <definedName name="diaestaca" localSheetId="12">#REF!</definedName>
    <definedName name="diaestaca" localSheetId="30">#REF!</definedName>
    <definedName name="diaestaca" localSheetId="28">#REF!</definedName>
    <definedName name="diaestaca" localSheetId="27">#REF!</definedName>
    <definedName name="diaestaca" localSheetId="18">#REF!</definedName>
    <definedName name="diaestaca" localSheetId="7">#REF!</definedName>
    <definedName name="diaestaca" localSheetId="23">#REF!</definedName>
    <definedName name="diaestaca">#REF!</definedName>
    <definedName name="diambase" localSheetId="12">#REF!</definedName>
    <definedName name="diambase" localSheetId="30">#REF!</definedName>
    <definedName name="diambase" localSheetId="28">#REF!</definedName>
    <definedName name="diambase" localSheetId="27">#REF!</definedName>
    <definedName name="diambase" localSheetId="18">#REF!</definedName>
    <definedName name="diambase" localSheetId="7">#REF!</definedName>
    <definedName name="diambase" localSheetId="23">#REF!</definedName>
    <definedName name="diambase">#REF!</definedName>
    <definedName name="DIFQT" localSheetId="12">#REF!</definedName>
    <definedName name="DIFQT" localSheetId="30">#REF!</definedName>
    <definedName name="DIFQT" localSheetId="28">#REF!</definedName>
    <definedName name="DIFQT" localSheetId="27">#REF!</definedName>
    <definedName name="DIFQT" localSheetId="18">#REF!</definedName>
    <definedName name="DIFQT" localSheetId="7">#REF!</definedName>
    <definedName name="DIFQT" localSheetId="23">#REF!</definedName>
    <definedName name="DIFQT">#REF!</definedName>
    <definedName name="dijghdhks" localSheetId="3" hidden="1">{#N/A,#N/A,FALSE,"Plan1";#N/A,#N/A,FALSE,"Plan2"}</definedName>
    <definedName name="dijghdhks" localSheetId="33" hidden="1">{#N/A,#N/A,FALSE,"Plan1";#N/A,#N/A,FALSE,"Plan2"}</definedName>
    <definedName name="dijghdhks" localSheetId="35" hidden="1">{#N/A,#N/A,FALSE,"Plan1";#N/A,#N/A,FALSE,"Plan2"}</definedName>
    <definedName name="dijghdhks" hidden="1">{#N/A,#N/A,FALSE,"Plan1";#N/A,#N/A,FALSE,"Plan2"}</definedName>
    <definedName name="DIMENSÕES" localSheetId="12">#REF!</definedName>
    <definedName name="DIMENSÕES" localSheetId="30">#REF!</definedName>
    <definedName name="DIMENSÕES" localSheetId="28">#REF!</definedName>
    <definedName name="DIMENSÕES" localSheetId="27">#REF!</definedName>
    <definedName name="DIMENSÕES" localSheetId="18">#REF!</definedName>
    <definedName name="DIMENSÕES" localSheetId="7">#REF!</definedName>
    <definedName name="DIMENSÕES" localSheetId="23">#REF!</definedName>
    <definedName name="DIMENSÕES">#REF!</definedName>
    <definedName name="DIR_OPER" localSheetId="12">#REF!</definedName>
    <definedName name="DIR_OPER" localSheetId="30">#REF!</definedName>
    <definedName name="DIR_OPER" localSheetId="28">#REF!</definedName>
    <definedName name="DIR_OPER" localSheetId="27">#REF!</definedName>
    <definedName name="DIR_OPER" localSheetId="18">#REF!</definedName>
    <definedName name="DIR_OPER" localSheetId="7">#REF!</definedName>
    <definedName name="DIR_OPER" localSheetId="23">#REF!</definedName>
    <definedName name="DIR_OPER">#REF!</definedName>
    <definedName name="DIR_TECNICO" localSheetId="12">#REF!</definedName>
    <definedName name="DIR_TECNICO" localSheetId="30">#REF!</definedName>
    <definedName name="DIR_TECNICO" localSheetId="28">#REF!</definedName>
    <definedName name="DIR_TECNICO" localSheetId="27">#REF!</definedName>
    <definedName name="DIR_TECNICO" localSheetId="18">#REF!</definedName>
    <definedName name="DIR_TECNICO" localSheetId="7">#REF!</definedName>
    <definedName name="DIR_TECNICO" localSheetId="23">#REF!</definedName>
    <definedName name="DIR_TECNICO">#REF!</definedName>
    <definedName name="direto" localSheetId="3">#REF!</definedName>
    <definedName name="direto" localSheetId="12">#REF!</definedName>
    <definedName name="direto" localSheetId="30">#REF!</definedName>
    <definedName name="direto" localSheetId="28">#REF!</definedName>
    <definedName name="direto" localSheetId="27">#REF!</definedName>
    <definedName name="direto" localSheetId="18">#REF!</definedName>
    <definedName name="direto" localSheetId="7">#REF!</definedName>
    <definedName name="direto" localSheetId="23">#REF!</definedName>
    <definedName name="direto">#REF!</definedName>
    <definedName name="DIRETORIA" localSheetId="12">#REF!</definedName>
    <definedName name="DIRETORIA" localSheetId="30">#REF!</definedName>
    <definedName name="DIRETORIA" localSheetId="28">#REF!</definedName>
    <definedName name="DIRETORIA" localSheetId="27">#REF!</definedName>
    <definedName name="DIRETORIA" localSheetId="18">#REF!</definedName>
    <definedName name="DIRETORIA" localSheetId="7">#REF!</definedName>
    <definedName name="DIRETORIA" localSheetId="23">#REF!</definedName>
    <definedName name="DIRETORIA">#REF!</definedName>
    <definedName name="diretorias" localSheetId="12">#REF!</definedName>
    <definedName name="diretorias" localSheetId="30">#REF!</definedName>
    <definedName name="diretorias" localSheetId="28">#REF!</definedName>
    <definedName name="diretorias" localSheetId="27">#REF!</definedName>
    <definedName name="diretorias" localSheetId="18">#REF!</definedName>
    <definedName name="diretorias" localSheetId="7">#REF!</definedName>
    <definedName name="diretorias" localSheetId="23">#REF!</definedName>
    <definedName name="diretorias">#REF!</definedName>
    <definedName name="Discrim" localSheetId="12">#REF!</definedName>
    <definedName name="Discrim" localSheetId="30">#REF!</definedName>
    <definedName name="Discrim" localSheetId="28">#REF!</definedName>
    <definedName name="Discrim" localSheetId="27">#REF!</definedName>
    <definedName name="Discrim" localSheetId="18">#REF!</definedName>
    <definedName name="Discrim" localSheetId="7">#REF!</definedName>
    <definedName name="Discrim" localSheetId="23">#REF!</definedName>
    <definedName name="Discrim">#REF!</definedName>
    <definedName name="DISCRIMINAÇÃO" localSheetId="12">#REF!</definedName>
    <definedName name="DISCRIMINAÇÃO" localSheetId="30">#REF!</definedName>
    <definedName name="DISCRIMINAÇÃO" localSheetId="28">#REF!</definedName>
    <definedName name="DISCRIMINAÇÃO" localSheetId="27">#REF!</definedName>
    <definedName name="DISCRIMINAÇÃO" localSheetId="18">#REF!</definedName>
    <definedName name="DISCRIMINAÇÃO" localSheetId="7">#REF!</definedName>
    <definedName name="DISCRIMINAÇÃO" localSheetId="23">#REF!</definedName>
    <definedName name="DISCRIMINAÇÃO">#REF!</definedName>
    <definedName name="Discriminação_Controladoria" localSheetId="12">#REF!</definedName>
    <definedName name="Discriminação_Controladoria" localSheetId="30">#REF!</definedName>
    <definedName name="Discriminação_Controladoria" localSheetId="28">#REF!</definedName>
    <definedName name="Discriminação_Controladoria" localSheetId="27">#REF!</definedName>
    <definedName name="Discriminação_Controladoria" localSheetId="18">#REF!</definedName>
    <definedName name="Discriminação_Controladoria" localSheetId="7">#REF!</definedName>
    <definedName name="Discriminação_Controladoria" localSheetId="23">#REF!</definedName>
    <definedName name="Discriminação_Controladoria">#REF!</definedName>
    <definedName name="DistCidade" localSheetId="12">#REF!</definedName>
    <definedName name="DistCidade" localSheetId="30">#REF!</definedName>
    <definedName name="DistCidade" localSheetId="28">#REF!</definedName>
    <definedName name="DistCidade" localSheetId="27">#REF!</definedName>
    <definedName name="DistCidade" localSheetId="18">#REF!</definedName>
    <definedName name="DistCidade" localSheetId="7">#REF!</definedName>
    <definedName name="DistCidade" localSheetId="23">#REF!</definedName>
    <definedName name="DistCidade">#REF!</definedName>
    <definedName name="distratos" localSheetId="12">#REF!</definedName>
    <definedName name="distratos" localSheetId="30">#REF!</definedName>
    <definedName name="distratos" localSheetId="28">#REF!</definedName>
    <definedName name="distratos" localSheetId="27">#REF!</definedName>
    <definedName name="distratos" localSheetId="18">#REF!</definedName>
    <definedName name="distratos" localSheetId="7">#REF!</definedName>
    <definedName name="distratos" localSheetId="23">#REF!</definedName>
    <definedName name="distratos">#REF!</definedName>
    <definedName name="div" localSheetId="12">#REF!</definedName>
    <definedName name="div" localSheetId="30">#REF!</definedName>
    <definedName name="div" localSheetId="28">#REF!</definedName>
    <definedName name="div" localSheetId="27">#REF!</definedName>
    <definedName name="div" localSheetId="18">#REF!</definedName>
    <definedName name="div" localSheetId="7">#REF!</definedName>
    <definedName name="div" localSheetId="23">#REF!</definedName>
    <definedName name="div">#REF!</definedName>
    <definedName name="djasdrjas" localSheetId="3" hidden="1">{#N/A,#N/A,FALSE,"Plan1";#N/A,#N/A,FALSE,"Plan2"}</definedName>
    <definedName name="djasdrjas" localSheetId="33" hidden="1">{#N/A,#N/A,FALSE,"Plan1";#N/A,#N/A,FALSE,"Plan2"}</definedName>
    <definedName name="djasdrjas" localSheetId="35" hidden="1">{#N/A,#N/A,FALSE,"Plan1";#N/A,#N/A,FALSE,"Plan2"}</definedName>
    <definedName name="djasdrjas" hidden="1">{#N/A,#N/A,FALSE,"Plan1";#N/A,#N/A,FALSE,"Plan2"}</definedName>
    <definedName name="dj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3" hidden="1">{#N/A,#N/A,FALSE,"Plan1";#N/A,#N/A,FALSE,"Plan2"}</definedName>
    <definedName name="djfkhjhfgrgdfh" localSheetId="33" hidden="1">{#N/A,#N/A,FALSE,"Plan1";#N/A,#N/A,FALSE,"Plan2"}</definedName>
    <definedName name="djfkhjhfgrgdfh" localSheetId="35" hidden="1">{#N/A,#N/A,FALSE,"Plan1";#N/A,#N/A,FALSE,"Plan2"}</definedName>
    <definedName name="djfkhjhfgrgdfh" hidden="1">{#N/A,#N/A,FALSE,"Plan1";#N/A,#N/A,FALSE,"Plan2"}</definedName>
    <definedName name="djfkhsdkjhf" localSheetId="3" hidden="1">{#N/A,#N/A,FALSE,"Plan1";#N/A,#N/A,FALSE,"Plan2"}</definedName>
    <definedName name="djfkhsdkjhf" localSheetId="33" hidden="1">{#N/A,#N/A,FALSE,"Plan1";#N/A,#N/A,FALSE,"Plan2"}</definedName>
    <definedName name="djfkhsdkjhf" localSheetId="35" hidden="1">{#N/A,#N/A,FALSE,"Plan1";#N/A,#N/A,FALSE,"Plan2"}</definedName>
    <definedName name="djfkhsdkjhf" hidden="1">{#N/A,#N/A,FALSE,"Plan1";#N/A,#N/A,FALSE,"Plan2"}</definedName>
    <definedName name="djfldjsgljslkjtg" localSheetId="3" hidden="1">{#N/A,#N/A,FALSE,"Plan1";#N/A,#N/A,FALSE,"Plan2"}</definedName>
    <definedName name="djfldjsgljslkjtg" localSheetId="33" hidden="1">{#N/A,#N/A,FALSE,"Plan1";#N/A,#N/A,FALSE,"Plan2"}</definedName>
    <definedName name="djfldjsgljslkjtg" localSheetId="35" hidden="1">{#N/A,#N/A,FALSE,"Plan1";#N/A,#N/A,FALSE,"Plan2"}</definedName>
    <definedName name="djfldjsgljslkjtg" hidden="1">{#N/A,#N/A,FALSE,"Plan1";#N/A,#N/A,FALSE,"Plan2"}</definedName>
    <definedName name="djflkdjgdth" localSheetId="3" hidden="1">{#N/A,#N/A,FALSE,"Plan1";#N/A,#N/A,FALSE,"Plan2"}</definedName>
    <definedName name="djflkdjgdth" localSheetId="33" hidden="1">{#N/A,#N/A,FALSE,"Plan1";#N/A,#N/A,FALSE,"Plan2"}</definedName>
    <definedName name="djflkdjgdth" localSheetId="35" hidden="1">{#N/A,#N/A,FALSE,"Plan1";#N/A,#N/A,FALSE,"Plan2"}</definedName>
    <definedName name="djflkdjgdth" hidden="1">{#N/A,#N/A,FALSE,"Plan1";#N/A,#N/A,FALSE,"Plan2"}</definedName>
    <definedName name="DJFLKDJGKTJYJT" localSheetId="3" hidden="1">{#N/A,#N/A,FALSE,"Plan1";#N/A,#N/A,FALSE,"Plan2"}</definedName>
    <definedName name="DJFLKDJGKTJYJT" localSheetId="33" hidden="1">{#N/A,#N/A,FALSE,"Plan1";#N/A,#N/A,FALSE,"Plan2"}</definedName>
    <definedName name="DJFLKDJGKTJYJT" localSheetId="35" hidden="1">{#N/A,#N/A,FALSE,"Plan1";#N/A,#N/A,FALSE,"Plan2"}</definedName>
    <definedName name="DJFLKDJGKTJYJT" hidden="1">{#N/A,#N/A,FALSE,"Plan1";#N/A,#N/A,FALSE,"Plan2"}</definedName>
    <definedName name="djgkfjgtiyty" localSheetId="3" hidden="1">{#N/A,#N/A,FALSE,"Plan1";#N/A,#N/A,FALSE,"Plan2"}</definedName>
    <definedName name="djgkfjgtiyty" localSheetId="33" hidden="1">{#N/A,#N/A,FALSE,"Plan1";#N/A,#N/A,FALSE,"Plan2"}</definedName>
    <definedName name="djgkfjgtiyty" localSheetId="35" hidden="1">{#N/A,#N/A,FALSE,"Plan1";#N/A,#N/A,FALSE,"Plan2"}</definedName>
    <definedName name="djgkfjgtiyty" hidden="1">{#N/A,#N/A,FALSE,"Plan1";#N/A,#N/A,FALSE,"Plan2"}</definedName>
    <definedName name="djrkehrjfhng" localSheetId="3" hidden="1">{#N/A,#N/A,FALSE,"Plan1";#N/A,#N/A,FALSE,"Plan2"}</definedName>
    <definedName name="djrkehrjfhng" localSheetId="33" hidden="1">{#N/A,#N/A,FALSE,"Plan1";#N/A,#N/A,FALSE,"Plan2"}</definedName>
    <definedName name="djrkehrjfhng" localSheetId="35" hidden="1">{#N/A,#N/A,FALSE,"Plan1";#N/A,#N/A,FALSE,"Plan2"}</definedName>
    <definedName name="djrkehrjfhng" hidden="1">{#N/A,#N/A,FALSE,"Plan1";#N/A,#N/A,FALSE,"Plan2"}</definedName>
    <definedName name="djswfr" localSheetId="3" hidden="1">#REF!</definedName>
    <definedName name="djswfr" localSheetId="12" hidden="1">#REF!</definedName>
    <definedName name="djswfr" localSheetId="30" hidden="1">#REF!</definedName>
    <definedName name="djswfr" localSheetId="28" hidden="1">#REF!</definedName>
    <definedName name="djswfr" localSheetId="27" hidden="1">#REF!</definedName>
    <definedName name="djswfr" localSheetId="18" hidden="1">#REF!</definedName>
    <definedName name="djswfr" localSheetId="7" hidden="1">#REF!</definedName>
    <definedName name="djswfr" localSheetId="23" hidden="1">#REF!</definedName>
    <definedName name="djswfr" hidden="1">#REF!</definedName>
    <definedName name="djtkjldfr" localSheetId="3" hidden="1">{#N/A,#N/A,FALSE,"Plan1";#N/A,#N/A,FALSE,"Plan2"}</definedName>
    <definedName name="djtkjldfr" localSheetId="33" hidden="1">{#N/A,#N/A,FALSE,"Plan1";#N/A,#N/A,FALSE,"Plan2"}</definedName>
    <definedName name="djtkjldfr" localSheetId="35" hidden="1">{#N/A,#N/A,FALSE,"Plan1";#N/A,#N/A,FALSE,"Plan2"}</definedName>
    <definedName name="djtkjldfr" hidden="1">{#N/A,#N/A,FALSE,"Plan1";#N/A,#N/A,FALSE,"Plan2"}</definedName>
    <definedName name="DJXDLFGDFG" localSheetId="3" hidden="1">{#N/A,#N/A,FALSE,"Plan1";#N/A,#N/A,FALSE,"Plan2"}</definedName>
    <definedName name="DJXDLFGDFG" localSheetId="33" hidden="1">{#N/A,#N/A,FALSE,"Plan1";#N/A,#N/A,FALSE,"Plan2"}</definedName>
    <definedName name="DJXDLFGDFG" localSheetId="35" hidden="1">{#N/A,#N/A,FALSE,"Plan1";#N/A,#N/A,FALSE,"Plan2"}</definedName>
    <definedName name="DJXDLFGDFG" hidden="1">{#N/A,#N/A,FALSE,"Plan1";#N/A,#N/A,FALSE,"Plan2"}</definedName>
    <definedName name="dkdkdkdkd" localSheetId="33" hidden="1">{#N/A,#N/A,FALSE,"명세표"}</definedName>
    <definedName name="dkdkdkdkd" localSheetId="35" hidden="1">{#N/A,#N/A,FALSE,"명세표"}</definedName>
    <definedName name="dkdkdkdkd" hidden="1">{#N/A,#N/A,FALSE,"명세표"}</definedName>
    <definedName name="dkfhskgf" localSheetId="3" hidden="1">{#N/A,#N/A,FALSE,"Plan1";#N/A,#N/A,FALSE,"Plan2"}</definedName>
    <definedName name="dkfhskgf" localSheetId="33" hidden="1">{#N/A,#N/A,FALSE,"Plan1";#N/A,#N/A,FALSE,"Plan2"}</definedName>
    <definedName name="dkfhskgf" localSheetId="35" hidden="1">{#N/A,#N/A,FALSE,"Plan1";#N/A,#N/A,FALSE,"Plan2"}</definedName>
    <definedName name="dkfhskgf" hidden="1">{#N/A,#N/A,FALSE,"Plan1";#N/A,#N/A,FALSE,"Plan2"}</definedName>
    <definedName name="dkjfk" localSheetId="3" hidden="1">{#N/A,#N/A,FALSE,"Plan1";#N/A,#N/A,FALSE,"Plan2"}</definedName>
    <definedName name="dkjfk" localSheetId="33" hidden="1">{#N/A,#N/A,FALSE,"Plan1";#N/A,#N/A,FALSE,"Plan2"}</definedName>
    <definedName name="dkjfk" localSheetId="35" hidden="1">{#N/A,#N/A,FALSE,"Plan1";#N/A,#N/A,FALSE,"Plan2"}</definedName>
    <definedName name="dkjfk" hidden="1">{#N/A,#N/A,FALSE,"Plan1";#N/A,#N/A,FALSE,"Plan2"}</definedName>
    <definedName name="DKLD" localSheetId="3" hidden="1">{#N/A,#N/A,FALSE,"Plan1";#N/A,#N/A,FALSE,"Plan2"}</definedName>
    <definedName name="DKLD" localSheetId="33" hidden="1">{#N/A,#N/A,FALSE,"Plan1";#N/A,#N/A,FALSE,"Plan2"}</definedName>
    <definedName name="DKLD" localSheetId="35" hidden="1">{#N/A,#N/A,FALSE,"Plan1";#N/A,#N/A,FALSE,"Plan2"}</definedName>
    <definedName name="DKLD" hidden="1">{#N/A,#N/A,FALSE,"Plan1";#N/A,#N/A,FALSE,"Plan2"}</definedName>
    <definedName name="DKLFJDKFD" localSheetId="3" hidden="1">{#N/A,#N/A,FALSE,"Plan1";#N/A,#N/A,FALSE,"Plan2"}</definedName>
    <definedName name="DKLFJDKFD" localSheetId="33" hidden="1">{#N/A,#N/A,FALSE,"Plan1";#N/A,#N/A,FALSE,"Plan2"}</definedName>
    <definedName name="DKLFJDKFD" localSheetId="35" hidden="1">{#N/A,#N/A,FALSE,"Plan1";#N/A,#N/A,FALSE,"Plan2"}</definedName>
    <definedName name="DKLFJDKFD" hidden="1">{#N/A,#N/A,FALSE,"Plan1";#N/A,#N/A,FALSE,"Plan2"}</definedName>
    <definedName name="dklfjgirtgid" localSheetId="3" hidden="1">{#N/A,#N/A,FALSE,"Plan1";#N/A,#N/A,FALSE,"Plan2"}</definedName>
    <definedName name="dklfjgirtgid" localSheetId="33" hidden="1">{#N/A,#N/A,FALSE,"Plan1";#N/A,#N/A,FALSE,"Plan2"}</definedName>
    <definedName name="dklfjgirtgid" localSheetId="35" hidden="1">{#N/A,#N/A,FALSE,"Plan1";#N/A,#N/A,FALSE,"Plan2"}</definedName>
    <definedName name="dklfjgirtgid" hidden="1">{#N/A,#N/A,FALSE,"Plan1";#N/A,#N/A,FALSE,"Plan2"}</definedName>
    <definedName name="dklf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3" hidden="1">{#N/A,#N/A,FALSE,"Plan1";#N/A,#N/A,FALSE,"Plan2"}</definedName>
    <definedName name="dmbfmndbmtrhed" localSheetId="33" hidden="1">{#N/A,#N/A,FALSE,"Plan1";#N/A,#N/A,FALSE,"Plan2"}</definedName>
    <definedName name="dmbfmndbmtrhed" localSheetId="35" hidden="1">{#N/A,#N/A,FALSE,"Plan1";#N/A,#N/A,FALSE,"Plan2"}</definedName>
    <definedName name="dmbfmndbmtrhed" hidden="1">{#N/A,#N/A,FALSE,"Plan1";#N/A,#N/A,FALSE,"Plan2"}</definedName>
    <definedName name="DNFJKDHTKRE" localSheetId="3" hidden="1">{#N/A,#N/A,FALSE,"Plan1";#N/A,#N/A,FALSE,"Plan2"}</definedName>
    <definedName name="DNFJKDHTKRE" localSheetId="33" hidden="1">{#N/A,#N/A,FALSE,"Plan1";#N/A,#N/A,FALSE,"Plan2"}</definedName>
    <definedName name="DNFJKDHTKRE" localSheetId="35" hidden="1">{#N/A,#N/A,FALSE,"Plan1";#N/A,#N/A,FALSE,"Plan2"}</definedName>
    <definedName name="DNFJKDHTKRE" hidden="1">{#N/A,#N/A,FALSE,"Plan1";#N/A,#N/A,FALSE,"Plan2"}</definedName>
    <definedName name="dng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 localSheetId="12">#REF!</definedName>
    <definedName name="DOCUMENT" localSheetId="30">#REF!</definedName>
    <definedName name="DOCUMENT" localSheetId="28">#REF!</definedName>
    <definedName name="DOCUMENT" localSheetId="27">#REF!</definedName>
    <definedName name="DOCUMENT" localSheetId="18">#REF!</definedName>
    <definedName name="DOCUMENT" localSheetId="7">#REF!</definedName>
    <definedName name="DOCUMENT" localSheetId="23">#REF!</definedName>
    <definedName name="DOCUMENT">#REF!</definedName>
    <definedName name="DOIS" localSheetId="12">#REF!</definedName>
    <definedName name="DOIS" localSheetId="30">#REF!</definedName>
    <definedName name="DOIS" localSheetId="28">#REF!</definedName>
    <definedName name="DOIS" localSheetId="27">#REF!</definedName>
    <definedName name="DOIS" localSheetId="21">#REF!</definedName>
    <definedName name="DOIS" localSheetId="18">#REF!</definedName>
    <definedName name="DOIS" localSheetId="7">#REF!</definedName>
    <definedName name="DOIS" localSheetId="23">#REF!</definedName>
    <definedName name="DOIS">#REF!</definedName>
    <definedName name="dolar" localSheetId="12">#REF!</definedName>
    <definedName name="dolar" localSheetId="30">#REF!</definedName>
    <definedName name="dolar" localSheetId="28">#REF!</definedName>
    <definedName name="dolar" localSheetId="27">#REF!</definedName>
    <definedName name="dolar" localSheetId="18">#REF!</definedName>
    <definedName name="dolar" localSheetId="7">#REF!</definedName>
    <definedName name="dolar" localSheetId="23">#REF!</definedName>
    <definedName name="dolar">#REF!</definedName>
    <definedName name="dolar_dez" localSheetId="12">#REF!</definedName>
    <definedName name="dolar_dez" localSheetId="30">#REF!</definedName>
    <definedName name="dolar_dez" localSheetId="28">#REF!</definedName>
    <definedName name="dolar_dez" localSheetId="27">#REF!</definedName>
    <definedName name="dolar_dez" localSheetId="18">#REF!</definedName>
    <definedName name="dolar_dez" localSheetId="7">#REF!</definedName>
    <definedName name="dolar_dez" localSheetId="23">#REF!</definedName>
    <definedName name="dolar_dez">#REF!</definedName>
    <definedName name="dolar_nov" localSheetId="12">#REF!</definedName>
    <definedName name="dolar_nov" localSheetId="30">#REF!</definedName>
    <definedName name="dolar_nov" localSheetId="28">#REF!</definedName>
    <definedName name="dolar_nov" localSheetId="27">#REF!</definedName>
    <definedName name="dolar_nov" localSheetId="18">#REF!</definedName>
    <definedName name="dolar_nov" localSheetId="7">#REF!</definedName>
    <definedName name="dolar_nov" localSheetId="23">#REF!</definedName>
    <definedName name="dolar_nov">#REF!</definedName>
    <definedName name="dolar_out" localSheetId="12">#REF!</definedName>
    <definedName name="dolar_out" localSheetId="30">#REF!</definedName>
    <definedName name="dolar_out" localSheetId="28">#REF!</definedName>
    <definedName name="dolar_out" localSheetId="27">#REF!</definedName>
    <definedName name="dolar_out" localSheetId="18">#REF!</definedName>
    <definedName name="dolar_out" localSheetId="7">#REF!</definedName>
    <definedName name="dolar_out" localSheetId="23">#REF!</definedName>
    <definedName name="dolar_out">#REF!</definedName>
    <definedName name="dolar2" localSheetId="12">#REF!</definedName>
    <definedName name="dolar2" localSheetId="30">#REF!</definedName>
    <definedName name="dolar2" localSheetId="28">#REF!</definedName>
    <definedName name="dolar2" localSheetId="27">#REF!</definedName>
    <definedName name="dolar2" localSheetId="18">#REF!</definedName>
    <definedName name="dolar2" localSheetId="7">#REF!</definedName>
    <definedName name="dolar2" localSheetId="23">#REF!</definedName>
    <definedName name="dolar2">#REF!</definedName>
    <definedName name="dolarabr" localSheetId="12">#REF!</definedName>
    <definedName name="dolarabr" localSheetId="30">#REF!</definedName>
    <definedName name="dolarabr" localSheetId="28">#REF!</definedName>
    <definedName name="dolarabr" localSheetId="27">#REF!</definedName>
    <definedName name="dolarabr" localSheetId="18">#REF!</definedName>
    <definedName name="dolarabr" localSheetId="7">#REF!</definedName>
    <definedName name="dolarabr" localSheetId="23">#REF!</definedName>
    <definedName name="dolarabr">#REF!</definedName>
    <definedName name="dolarabr02" localSheetId="12">#REF!</definedName>
    <definedName name="dolarabr02" localSheetId="30">#REF!</definedName>
    <definedName name="dolarabr02" localSheetId="28">#REF!</definedName>
    <definedName name="dolarabr02" localSheetId="27">#REF!</definedName>
    <definedName name="dolarabr02" localSheetId="18">#REF!</definedName>
    <definedName name="dolarabr02" localSheetId="7">#REF!</definedName>
    <definedName name="dolarabr02" localSheetId="23">#REF!</definedName>
    <definedName name="dolarabr02">#REF!</definedName>
    <definedName name="DolarAgo" localSheetId="12">#REF!</definedName>
    <definedName name="DolarAgo" localSheetId="30">#REF!</definedName>
    <definedName name="DolarAgo" localSheetId="28">#REF!</definedName>
    <definedName name="DolarAgo" localSheetId="27">#REF!</definedName>
    <definedName name="DolarAgo" localSheetId="18">#REF!</definedName>
    <definedName name="DolarAgo" localSheetId="7">#REF!</definedName>
    <definedName name="DolarAgo" localSheetId="23">#REF!</definedName>
    <definedName name="DolarAgo">#REF!</definedName>
    <definedName name="dolarago02" localSheetId="12">#REF!</definedName>
    <definedName name="dolarago02" localSheetId="30">#REF!</definedName>
    <definedName name="dolarago02" localSheetId="28">#REF!</definedName>
    <definedName name="dolarago02" localSheetId="27">#REF!</definedName>
    <definedName name="dolarago02" localSheetId="18">#REF!</definedName>
    <definedName name="dolarago02" localSheetId="7">#REF!</definedName>
    <definedName name="dolarago02" localSheetId="23">#REF!</definedName>
    <definedName name="dolarago02">#REF!</definedName>
    <definedName name="dolardez" localSheetId="12">#REF!</definedName>
    <definedName name="dolardez" localSheetId="30">#REF!</definedName>
    <definedName name="dolardez" localSheetId="28">#REF!</definedName>
    <definedName name="dolardez" localSheetId="27">#REF!</definedName>
    <definedName name="dolardez" localSheetId="18">#REF!</definedName>
    <definedName name="dolardez" localSheetId="7">#REF!</definedName>
    <definedName name="dolardez" localSheetId="23">#REF!</definedName>
    <definedName name="dolardez">#REF!</definedName>
    <definedName name="dolarfev" localSheetId="12">#REF!</definedName>
    <definedName name="dolarfev" localSheetId="30">#REF!</definedName>
    <definedName name="dolarfev" localSheetId="28">#REF!</definedName>
    <definedName name="dolarfev" localSheetId="27">#REF!</definedName>
    <definedName name="dolarfev" localSheetId="18">#REF!</definedName>
    <definedName name="dolarfev" localSheetId="7">#REF!</definedName>
    <definedName name="dolarfev" localSheetId="23">#REF!</definedName>
    <definedName name="dolarfev">#REF!</definedName>
    <definedName name="dolarfev02" localSheetId="12">#REF!</definedName>
    <definedName name="dolarfev02" localSheetId="30">#REF!</definedName>
    <definedName name="dolarfev02" localSheetId="28">#REF!</definedName>
    <definedName name="dolarfev02" localSheetId="27">#REF!</definedName>
    <definedName name="dolarfev02" localSheetId="18">#REF!</definedName>
    <definedName name="dolarfev02" localSheetId="7">#REF!</definedName>
    <definedName name="dolarfev02" localSheetId="23">#REF!</definedName>
    <definedName name="dolarfev02">#REF!</definedName>
    <definedName name="dolarfimdez" localSheetId="12">#REF!</definedName>
    <definedName name="dolarfimdez" localSheetId="30">#REF!</definedName>
    <definedName name="dolarfimdez" localSheetId="28">#REF!</definedName>
    <definedName name="dolarfimdez" localSheetId="27">#REF!</definedName>
    <definedName name="dolarfimdez" localSheetId="18">#REF!</definedName>
    <definedName name="dolarfimdez" localSheetId="7">#REF!</definedName>
    <definedName name="dolarfimdez" localSheetId="23">#REF!</definedName>
    <definedName name="dolarfimdez">#REF!</definedName>
    <definedName name="dolarFimJun" localSheetId="12">#REF!</definedName>
    <definedName name="dolarFimJun" localSheetId="30">#REF!</definedName>
    <definedName name="dolarFimJun" localSheetId="28">#REF!</definedName>
    <definedName name="dolarFimJun" localSheetId="27">#REF!</definedName>
    <definedName name="dolarFimJun" localSheetId="18">#REF!</definedName>
    <definedName name="dolarFimJun" localSheetId="7">#REF!</definedName>
    <definedName name="dolarFimJun" localSheetId="23">#REF!</definedName>
    <definedName name="dolarFimJun">#REF!</definedName>
    <definedName name="dolarfindez" localSheetId="12">#REF!</definedName>
    <definedName name="dolarfindez" localSheetId="30">#REF!</definedName>
    <definedName name="dolarfindez" localSheetId="28">#REF!</definedName>
    <definedName name="dolarfindez" localSheetId="27">#REF!</definedName>
    <definedName name="dolarfindez" localSheetId="18">#REF!</definedName>
    <definedName name="dolarfindez" localSheetId="7">#REF!</definedName>
    <definedName name="dolarfindez" localSheetId="23">#REF!</definedName>
    <definedName name="dolarfindez">#REF!</definedName>
    <definedName name="dolarfinmar" localSheetId="12">#REF!</definedName>
    <definedName name="dolarfinmar" localSheetId="30">#REF!</definedName>
    <definedName name="dolarfinmar" localSheetId="28">#REF!</definedName>
    <definedName name="dolarfinmar" localSheetId="27">#REF!</definedName>
    <definedName name="dolarfinmar" localSheetId="18">#REF!</definedName>
    <definedName name="dolarfinmar" localSheetId="7">#REF!</definedName>
    <definedName name="dolarfinmar" localSheetId="23">#REF!</definedName>
    <definedName name="dolarfinmar">#REF!</definedName>
    <definedName name="DolarFinSet" localSheetId="12">#REF!</definedName>
    <definedName name="DolarFinSet" localSheetId="30">#REF!</definedName>
    <definedName name="DolarFinSet" localSheetId="28">#REF!</definedName>
    <definedName name="DolarFinSet" localSheetId="27">#REF!</definedName>
    <definedName name="DolarFinSet" localSheetId="18">#REF!</definedName>
    <definedName name="DolarFinSet" localSheetId="7">#REF!</definedName>
    <definedName name="DolarFinSet" localSheetId="23">#REF!</definedName>
    <definedName name="DolarFinSet">#REF!</definedName>
    <definedName name="dolarjan" localSheetId="12">#REF!</definedName>
    <definedName name="dolarjan" localSheetId="30">#REF!</definedName>
    <definedName name="dolarjan" localSheetId="28">#REF!</definedName>
    <definedName name="dolarjan" localSheetId="27">#REF!</definedName>
    <definedName name="dolarjan" localSheetId="18">#REF!</definedName>
    <definedName name="dolarjan" localSheetId="7">#REF!</definedName>
    <definedName name="dolarjan" localSheetId="23">#REF!</definedName>
    <definedName name="dolarjan">#REF!</definedName>
    <definedName name="dolarjan02" localSheetId="12">#REF!</definedName>
    <definedName name="dolarjan02" localSheetId="30">#REF!</definedName>
    <definedName name="dolarjan02" localSheetId="28">#REF!</definedName>
    <definedName name="dolarjan02" localSheetId="27">#REF!</definedName>
    <definedName name="dolarjan02" localSheetId="18">#REF!</definedName>
    <definedName name="dolarjan02" localSheetId="7">#REF!</definedName>
    <definedName name="dolarjan02" localSheetId="23">#REF!</definedName>
    <definedName name="dolarjan02">#REF!</definedName>
    <definedName name="DolarJul" localSheetId="12">#REF!</definedName>
    <definedName name="DolarJul" localSheetId="30">#REF!</definedName>
    <definedName name="DolarJul" localSheetId="28">#REF!</definedName>
    <definedName name="DolarJul" localSheetId="27">#REF!</definedName>
    <definedName name="DolarJul" localSheetId="18">#REF!</definedName>
    <definedName name="DolarJul" localSheetId="7">#REF!</definedName>
    <definedName name="DolarJul" localSheetId="23">#REF!</definedName>
    <definedName name="DolarJul">#REF!</definedName>
    <definedName name="dolarjul02" localSheetId="12">#REF!</definedName>
    <definedName name="dolarjul02" localSheetId="30">#REF!</definedName>
    <definedName name="dolarjul02" localSheetId="28">#REF!</definedName>
    <definedName name="dolarjul02" localSheetId="27">#REF!</definedName>
    <definedName name="dolarjul02" localSheetId="18">#REF!</definedName>
    <definedName name="dolarjul02" localSheetId="7">#REF!</definedName>
    <definedName name="dolarjul02" localSheetId="23">#REF!</definedName>
    <definedName name="dolarjul02">#REF!</definedName>
    <definedName name="dolarjun" localSheetId="12">#REF!</definedName>
    <definedName name="dolarjun" localSheetId="30">#REF!</definedName>
    <definedName name="dolarjun" localSheetId="28">#REF!</definedName>
    <definedName name="dolarjun" localSheetId="27">#REF!</definedName>
    <definedName name="dolarjun" localSheetId="18">#REF!</definedName>
    <definedName name="dolarjun" localSheetId="7">#REF!</definedName>
    <definedName name="dolarjun" localSheetId="23">#REF!</definedName>
    <definedName name="dolarjun">#REF!</definedName>
    <definedName name="dolarjun02" localSheetId="12">#REF!</definedName>
    <definedName name="dolarjun02" localSheetId="30">#REF!</definedName>
    <definedName name="dolarjun02" localSheetId="28">#REF!</definedName>
    <definedName name="dolarjun02" localSheetId="27">#REF!</definedName>
    <definedName name="dolarjun02" localSheetId="18">#REF!</definedName>
    <definedName name="dolarjun02" localSheetId="7">#REF!</definedName>
    <definedName name="dolarjun02" localSheetId="23">#REF!</definedName>
    <definedName name="dolarjun02">#REF!</definedName>
    <definedName name="dolarmai" localSheetId="12">#REF!</definedName>
    <definedName name="dolarmai" localSheetId="30">#REF!</definedName>
    <definedName name="dolarmai" localSheetId="28">#REF!</definedName>
    <definedName name="dolarmai" localSheetId="27">#REF!</definedName>
    <definedName name="dolarmai" localSheetId="18">#REF!</definedName>
    <definedName name="dolarmai" localSheetId="7">#REF!</definedName>
    <definedName name="dolarmai" localSheetId="23">#REF!</definedName>
    <definedName name="dolarmai">#REF!</definedName>
    <definedName name="dolarmai02" localSheetId="12">#REF!</definedName>
    <definedName name="dolarmai02" localSheetId="30">#REF!</definedName>
    <definedName name="dolarmai02" localSheetId="28">#REF!</definedName>
    <definedName name="dolarmai02" localSheetId="27">#REF!</definedName>
    <definedName name="dolarmai02" localSheetId="18">#REF!</definedName>
    <definedName name="dolarmai02" localSheetId="7">#REF!</definedName>
    <definedName name="dolarmai02" localSheetId="23">#REF!</definedName>
    <definedName name="dolarmai02">#REF!</definedName>
    <definedName name="dolarmar" localSheetId="12">#REF!</definedName>
    <definedName name="dolarmar" localSheetId="30">#REF!</definedName>
    <definedName name="dolarmar" localSheetId="28">#REF!</definedName>
    <definedName name="dolarmar" localSheetId="27">#REF!</definedName>
    <definedName name="dolarmar" localSheetId="18">#REF!</definedName>
    <definedName name="dolarmar" localSheetId="7">#REF!</definedName>
    <definedName name="dolarmar" localSheetId="23">#REF!</definedName>
    <definedName name="dolarmar">#REF!</definedName>
    <definedName name="dolarmar02" localSheetId="12">#REF!</definedName>
    <definedName name="dolarmar02" localSheetId="30">#REF!</definedName>
    <definedName name="dolarmar02" localSheetId="28">#REF!</definedName>
    <definedName name="dolarmar02" localSheetId="27">#REF!</definedName>
    <definedName name="dolarmar02" localSheetId="18">#REF!</definedName>
    <definedName name="dolarmar02" localSheetId="7">#REF!</definedName>
    <definedName name="dolarmar02" localSheetId="23">#REF!</definedName>
    <definedName name="dolarmar02">#REF!</definedName>
    <definedName name="dolarnov" localSheetId="12">#REF!</definedName>
    <definedName name="dolarnov" localSheetId="30">#REF!</definedName>
    <definedName name="dolarnov" localSheetId="28">#REF!</definedName>
    <definedName name="dolarnov" localSheetId="27">#REF!</definedName>
    <definedName name="dolarnov" localSheetId="18">#REF!</definedName>
    <definedName name="dolarnov" localSheetId="7">#REF!</definedName>
    <definedName name="dolarnov" localSheetId="23">#REF!</definedName>
    <definedName name="dolarnov">#REF!</definedName>
    <definedName name="dolarout" localSheetId="12">#REF!</definedName>
    <definedName name="dolarout" localSheetId="30">#REF!</definedName>
    <definedName name="dolarout" localSheetId="28">#REF!</definedName>
    <definedName name="dolarout" localSheetId="27">#REF!</definedName>
    <definedName name="dolarout" localSheetId="18">#REF!</definedName>
    <definedName name="dolarout" localSheetId="7">#REF!</definedName>
    <definedName name="dolarout" localSheetId="23">#REF!</definedName>
    <definedName name="dolarout">#REF!</definedName>
    <definedName name="DolarSet" localSheetId="12">#REF!</definedName>
    <definedName name="DolarSet" localSheetId="30">#REF!</definedName>
    <definedName name="DolarSet" localSheetId="28">#REF!</definedName>
    <definedName name="DolarSet" localSheetId="27">#REF!</definedName>
    <definedName name="DolarSet" localSheetId="18">#REF!</definedName>
    <definedName name="DolarSet" localSheetId="7">#REF!</definedName>
    <definedName name="DolarSet" localSheetId="23">#REF!</definedName>
    <definedName name="DolarSet">#REF!</definedName>
    <definedName name="dolarset02" localSheetId="12">#REF!</definedName>
    <definedName name="dolarset02" localSheetId="30">#REF!</definedName>
    <definedName name="dolarset02" localSheetId="28">#REF!</definedName>
    <definedName name="dolarset02" localSheetId="27">#REF!</definedName>
    <definedName name="dolarset02" localSheetId="18">#REF!</definedName>
    <definedName name="dolarset02" localSheetId="7">#REF!</definedName>
    <definedName name="dolarset02" localSheetId="23">#REF!</definedName>
    <definedName name="dolarset02">#REF!</definedName>
    <definedName name="DOZE" localSheetId="12">#REF!</definedName>
    <definedName name="DOZE" localSheetId="30">#REF!</definedName>
    <definedName name="DOZE" localSheetId="28">#REF!</definedName>
    <definedName name="DOZE" localSheetId="27">#REF!</definedName>
    <definedName name="DOZE" localSheetId="21">#REF!</definedName>
    <definedName name="DOZE" localSheetId="18">#REF!</definedName>
    <definedName name="DOZE" localSheetId="7">#REF!</definedName>
    <definedName name="DOZE" localSheetId="23">#REF!</definedName>
    <definedName name="DOZE">#REF!</definedName>
    <definedName name="DRE" localSheetId="3">#REF!</definedName>
    <definedName name="DRE" localSheetId="12">#REF!</definedName>
    <definedName name="DRE" localSheetId="30">#REF!</definedName>
    <definedName name="DRE" localSheetId="28">#REF!</definedName>
    <definedName name="DRE" localSheetId="27">#REF!</definedName>
    <definedName name="DRE" localSheetId="18">#REF!</definedName>
    <definedName name="DRE" localSheetId="7">#REF!</definedName>
    <definedName name="DRE" localSheetId="23">#REF!</definedName>
    <definedName name="DRE">#REF!</definedName>
    <definedName name="drewr" localSheetId="3" hidden="1">{#N/A,#N/A,FALSE,"Plan1";#N/A,#N/A,FALSE,"Plan2"}</definedName>
    <definedName name="drewr" localSheetId="33" hidden="1">{#N/A,#N/A,FALSE,"Plan1";#N/A,#N/A,FALSE,"Plan2"}</definedName>
    <definedName name="drewr" localSheetId="35" hidden="1">{#N/A,#N/A,FALSE,"Plan1";#N/A,#N/A,FALSE,"Plan2"}</definedName>
    <definedName name="drewr" hidden="1">{#N/A,#N/A,FALSE,"Plan1";#N/A,#N/A,FALSE,"Plan2"}</definedName>
    <definedName name="DRRJR" localSheetId="3" hidden="1">{#N/A,#N/A,FALSE,"Plan1";#N/A,#N/A,FALSE,"Plan2"}</definedName>
    <definedName name="DRRJR" localSheetId="33" hidden="1">{#N/A,#N/A,FALSE,"Plan1";#N/A,#N/A,FALSE,"Plan2"}</definedName>
    <definedName name="DRRJR" localSheetId="35" hidden="1">{#N/A,#N/A,FALSE,"Plan1";#N/A,#N/A,FALSE,"Plan2"}</definedName>
    <definedName name="DRRJR" hidden="1">{#N/A,#N/A,FALSE,"Plan1";#N/A,#N/A,FALSE,"Plan2"}</definedName>
    <definedName name="drtr" localSheetId="12" hidden="1">#REF!</definedName>
    <definedName name="drtr" localSheetId="30" hidden="1">#REF!</definedName>
    <definedName name="drtr" localSheetId="28" hidden="1">#REF!</definedName>
    <definedName name="drtr" localSheetId="27" hidden="1">#REF!</definedName>
    <definedName name="drtr" localSheetId="18" hidden="1">#REF!</definedName>
    <definedName name="drtr" localSheetId="7" hidden="1">#REF!</definedName>
    <definedName name="drtr" localSheetId="23" hidden="1">#REF!</definedName>
    <definedName name="drtr" hidden="1">#REF!</definedName>
    <definedName name="drtrt" localSheetId="33" hidden="1">{"'Estimativa de Lançamento-JAN'!$A$1:$AI$85"}</definedName>
    <definedName name="drtrt" localSheetId="35" hidden="1">{"'Estimativa de Lançamento-JAN'!$A$1:$AI$85"}</definedName>
    <definedName name="drtrt" hidden="1">{"'Estimativa de Lançamento-JAN'!$A$1:$AI$85"}</definedName>
    <definedName name="dsdrf" localSheetId="3" hidden="1">{#N/A,#N/A,FALSE,"Plan1";#N/A,#N/A,FALSE,"Plan2"}</definedName>
    <definedName name="dsdrf" localSheetId="33" hidden="1">{#N/A,#N/A,FALSE,"Plan1";#N/A,#N/A,FALSE,"Plan2"}</definedName>
    <definedName name="dsdrf" localSheetId="35" hidden="1">{#N/A,#N/A,FALSE,"Plan1";#N/A,#N/A,FALSE,"Plan2"}</definedName>
    <definedName name="dsdrf" hidden="1">{#N/A,#N/A,FALSE,"Plan1";#N/A,#N/A,FALSE,"Plan2"}</definedName>
    <definedName name="dsfdf" localSheetId="3" hidden="1">{#N/A,#N/A,FALSE,"Plan1";#N/A,#N/A,FALSE,"Plan2"}</definedName>
    <definedName name="dsfdf" localSheetId="33" hidden="1">{#N/A,#N/A,FALSE,"Plan1";#N/A,#N/A,FALSE,"Plan2"}</definedName>
    <definedName name="dsfdf" localSheetId="35" hidden="1">{#N/A,#N/A,FALSE,"Plan1";#N/A,#N/A,FALSE,"Plan2"}</definedName>
    <definedName name="dsfdf" hidden="1">{#N/A,#N/A,FALSE,"Plan1";#N/A,#N/A,FALSE,"Plan2"}</definedName>
    <definedName name="dsfg" localSheetId="3" hidden="1">{#N/A,#N/A,FALSE,"Plan1";#N/A,#N/A,FALSE,"Plan2"}</definedName>
    <definedName name="dsfg" localSheetId="33" hidden="1">{#N/A,#N/A,FALSE,"Plan1";#N/A,#N/A,FALSE,"Plan2"}</definedName>
    <definedName name="dsfg" localSheetId="35" hidden="1">{#N/A,#N/A,FALSE,"Plan1";#N/A,#N/A,FALSE,"Plan2"}</definedName>
    <definedName name="dsfg" hidden="1">{#N/A,#N/A,FALSE,"Plan1";#N/A,#N/A,FALSE,"Plan2"}</definedName>
    <definedName name="DSFKDSKH" localSheetId="3" hidden="1">{#N/A,#N/A,FALSE,"Plan1";#N/A,#N/A,FALSE,"Plan2"}</definedName>
    <definedName name="DSFKDSKH" localSheetId="33" hidden="1">{#N/A,#N/A,FALSE,"Plan1";#N/A,#N/A,FALSE,"Plan2"}</definedName>
    <definedName name="DSFKDSKH" localSheetId="35" hidden="1">{#N/A,#N/A,FALSE,"Plan1";#N/A,#N/A,FALSE,"Plan2"}</definedName>
    <definedName name="DSFKDSKH" hidden="1">{#N/A,#N/A,FALSE,"Plan1";#N/A,#N/A,FALSE,"Plan2"}</definedName>
    <definedName name="DSF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3" hidden="1">{#N/A,#N/A,FALSE,"Plan1";#N/A,#N/A,FALSE,"Plan2"}</definedName>
    <definedName name="dsfrtyy" localSheetId="33" hidden="1">{#N/A,#N/A,FALSE,"Plan1";#N/A,#N/A,FALSE,"Plan2"}</definedName>
    <definedName name="dsfrtyy" localSheetId="35" hidden="1">{#N/A,#N/A,FALSE,"Plan1";#N/A,#N/A,FALSE,"Plan2"}</definedName>
    <definedName name="dsfrtyy" hidden="1">{#N/A,#N/A,FALSE,"Plan1";#N/A,#N/A,FALSE,"Plan2"}</definedName>
    <definedName name="DSFSAD" localSheetId="3" hidden="1">{#N/A,#N/A,FALSE,"Plan1";#N/A,#N/A,FALSE,"Plan2"}</definedName>
    <definedName name="DSFSAD" localSheetId="33" hidden="1">{#N/A,#N/A,FALSE,"Plan1";#N/A,#N/A,FALSE,"Plan2"}</definedName>
    <definedName name="DSFSAD" localSheetId="35" hidden="1">{#N/A,#N/A,FALSE,"Plan1";#N/A,#N/A,FALSE,"Plan2"}</definedName>
    <definedName name="DSFSAD" hidden="1">{#N/A,#N/A,FALSE,"Plan1";#N/A,#N/A,FALSE,"Plan2"}</definedName>
    <definedName name="dsfsdf" localSheetId="3" hidden="1">{#N/A,#N/A,FALSE,"Plan1";#N/A,#N/A,FALSE,"Plan2"}</definedName>
    <definedName name="dsfsdf" localSheetId="33" hidden="1">{#N/A,#N/A,FALSE,"Plan1";#N/A,#N/A,FALSE,"Plan2"}</definedName>
    <definedName name="dsfsdf" localSheetId="35" hidden="1">{#N/A,#N/A,FALSE,"Plan1";#N/A,#N/A,FALSE,"Plan2"}</definedName>
    <definedName name="dsfsdf" hidden="1">{#N/A,#N/A,FALSE,"Plan1";#N/A,#N/A,FALSE,"Plan2"}</definedName>
    <definedName name="dsfsdgfb" localSheetId="3" hidden="1">{#N/A,#N/A,FALSE,"Plan1";#N/A,#N/A,FALSE,"Plan2"}</definedName>
    <definedName name="dsfsdgfb" localSheetId="33" hidden="1">{#N/A,#N/A,FALSE,"Plan1";#N/A,#N/A,FALSE,"Plan2"}</definedName>
    <definedName name="dsfsdgfb" localSheetId="35" hidden="1">{#N/A,#N/A,FALSE,"Plan1";#N/A,#N/A,FALSE,"Plan2"}</definedName>
    <definedName name="dsfsdgfb" hidden="1">{#N/A,#N/A,FALSE,"Plan1";#N/A,#N/A,FALSE,"Plan2"}</definedName>
    <definedName name="dsgfr" localSheetId="3" hidden="1">{#N/A,#N/A,FALSE,"Plan1";#N/A,#N/A,FALSE,"Plan2"}</definedName>
    <definedName name="dsgfr" localSheetId="33" hidden="1">{#N/A,#N/A,FALSE,"Plan1";#N/A,#N/A,FALSE,"Plan2"}</definedName>
    <definedName name="dsgfr" localSheetId="35" hidden="1">{#N/A,#N/A,FALSE,"Plan1";#N/A,#N/A,FALSE,"Plan2"}</definedName>
    <definedName name="dsgfr" hidden="1">{#N/A,#N/A,FALSE,"Plan1";#N/A,#N/A,FALSE,"Plan2"}</definedName>
    <definedName name="dshfkhkrhesru" localSheetId="3" hidden="1">{#N/A,#N/A,FALSE,"Plan1";#N/A,#N/A,FALSE,"Plan2"}</definedName>
    <definedName name="dshfkhkrhesru" localSheetId="33" hidden="1">{#N/A,#N/A,FALSE,"Plan1";#N/A,#N/A,FALSE,"Plan2"}</definedName>
    <definedName name="dshfkhkrhesru" localSheetId="35" hidden="1">{#N/A,#N/A,FALSE,"Plan1";#N/A,#N/A,FALSE,"Plan2"}</definedName>
    <definedName name="dshfkhkrhesru" hidden="1">{#N/A,#N/A,FALSE,"Plan1";#N/A,#N/A,FALSE,"Plan2"}</definedName>
    <definedName name="dsjkthkr" localSheetId="3" hidden="1">{#N/A,#N/A,FALSE,"Plan1";#N/A,#N/A,FALSE,"Plan2"}</definedName>
    <definedName name="dsjkthkr" localSheetId="33" hidden="1">{#N/A,#N/A,FALSE,"Plan1";#N/A,#N/A,FALSE,"Plan2"}</definedName>
    <definedName name="dsjkthkr" localSheetId="35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localSheetId="3" hidden="1">{#N/A,#N/A,FALSE,"Plan1";#N/A,#N/A,FALSE,"Plan2"}</definedName>
    <definedName name="DSLFJSLFJ" localSheetId="33" hidden="1">{#N/A,#N/A,FALSE,"Plan1";#N/A,#N/A,FALSE,"Plan2"}</definedName>
    <definedName name="DSLFJSLFJ" localSheetId="35" hidden="1">{#N/A,#N/A,FALSE,"Plan1";#N/A,#N/A,FALSE,"Plan2"}</definedName>
    <definedName name="DSLFJSLFJ" hidden="1">{#N/A,#N/A,FALSE,"Plan1";#N/A,#N/A,FALSE,"Plan2"}</definedName>
    <definedName name="dslfkf" hidden="1">4</definedName>
    <definedName name="dsrff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3" hidden="1">{#N/A,#N/A,FALSE,"Plan1";#N/A,#N/A,FALSE,"Plan2"}</definedName>
    <definedName name="dss" localSheetId="33" hidden="1">{#N/A,#N/A,FALSE,"Plan1";#N/A,#N/A,FALSE,"Plan2"}</definedName>
    <definedName name="dss" localSheetId="35" hidden="1">{#N/A,#N/A,FALSE,"Plan1";#N/A,#N/A,FALSE,"Plan2"}</definedName>
    <definedName name="dss" hidden="1">{#N/A,#N/A,FALSE,"Plan1";#N/A,#N/A,FALSE,"Plan2"}</definedName>
    <definedName name="dtgsrytt" localSheetId="3" hidden="1">{#N/A,#N/A,FALSE,"Plan1";#N/A,#N/A,FALSE,"Plan2"}</definedName>
    <definedName name="dtgsrytt" localSheetId="33" hidden="1">{#N/A,#N/A,FALSE,"Plan1";#N/A,#N/A,FALSE,"Plan2"}</definedName>
    <definedName name="dtgsrytt" localSheetId="35" hidden="1">{#N/A,#N/A,FALSE,"Plan1";#N/A,#N/A,FALSE,"Plan2"}</definedName>
    <definedName name="dtgsrytt" hidden="1">{#N/A,#N/A,FALSE,"Plan1";#N/A,#N/A,FALSE,"Plan2"}</definedName>
    <definedName name="dtrjkhtrgkfh" localSheetId="3" hidden="1">{#N/A,#N/A,FALSE,"Plan1";#N/A,#N/A,FALSE,"Plan2"}</definedName>
    <definedName name="dtrjkhtrgkfh" localSheetId="33" hidden="1">{#N/A,#N/A,FALSE,"Plan1";#N/A,#N/A,FALSE,"Plan2"}</definedName>
    <definedName name="dtrjkhtrgkfh" localSheetId="35" hidden="1">{#N/A,#N/A,FALSE,"Plan1";#N/A,#N/A,FALSE,"Plan2"}</definedName>
    <definedName name="dtrjkhtrgkfh" hidden="1">{#N/A,#N/A,FALSE,"Plan1";#N/A,#N/A,FALSE,"Plan2"}</definedName>
    <definedName name="dttjuk" localSheetId="3" hidden="1">{#N/A,#N/A,FALSE,"Plan1";#N/A,#N/A,FALSE,"Plan2"}</definedName>
    <definedName name="dttjuk" localSheetId="33" hidden="1">{#N/A,#N/A,FALSE,"Plan1";#N/A,#N/A,FALSE,"Plan2"}</definedName>
    <definedName name="dttjuk" localSheetId="35" hidden="1">{#N/A,#N/A,FALSE,"Plan1";#N/A,#N/A,FALSE,"Plan2"}</definedName>
    <definedName name="dttjuk" hidden="1">{#N/A,#N/A,FALSE,"Plan1";#N/A,#N/A,FALSE,"Plan2"}</definedName>
    <definedName name="dvtry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3" hidden="1">{#N/A,#N/A,FALSE,"Plan1";#N/A,#N/A,FALSE,"Plan2"}</definedName>
    <definedName name="dwetrt" localSheetId="33" hidden="1">{#N/A,#N/A,FALSE,"Plan1";#N/A,#N/A,FALSE,"Plan2"}</definedName>
    <definedName name="dwetrt" localSheetId="35" hidden="1">{#N/A,#N/A,FALSE,"Plan1";#N/A,#N/A,FALSE,"Plan2"}</definedName>
    <definedName name="dwetrt" hidden="1">{#N/A,#N/A,FALSE,"Plan1";#N/A,#N/A,FALSE,"Plan2"}</definedName>
    <definedName name="dwqhdjwqgdwq" localSheetId="12">#REF!</definedName>
    <definedName name="dwqhdjwqgdwq" localSheetId="30">#REF!</definedName>
    <definedName name="dwqhdjwqgdwq" localSheetId="28">#REF!</definedName>
    <definedName name="dwqhdjwqgdwq" localSheetId="27">#REF!</definedName>
    <definedName name="dwqhdjwqgdwq" localSheetId="18">#REF!</definedName>
    <definedName name="dwqhdjwqgdwq" localSheetId="7">#REF!</definedName>
    <definedName name="dwqhdjwqgdwq" localSheetId="23">#REF!</definedName>
    <definedName name="dwqhdjwqgdwq">#REF!</definedName>
    <definedName name="DY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3" hidden="1">{#N/A,#N/A,FALSE,"Plan1";#N/A,#N/A,FALSE,"Plan2"}</definedName>
    <definedName name="DYHYGJDHZKGF" localSheetId="33" hidden="1">{#N/A,#N/A,FALSE,"Plan1";#N/A,#N/A,FALSE,"Plan2"}</definedName>
    <definedName name="DYHYGJDHZKGF" localSheetId="35" hidden="1">{#N/A,#N/A,FALSE,"Plan1";#N/A,#N/A,FALSE,"Plan2"}</definedName>
    <definedName name="DYHYGJDHZKGF" hidden="1">{#N/A,#N/A,FALSE,"Plan1";#N/A,#N/A,FALSE,"Plan2"}</definedName>
    <definedName name="dzdfr" localSheetId="3" hidden="1">{#N/A,#N/A,FALSE,"Plan1";#N/A,#N/A,FALSE,"Plan2"}</definedName>
    <definedName name="dzdfr" localSheetId="33" hidden="1">{#N/A,#N/A,FALSE,"Plan1";#N/A,#N/A,FALSE,"Plan2"}</definedName>
    <definedName name="dzdfr" localSheetId="35" hidden="1">{#N/A,#N/A,FALSE,"Plan1";#N/A,#N/A,FALSE,"Plan2"}</definedName>
    <definedName name="dzdfr" hidden="1">{#N/A,#N/A,FALSE,"Plan1";#N/A,#N/A,FALSE,"Plan2"}</definedName>
    <definedName name="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3">#REF!</definedName>
    <definedName name="ea" localSheetId="12">#REF!</definedName>
    <definedName name="ea" localSheetId="30">#REF!</definedName>
    <definedName name="ea" localSheetId="28">#REF!</definedName>
    <definedName name="ea" localSheetId="27">#REF!</definedName>
    <definedName name="ea" localSheetId="18">#REF!</definedName>
    <definedName name="ea" localSheetId="7">#REF!</definedName>
    <definedName name="ea" localSheetId="23">#REF!</definedName>
    <definedName name="ea">#REF!</definedName>
    <definedName name="EC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33" hidden="1">{#N/A,#N/A,FALSE,"F-01"}</definedName>
    <definedName name="ECEW" localSheetId="35" hidden="1">{#N/A,#N/A,FALSE,"F-01"}</definedName>
    <definedName name="ECEW" hidden="1">{#N/A,#N/A,FALSE,"F-01"}</definedName>
    <definedName name="ECEW_1" localSheetId="33" hidden="1">{#N/A,#N/A,FALSE,"F-01"}</definedName>
    <definedName name="ECEW_1" localSheetId="35" hidden="1">{#N/A,#N/A,FALSE,"F-01"}</definedName>
    <definedName name="ECEW_1" hidden="1">{#N/A,#N/A,FALSE,"F-01"}</definedName>
    <definedName name="echart31" localSheetId="3" hidden="1">#REF!</definedName>
    <definedName name="echart31" localSheetId="12" hidden="1">#REF!</definedName>
    <definedName name="echart31" localSheetId="30" hidden="1">#REF!</definedName>
    <definedName name="echart31" localSheetId="28" hidden="1">#REF!</definedName>
    <definedName name="echart31" localSheetId="27" hidden="1">#REF!</definedName>
    <definedName name="echart31" localSheetId="18" hidden="1">#REF!</definedName>
    <definedName name="echart31" localSheetId="7" hidden="1">#REF!</definedName>
    <definedName name="echart31" localSheetId="23" hidden="1">#REF!</definedName>
    <definedName name="echart31" hidden="1">#REF!</definedName>
    <definedName name="EcoPark" localSheetId="12">#REF!</definedName>
    <definedName name="EcoPark" localSheetId="30">#REF!</definedName>
    <definedName name="EcoPark" localSheetId="28">#REF!</definedName>
    <definedName name="EcoPark" localSheetId="27">#REF!</definedName>
    <definedName name="EcoPark" localSheetId="18">#REF!</definedName>
    <definedName name="EcoPark" localSheetId="7">#REF!</definedName>
    <definedName name="EcoPark" localSheetId="23">#REF!</definedName>
    <definedName name="EcoPark">#REF!</definedName>
    <definedName name="ECS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3" hidden="1">{#N/A,#N/A,FALSE,"Plan1";#N/A,#N/A,FALSE,"Plan2"}</definedName>
    <definedName name="EDE" localSheetId="33" hidden="1">{#N/A,#N/A,FALSE,"Plan1";#N/A,#N/A,FALSE,"Plan2"}</definedName>
    <definedName name="EDE" localSheetId="35" hidden="1">{#N/A,#N/A,FALSE,"Plan1";#N/A,#N/A,FALSE,"Plan2"}</definedName>
    <definedName name="EDE" hidden="1">{#N/A,#N/A,FALSE,"Plan1";#N/A,#N/A,FALSE,"Plan2"}</definedName>
    <definedName name="ee" localSheetId="12">#REF!</definedName>
    <definedName name="ee" localSheetId="30">#REF!</definedName>
    <definedName name="ee" localSheetId="28">#REF!</definedName>
    <definedName name="ee" localSheetId="27">#REF!</definedName>
    <definedName name="ee" localSheetId="18">#REF!</definedName>
    <definedName name="ee" localSheetId="7">#REF!</definedName>
    <definedName name="ee" localSheetId="23">#REF!</definedName>
    <definedName name="ee">#REF!</definedName>
    <definedName name="eee" localSheetId="2" hidden="1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29" hidden="1">{#N/A,#N/A,FALSE,"ET-CAPA";#N/A,#N/A,FALSE,"ET-PAG1";#N/A,#N/A,FALSE,"ET-PAG2";#N/A,#N/A,FALSE,"ET-PAG3";#N/A,#N/A,FALSE,"ET-PAG4";#N/A,#N/A,FALSE,"ET-PAG5"}</definedName>
    <definedName name="eee" localSheetId="31" hidden="1">{#N/A,#N/A,FALSE,"ET-CAPA";#N/A,#N/A,FALSE,"ET-PAG1";#N/A,#N/A,FALSE,"ET-PAG2";#N/A,#N/A,FALSE,"ET-PAG3";#N/A,#N/A,FALSE,"ET-PAG4";#N/A,#N/A,FALSE,"ET-PAG5"}</definedName>
    <definedName name="eee" localSheetId="30" hidden="1">{#N/A,#N/A,FALSE,"ET-CAPA";#N/A,#N/A,FALSE,"ET-PAG1";#N/A,#N/A,FALSE,"ET-PAG2";#N/A,#N/A,FALSE,"ET-PAG3";#N/A,#N/A,FALSE,"ET-PAG4";#N/A,#N/A,FALSE,"ET-PAG5"}</definedName>
    <definedName name="eee" localSheetId="32" hidden="1">{#N/A,#N/A,FALSE,"ET-CAPA";#N/A,#N/A,FALSE,"ET-PAG1";#N/A,#N/A,FALSE,"ET-PAG2";#N/A,#N/A,FALSE,"ET-PAG3";#N/A,#N/A,FALSE,"ET-PAG4";#N/A,#N/A,FALSE,"ET-PAG5"}</definedName>
    <definedName name="eee" localSheetId="33" hidden="1">{#N/A,#N/A,FALSE,"ET-CAPA";#N/A,#N/A,FALSE,"ET-PAG1";#N/A,#N/A,FALSE,"ET-PAG2";#N/A,#N/A,FALSE,"ET-PAG3";#N/A,#N/A,FALSE,"ET-PAG4";#N/A,#N/A,FALSE,"ET-PAG5"}</definedName>
    <definedName name="eee" localSheetId="34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35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EF" localSheetId="12">#REF!</definedName>
    <definedName name="EF" localSheetId="30">#REF!</definedName>
    <definedName name="EF" localSheetId="28">#REF!</definedName>
    <definedName name="EF" localSheetId="27">#REF!</definedName>
    <definedName name="EF" localSheetId="18">#REF!</definedName>
    <definedName name="EF" localSheetId="7">#REF!</definedName>
    <definedName name="EF" localSheetId="23">#REF!</definedName>
    <definedName name="EF">#REF!</definedName>
    <definedName name="efestfr" localSheetId="3" hidden="1">{#N/A,#N/A,FALSE,"Plan1";#N/A,#N/A,FALSE,"Plan2"}</definedName>
    <definedName name="efestfr" localSheetId="33" hidden="1">{#N/A,#N/A,FALSE,"Plan1";#N/A,#N/A,FALSE,"Plan2"}</definedName>
    <definedName name="efestfr" localSheetId="35" hidden="1">{#N/A,#N/A,FALSE,"Plan1";#N/A,#N/A,FALSE,"Plan2"}</definedName>
    <definedName name="efestfr" hidden="1">{#N/A,#N/A,FALSE,"Plan1";#N/A,#N/A,FALSE,"Plan2"}</definedName>
    <definedName name="EFICIÊNCIA" localSheetId="12">#REF!</definedName>
    <definedName name="EFICIÊNCIA" localSheetId="30">#REF!</definedName>
    <definedName name="EFICIÊNCIA" localSheetId="28">#REF!</definedName>
    <definedName name="EFICIÊNCIA" localSheetId="27">#REF!</definedName>
    <definedName name="EFICIÊNCIA" localSheetId="18">#REF!</definedName>
    <definedName name="EFICIÊNCIA" localSheetId="7">#REF!</definedName>
    <definedName name="EFICIÊNCIA" localSheetId="23">#REF!</definedName>
    <definedName name="EFICIÊNCIA">#REF!</definedName>
    <definedName name="Eficiência1" localSheetId="12">#REF!</definedName>
    <definedName name="Eficiência1" localSheetId="30">#REF!</definedName>
    <definedName name="Eficiência1" localSheetId="28">#REF!</definedName>
    <definedName name="Eficiência1" localSheetId="27">#REF!</definedName>
    <definedName name="Eficiência1" localSheetId="18">#REF!</definedName>
    <definedName name="Eficiência1" localSheetId="7">#REF!</definedName>
    <definedName name="Eficiência1" localSheetId="23">#REF!</definedName>
    <definedName name="Eficiência1">#REF!</definedName>
    <definedName name="efrdrt" localSheetId="3" hidden="1">{#N/A,#N/A,FALSE,"Plan1";#N/A,#N/A,FALSE,"Plan2"}</definedName>
    <definedName name="efrdrt" localSheetId="33" hidden="1">{#N/A,#N/A,FALSE,"Plan1";#N/A,#N/A,FALSE,"Plan2"}</definedName>
    <definedName name="efrdrt" localSheetId="35" hidden="1">{#N/A,#N/A,FALSE,"Plan1";#N/A,#N/A,FALSE,"Plan2"}</definedName>
    <definedName name="efrdrt" hidden="1">{#N/A,#N/A,FALSE,"Plan1";#N/A,#N/A,FALSE,"Plan2"}</definedName>
    <definedName name="efrg" localSheetId="3" hidden="1">{#N/A,#N/A,FALSE,"Plan1";#N/A,#N/A,FALSE,"Plan2"}</definedName>
    <definedName name="efrg" localSheetId="33" hidden="1">{#N/A,#N/A,FALSE,"Plan1";#N/A,#N/A,FALSE,"Plan2"}</definedName>
    <definedName name="efrg" localSheetId="35" hidden="1">{#N/A,#N/A,FALSE,"Plan1";#N/A,#N/A,FALSE,"Plan2"}</definedName>
    <definedName name="efrg" hidden="1">{#N/A,#N/A,FALSE,"Plan1";#N/A,#N/A,FALSE,"Plan2"}</definedName>
    <definedName name="efsgfr" localSheetId="3" hidden="1">{#N/A,#N/A,FALSE,"Plan1";#N/A,#N/A,FALSE,"Plan2"}</definedName>
    <definedName name="efsgfr" localSheetId="33" hidden="1">{#N/A,#N/A,FALSE,"Plan1";#N/A,#N/A,FALSE,"Plan2"}</definedName>
    <definedName name="efsgfr" localSheetId="35" hidden="1">{#N/A,#N/A,FALSE,"Plan1";#N/A,#N/A,FALSE,"Plan2"}</definedName>
    <definedName name="efsgfr" hidden="1">{#N/A,#N/A,FALSE,"Plan1";#N/A,#N/A,FALSE,"Plan2"}</definedName>
    <definedName name="eixo_x_fluxo_graf1" localSheetId="12">IFERROR(OFFSET(INDEX(#REF!,MATCH((INDEX(#REF!,MATCH(1,#REF!,0))),#REF!,0)),0,0,1,COUNTIF(#REF!,"&gt;=0")+COUNTIF(#REF!,"&lt;0")),0)</definedName>
    <definedName name="eixo_x_fluxo_graf1" localSheetId="30">IFERROR(OFFSET(INDEX(#REF!,MATCH((INDEX(#REF!,MATCH(1,#REF!,0))),#REF!,0)),0,0,1,COUNTIF(#REF!,"&gt;=0")+COUNTIF(#REF!,"&lt;0")),0)</definedName>
    <definedName name="eixo_x_fluxo_graf1" localSheetId="28">IFERROR(OFFSET(INDEX(#REF!,MATCH((INDEX(#REF!,MATCH(1,#REF!,0))),#REF!,0)),0,0,1,COUNTIF(#REF!,"&gt;=0")+COUNTIF(#REF!,"&lt;0")),0)</definedName>
    <definedName name="eixo_x_fluxo_graf1" localSheetId="27">IFERROR(OFFSET(INDEX(#REF!,MATCH((INDEX(#REF!,MATCH(1,#REF!,0))),#REF!,0)),0,0,1,COUNTIF(#REF!,"&gt;=0")+COUNTIF(#REF!,"&lt;0")),0)</definedName>
    <definedName name="eixo_x_fluxo_graf1" localSheetId="18">IFERROR(OFFSET(INDEX(#REF!,MATCH((INDEX(#REF!,MATCH(1,#REF!,0))),#REF!,0)),0,0,1,COUNTIF(#REF!,"&gt;=0")+COUNTIF(#REF!,"&lt;0")),0)</definedName>
    <definedName name="eixo_x_fluxo_graf1" localSheetId="7">IFERROR(OFFSET(INDEX(#REF!,MATCH((INDEX(#REF!,MATCH(1,#REF!,0))),#REF!,0)),0,0,1,COUNTIF(#REF!,"&gt;=0")+COUNTIF(#REF!,"&lt;0")),0)</definedName>
    <definedName name="eixo_x_fluxo_graf1" localSheetId="23">IFERROR(OFFSET(INDEX(#REF!,MATCH((INDEX(#REF!,MATCH(1,#REF!,0))),#REF!,0)),0,0,1,COUNTIF(#REF!,"&gt;=0")+COUNTIF(#REF!,"&lt;0")),0)</definedName>
    <definedName name="eixo_x_fluxo_graf1">IFERROR(OFFSET(INDEX(#REF!,MATCH((INDEX(#REF!,MATCH(1,#REF!,0))),#REF!,0)),0,0,1,COUNTIF(#REF!,"&gt;=0")+COUNTIF(#REF!,"&lt;0")),0)</definedName>
    <definedName name="eixo_x_graf2" localSheetId="12">IFERROR(OFFSET(INDEX(#REF!,MATCH((INDEX(#REF!,MATCH(1,#REF!,0))),#REF!,0)),0,0,1,COUNTIF(#REF!,"&gt;=0")+COUNTIF(#REF!,"&lt;0")),0)</definedName>
    <definedName name="eixo_x_graf2" localSheetId="30">IFERROR(OFFSET(INDEX(#REF!,MATCH((INDEX(#REF!,MATCH(1,#REF!,0))),#REF!,0)),0,0,1,COUNTIF(#REF!,"&gt;=0")+COUNTIF(#REF!,"&lt;0")),0)</definedName>
    <definedName name="eixo_x_graf2" localSheetId="28">IFERROR(OFFSET(INDEX(#REF!,MATCH((INDEX(#REF!,MATCH(1,#REF!,0))),#REF!,0)),0,0,1,COUNTIF(#REF!,"&gt;=0")+COUNTIF(#REF!,"&lt;0")),0)</definedName>
    <definedName name="eixo_x_graf2" localSheetId="27">IFERROR(OFFSET(INDEX(#REF!,MATCH((INDEX(#REF!,MATCH(1,#REF!,0))),#REF!,0)),0,0,1,COUNTIF(#REF!,"&gt;=0")+COUNTIF(#REF!,"&lt;0")),0)</definedName>
    <definedName name="eixo_x_graf2" localSheetId="18">IFERROR(OFFSET(INDEX(#REF!,MATCH((INDEX(#REF!,MATCH(1,#REF!,0))),#REF!,0)),0,0,1,COUNTIF(#REF!,"&gt;=0")+COUNTIF(#REF!,"&lt;0")),0)</definedName>
    <definedName name="eixo_x_graf2" localSheetId="7">IFERROR(OFFSET(INDEX(#REF!,MATCH((INDEX(#REF!,MATCH(1,#REF!,0))),#REF!,0)),0,0,1,COUNTIF(#REF!,"&gt;=0")+COUNTIF(#REF!,"&lt;0")),0)</definedName>
    <definedName name="eixo_x_graf2" localSheetId="23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 localSheetId="12">#REF!</definedName>
    <definedName name="eixo_x_graf3_distratos" localSheetId="30">#REF!</definedName>
    <definedName name="eixo_x_graf3_distratos" localSheetId="28">#REF!</definedName>
    <definedName name="eixo_x_graf3_distratos" localSheetId="27">#REF!</definedName>
    <definedName name="eixo_x_graf3_distratos" localSheetId="18">#REF!</definedName>
    <definedName name="eixo_x_graf3_distratos" localSheetId="7">#REF!</definedName>
    <definedName name="eixo_x_graf3_distratos" localSheetId="23">#REF!</definedName>
    <definedName name="eixo_x_graf3_distratos">#REF!</definedName>
    <definedName name="eixo_x_graf3_vendas" localSheetId="12">#REF!</definedName>
    <definedName name="eixo_x_graf3_vendas" localSheetId="30">#REF!</definedName>
    <definedName name="eixo_x_graf3_vendas" localSheetId="28">#REF!</definedName>
    <definedName name="eixo_x_graf3_vendas" localSheetId="27">#REF!</definedName>
    <definedName name="eixo_x_graf3_vendas" localSheetId="18">#REF!</definedName>
    <definedName name="eixo_x_graf3_vendas" localSheetId="7">#REF!</definedName>
    <definedName name="eixo_x_graf3_vendas" localSheetId="23">#REF!</definedName>
    <definedName name="eixo_x_graf3_vendas">#REF!</definedName>
    <definedName name="eixo_y_cury_graf2" localSheetId="12">IFERROR(OFFSET(INDEX(#REF!,MATCH((INDEX(#REF!,MATCH(1,#REF!,0))),#REF!,0)),0,0,1,COUNTIF(#REF!,"&gt;=0")+COUNTIF(#REF!,"&lt;0")),0)</definedName>
    <definedName name="eixo_y_cury_graf2" localSheetId="30">IFERROR(OFFSET(INDEX(#REF!,MATCH((INDEX(#REF!,MATCH(1,#REF!,0))),#REF!,0)),0,0,1,COUNTIF(#REF!,"&gt;=0")+COUNTIF(#REF!,"&lt;0")),0)</definedName>
    <definedName name="eixo_y_cury_graf2" localSheetId="28">IFERROR(OFFSET(INDEX(#REF!,MATCH((INDEX(#REF!,MATCH(1,#REF!,0))),#REF!,0)),0,0,1,COUNTIF(#REF!,"&gt;=0")+COUNTIF(#REF!,"&lt;0")),0)</definedName>
    <definedName name="eixo_y_cury_graf2" localSheetId="27">IFERROR(OFFSET(INDEX(#REF!,MATCH((INDEX(#REF!,MATCH(1,#REF!,0))),#REF!,0)),0,0,1,COUNTIF(#REF!,"&gt;=0")+COUNTIF(#REF!,"&lt;0")),0)</definedName>
    <definedName name="eixo_y_cury_graf2" localSheetId="18">IFERROR(OFFSET(INDEX(#REF!,MATCH((INDEX(#REF!,MATCH(1,#REF!,0))),#REF!,0)),0,0,1,COUNTIF(#REF!,"&gt;=0")+COUNTIF(#REF!,"&lt;0")),0)</definedName>
    <definedName name="eixo_y_cury_graf2" localSheetId="7">IFERROR(OFFSET(INDEX(#REF!,MATCH((INDEX(#REF!,MATCH(1,#REF!,0))),#REF!,0)),0,0,1,COUNTIF(#REF!,"&gt;=0")+COUNTIF(#REF!,"&lt;0")),0)</definedName>
    <definedName name="eixo_y_cury_graf2" localSheetId="23">IFERROR(OFFSET(INDEX(#REF!,MATCH((INDEX(#REF!,MATCH(1,#REF!,0))),#REF!,0)),0,0,1,COUNTIF(#REF!,"&gt;=0")+COUNTIF(#REF!,"&lt;0")),0)</definedName>
    <definedName name="eixo_y_cury_graf2">IFERROR(OFFSET(INDEX(#REF!,MATCH((INDEX(#REF!,MATCH(1,#REF!,0))),#REF!,0)),0,0,1,COUNTIF(#REF!,"&gt;=0")+COUNTIF(#REF!,"&lt;0")),0)</definedName>
    <definedName name="eixo_y_fluxo_graf1" localSheetId="1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3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2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2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1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2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1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3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2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2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1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2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1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3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2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2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1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2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1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3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2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2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1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2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 localSheetId="12">#REF!</definedName>
    <definedName name="eixo_y_graf3" localSheetId="30">#REF!</definedName>
    <definedName name="eixo_y_graf3" localSheetId="28">#REF!</definedName>
    <definedName name="eixo_y_graf3" localSheetId="27">#REF!</definedName>
    <definedName name="eixo_y_graf3" localSheetId="18">#REF!</definedName>
    <definedName name="eixo_y_graf3" localSheetId="7">#REF!</definedName>
    <definedName name="eixo_y_graf3" localSheetId="23">#REF!</definedName>
    <definedName name="eixo_y_graf3">#REF!</definedName>
    <definedName name="eixo_y_socio_graf2" localSheetId="12">IFERROR(OFFSET(INDEX(#REF!,MATCH((INDEX(#REF!,MATCH(1,#REF!,0))),#REF!,0)),0,0,1,COUNTIF(#REF!,"&gt;=0")+COUNTIF(#REF!,"&lt;0")),0)</definedName>
    <definedName name="eixo_y_socio_graf2" localSheetId="30">IFERROR(OFFSET(INDEX(#REF!,MATCH((INDEX(#REF!,MATCH(1,#REF!,0))),#REF!,0)),0,0,1,COUNTIF(#REF!,"&gt;=0")+COUNTIF(#REF!,"&lt;0")),0)</definedName>
    <definedName name="eixo_y_socio_graf2" localSheetId="28">IFERROR(OFFSET(INDEX(#REF!,MATCH((INDEX(#REF!,MATCH(1,#REF!,0))),#REF!,0)),0,0,1,COUNTIF(#REF!,"&gt;=0")+COUNTIF(#REF!,"&lt;0")),0)</definedName>
    <definedName name="eixo_y_socio_graf2" localSheetId="27">IFERROR(OFFSET(INDEX(#REF!,MATCH((INDEX(#REF!,MATCH(1,#REF!,0))),#REF!,0)),0,0,1,COUNTIF(#REF!,"&gt;=0")+COUNTIF(#REF!,"&lt;0")),0)</definedName>
    <definedName name="eixo_y_socio_graf2" localSheetId="18">IFERROR(OFFSET(INDEX(#REF!,MATCH((INDEX(#REF!,MATCH(1,#REF!,0))),#REF!,0)),0,0,1,COUNTIF(#REF!,"&gt;=0")+COUNTIF(#REF!,"&lt;0")),0)</definedName>
    <definedName name="eixo_y_socio_graf2" localSheetId="7">IFERROR(OFFSET(INDEX(#REF!,MATCH((INDEX(#REF!,MATCH(1,#REF!,0))),#REF!,0)),0,0,1,COUNTIF(#REF!,"&gt;=0")+COUNTIF(#REF!,"&lt;0")),0)</definedName>
    <definedName name="eixo_y_socio_graf2" localSheetId="23">IFERROR(OFFSET(INDEX(#REF!,MATCH((INDEX(#REF!,MATCH(1,#REF!,0))),#REF!,0)),0,0,1,COUNTIF(#REF!,"&gt;=0")+COUNTIF(#REF!,"&lt;0")),0)</definedName>
    <definedName name="eixo_y_socio_graf2">IFERROR(OFFSET(INDEX(#REF!,MATCH((INDEX(#REF!,MATCH(1,#REF!,0))),#REF!,0)),0,0,1,COUNTIF(#REF!,"&gt;=0")+COUNTIF(#REF!,"&lt;0")),0)</definedName>
    <definedName name="eixo_y_viab_graf1" localSheetId="1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3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2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2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1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2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 localSheetId="12">#REF!</definedName>
    <definedName name="EM" localSheetId="30">#REF!</definedName>
    <definedName name="EM" localSheetId="28">#REF!</definedName>
    <definedName name="EM" localSheetId="27">#REF!</definedName>
    <definedName name="EM" localSheetId="18">#REF!</definedName>
    <definedName name="EM" localSheetId="7">#REF!</definedName>
    <definedName name="EM" localSheetId="23">#REF!</definedName>
    <definedName name="EM">#REF!</definedName>
    <definedName name="Empreend" localSheetId="12">#REF!</definedName>
    <definedName name="Empreend" localSheetId="30">#REF!</definedName>
    <definedName name="Empreend" localSheetId="28">#REF!</definedName>
    <definedName name="Empreend" localSheetId="27">#REF!</definedName>
    <definedName name="Empreend" localSheetId="18">#REF!</definedName>
    <definedName name="Empreend" localSheetId="7">#REF!</definedName>
    <definedName name="Empreend" localSheetId="23">#REF!</definedName>
    <definedName name="Empreend">#REF!</definedName>
    <definedName name="Empreendimentos" localSheetId="12">#REF!</definedName>
    <definedName name="Empreendimentos" localSheetId="30">#REF!</definedName>
    <definedName name="Empreendimentos" localSheetId="28">#REF!</definedName>
    <definedName name="Empreendimentos" localSheetId="27">#REF!</definedName>
    <definedName name="Empreendimentos" localSheetId="18">#REF!</definedName>
    <definedName name="Empreendimentos" localSheetId="7">#REF!</definedName>
    <definedName name="Empreendimentos" localSheetId="23">#REF!</definedName>
    <definedName name="Empreendimentos">#REF!</definedName>
    <definedName name="empresas" localSheetId="12">#REF!</definedName>
    <definedName name="empresas" localSheetId="30">#REF!</definedName>
    <definedName name="empresas" localSheetId="28">#REF!</definedName>
    <definedName name="empresas" localSheetId="27">#REF!</definedName>
    <definedName name="empresas" localSheetId="18">#REF!</definedName>
    <definedName name="empresas" localSheetId="7">#REF!</definedName>
    <definedName name="empresas" localSheetId="23">#REF!</definedName>
    <definedName name="empresas">#REF!</definedName>
    <definedName name="encanador" localSheetId="12">#REF!</definedName>
    <definedName name="encanador" localSheetId="30">#REF!</definedName>
    <definedName name="encanador" localSheetId="28">#REF!</definedName>
    <definedName name="encanador" localSheetId="27">#REF!</definedName>
    <definedName name="encanador" localSheetId="18">#REF!</definedName>
    <definedName name="encanador" localSheetId="7">#REF!</definedName>
    <definedName name="encanador" localSheetId="23">#REF!</definedName>
    <definedName name="encanador">#REF!</definedName>
    <definedName name="EPI" localSheetId="12">#REF!</definedName>
    <definedName name="EPI" localSheetId="30">#REF!</definedName>
    <definedName name="EPI" localSheetId="28">#REF!</definedName>
    <definedName name="EPI" localSheetId="27">#REF!</definedName>
    <definedName name="EPI" localSheetId="18">#REF!</definedName>
    <definedName name="EPI" localSheetId="7">#REF!</definedName>
    <definedName name="EPI" localSheetId="23">#REF!</definedName>
    <definedName name="EPI">#REF!</definedName>
    <definedName name="EQUIP" localSheetId="12">#REF!</definedName>
    <definedName name="EQUIP" localSheetId="30">#REF!</definedName>
    <definedName name="EQUIP" localSheetId="28">#REF!</definedName>
    <definedName name="EQUIP" localSheetId="27">#REF!</definedName>
    <definedName name="EQUIP" localSheetId="18">#REF!</definedName>
    <definedName name="EQUIP" localSheetId="7">#REF!</definedName>
    <definedName name="EQUIP" localSheetId="23">#REF!</definedName>
    <definedName name="EQUIP">#REF!</definedName>
    <definedName name="equipamento" localSheetId="12">#REF!</definedName>
    <definedName name="equipamento" localSheetId="30">#REF!</definedName>
    <definedName name="equipamento" localSheetId="28">#REF!</definedName>
    <definedName name="equipamento" localSheetId="27">#REF!</definedName>
    <definedName name="equipamento" localSheetId="18">#REF!</definedName>
    <definedName name="equipamento" localSheetId="7">#REF!</definedName>
    <definedName name="equipamento" localSheetId="23">#REF!</definedName>
    <definedName name="equipamento">#REF!</definedName>
    <definedName name="ER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3" hidden="1">{#N/A,#N/A,FALSE,"Plan1";#N/A,#N/A,FALSE,"Plan2"}</definedName>
    <definedName name="ergfhyu" localSheetId="33" hidden="1">{#N/A,#N/A,FALSE,"Plan1";#N/A,#N/A,FALSE,"Plan2"}</definedName>
    <definedName name="ergfhyu" localSheetId="35" hidden="1">{#N/A,#N/A,FALSE,"Plan1";#N/A,#N/A,FALSE,"Plan2"}</definedName>
    <definedName name="ergfhyu" hidden="1">{#N/A,#N/A,FALSE,"Plan1";#N/A,#N/A,FALSE,"Plan2"}</definedName>
    <definedName name="erne_cdi" localSheetId="12">#REF!</definedName>
    <definedName name="erne_cdi" localSheetId="30">#REF!</definedName>
    <definedName name="erne_cdi" localSheetId="28">#REF!</definedName>
    <definedName name="erne_cdi" localSheetId="27">#REF!</definedName>
    <definedName name="erne_cdi" localSheetId="18">#REF!</definedName>
    <definedName name="erne_cdi" localSheetId="7">#REF!</definedName>
    <definedName name="erne_cdi" localSheetId="23">#REF!</definedName>
    <definedName name="erne_cdi">#REF!</definedName>
    <definedName name="erne_hist" localSheetId="12">#REF!</definedName>
    <definedName name="erne_hist" localSheetId="30">#REF!</definedName>
    <definedName name="erne_hist" localSheetId="28">#REF!</definedName>
    <definedName name="erne_hist" localSheetId="27">#REF!</definedName>
    <definedName name="erne_hist" localSheetId="18">#REF!</definedName>
    <definedName name="erne_hist" localSheetId="7">#REF!</definedName>
    <definedName name="erne_hist" localSheetId="23">#REF!</definedName>
    <definedName name="erne_hist">#REF!</definedName>
    <definedName name="erne_uss" localSheetId="12">#REF!</definedName>
    <definedName name="erne_uss" localSheetId="30">#REF!</definedName>
    <definedName name="erne_uss" localSheetId="28">#REF!</definedName>
    <definedName name="erne_uss" localSheetId="27">#REF!</definedName>
    <definedName name="erne_uss" localSheetId="18">#REF!</definedName>
    <definedName name="erne_uss" localSheetId="7">#REF!</definedName>
    <definedName name="erne_uss" localSheetId="23">#REF!</definedName>
    <definedName name="erne_uss">#REF!</definedName>
    <definedName name="erte" localSheetId="12" hidden="1">#REF!</definedName>
    <definedName name="erte" localSheetId="30" hidden="1">#REF!</definedName>
    <definedName name="erte" localSheetId="28" hidden="1">#REF!</definedName>
    <definedName name="erte" localSheetId="27" hidden="1">#REF!</definedName>
    <definedName name="erte" localSheetId="18" hidden="1">#REF!</definedName>
    <definedName name="erte" localSheetId="7" hidden="1">#REF!</definedName>
    <definedName name="erte" localSheetId="23" hidden="1">#REF!</definedName>
    <definedName name="erte" hidden="1">#REF!</definedName>
    <definedName name="ESGFDSFD" localSheetId="3" hidden="1">{#N/A,#N/A,FALSE,"Plan1";#N/A,#N/A,FALSE,"Plan2"}</definedName>
    <definedName name="ESGFDSFD" localSheetId="33" hidden="1">{#N/A,#N/A,FALSE,"Plan1";#N/A,#N/A,FALSE,"Plan2"}</definedName>
    <definedName name="ESGFDSFD" localSheetId="35" hidden="1">{#N/A,#N/A,FALSE,"Plan1";#N/A,#N/A,FALSE,"Plan2"}</definedName>
    <definedName name="ESGFDSFD" hidden="1">{#N/A,#N/A,FALSE,"Plan1";#N/A,#N/A,FALSE,"Plan2"}</definedName>
    <definedName name="esp" localSheetId="12">#REF!</definedName>
    <definedName name="esp" localSheetId="30">#REF!</definedName>
    <definedName name="esp" localSheetId="28">#REF!</definedName>
    <definedName name="esp" localSheetId="27">#REF!</definedName>
    <definedName name="esp" localSheetId="21">#REF!</definedName>
    <definedName name="esp" localSheetId="18">#REF!</definedName>
    <definedName name="esp" localSheetId="7">#REF!</definedName>
    <definedName name="esp" localSheetId="23">#REF!</definedName>
    <definedName name="esp">#REF!</definedName>
    <definedName name="ESPESSURA" localSheetId="12">#REF!</definedName>
    <definedName name="ESPESSURA" localSheetId="30">#REF!</definedName>
    <definedName name="ESPESSURA" localSheetId="28">#REF!</definedName>
    <definedName name="ESPESSURA" localSheetId="27">#REF!</definedName>
    <definedName name="ESPESSURA" localSheetId="21">#REF!</definedName>
    <definedName name="ESPESSURA" localSheetId="18">#REF!</definedName>
    <definedName name="ESPESSURA" localSheetId="7">#REF!</definedName>
    <definedName name="ESPESSURA" localSheetId="23">#REF!</definedName>
    <definedName name="ESPESSURA">#REF!</definedName>
    <definedName name="estaca" localSheetId="12">#REF!</definedName>
    <definedName name="estaca" localSheetId="30">#REF!</definedName>
    <definedName name="estaca" localSheetId="28">#REF!</definedName>
    <definedName name="estaca" localSheetId="27">#REF!</definedName>
    <definedName name="estaca" localSheetId="18">#REF!</definedName>
    <definedName name="estaca" localSheetId="7">#REF!</definedName>
    <definedName name="estaca" localSheetId="23">#REF!</definedName>
    <definedName name="estaca">#REF!</definedName>
    <definedName name="estaca3" localSheetId="12">#REF!</definedName>
    <definedName name="estaca3" localSheetId="30">#REF!</definedName>
    <definedName name="estaca3" localSheetId="28">#REF!</definedName>
    <definedName name="estaca3" localSheetId="27">#REF!</definedName>
    <definedName name="estaca3" localSheetId="18">#REF!</definedName>
    <definedName name="estaca3" localSheetId="7">#REF!</definedName>
    <definedName name="estaca3" localSheetId="23">#REF!</definedName>
    <definedName name="estaca3">#REF!</definedName>
    <definedName name="ESTADO" localSheetId="12">#REF!</definedName>
    <definedName name="ESTADO" localSheetId="30">#REF!</definedName>
    <definedName name="ESTADO" localSheetId="28">#REF!</definedName>
    <definedName name="ESTADO" localSheetId="27">#REF!</definedName>
    <definedName name="ESTADO" localSheetId="18">#REF!</definedName>
    <definedName name="ESTADO" localSheetId="7">#REF!</definedName>
    <definedName name="ESTADO" localSheetId="23">#REF!</definedName>
    <definedName name="ESTADO">#REF!</definedName>
    <definedName name="estados" localSheetId="12">#REF!</definedName>
    <definedName name="estados" localSheetId="30">#REF!</definedName>
    <definedName name="estados" localSheetId="28">#REF!</definedName>
    <definedName name="estados" localSheetId="27">#REF!</definedName>
    <definedName name="estados" localSheetId="18">#REF!</definedName>
    <definedName name="estados" localSheetId="7">#REF!</definedName>
    <definedName name="estados" localSheetId="23">#REF!</definedName>
    <definedName name="estados">#REF!</definedName>
    <definedName name="estagiário" localSheetId="12">#REF!</definedName>
    <definedName name="estagiário" localSheetId="30">#REF!</definedName>
    <definedName name="estagiário" localSheetId="28">#REF!</definedName>
    <definedName name="estagiário" localSheetId="27">#REF!</definedName>
    <definedName name="estagiário" localSheetId="18">#REF!</definedName>
    <definedName name="estagiário" localSheetId="7">#REF!</definedName>
    <definedName name="estagiário" localSheetId="23">#REF!</definedName>
    <definedName name="estagiário">#REF!</definedName>
    <definedName name="ESTOQUE" localSheetId="12">#REF!</definedName>
    <definedName name="ESTOQUE" localSheetId="30">#REF!</definedName>
    <definedName name="ESTOQUE" localSheetId="28">#REF!</definedName>
    <definedName name="ESTOQUE" localSheetId="27">#REF!</definedName>
    <definedName name="ESTOQUE" localSheetId="18">#REF!</definedName>
    <definedName name="ESTOQUE" localSheetId="7">#REF!</definedName>
    <definedName name="ESTOQUE" localSheetId="23">#REF!</definedName>
    <definedName name="ESTOQUE">#REF!</definedName>
    <definedName name="Etq_final" localSheetId="12">#REF!</definedName>
    <definedName name="Etq_final" localSheetId="30">#REF!</definedName>
    <definedName name="Etq_final" localSheetId="28">#REF!</definedName>
    <definedName name="Etq_final" localSheetId="27">#REF!</definedName>
    <definedName name="Etq_final" localSheetId="18">#REF!</definedName>
    <definedName name="Etq_final" localSheetId="7">#REF!</definedName>
    <definedName name="Etq_final" localSheetId="23">#REF!</definedName>
    <definedName name="Etq_final">#REF!</definedName>
    <definedName name="EU" localSheetId="3" hidden="1">{#N/A,#N/A,FALSE,"Plan1";#N/A,#N/A,FALSE,"Plan2"}</definedName>
    <definedName name="EU" localSheetId="33" hidden="1">{#N/A,#N/A,FALSE,"Plan1";#N/A,#N/A,FALSE,"Plan2"}</definedName>
    <definedName name="EU" localSheetId="35" hidden="1">{#N/A,#N/A,FALSE,"Plan1";#N/A,#N/A,FALSE,"Plan2"}</definedName>
    <definedName name="EU" hidden="1">{#N/A,#N/A,FALSE,"Plan1";#N/A,#N/A,FALSE,"Plan2"}</definedName>
    <definedName name="EV__LASTREFTIME__" hidden="1">39965.7223611111</definedName>
    <definedName name="EVL" localSheetId="3" hidden="1">{"Econ Consolidado",#N/A,FALSE,"Econ Consol";"Fluxo de Caixa",#N/A,FALSE,"Fluxo Caixa";"Investimentos",#N/A,FALSE,"Investimentos"}</definedName>
    <definedName name="EVL" localSheetId="33" hidden="1">{"Econ Consolidado",#N/A,FALSE,"Econ Consol";"Fluxo de Caixa",#N/A,FALSE,"Fluxo Caixa";"Investimentos",#N/A,FALSE,"Investimentos"}</definedName>
    <definedName name="EVL" localSheetId="35" hidden="1">{"Econ Consolidado",#N/A,FALSE,"Econ Consol";"Fluxo de Caixa",#N/A,FALSE,"Fluxo Caixa";"Investimentos",#N/A,FALSE,"Investimentos"}</definedName>
    <definedName name="EVL" hidden="1">{"Econ Consolidado",#N/A,FALSE,"Econ Consol";"Fluxo de Caixa",#N/A,FALSE,"Fluxo Caixa";"Investimentos",#N/A,FALSE,"Investimentos"}</definedName>
    <definedName name="Evol." localSheetId="3" hidden="1">{"Econ Consolidado",#N/A,FALSE,"Econ Consol";"Fluxo de Caixa",#N/A,FALSE,"Fluxo Caixa";"Investimentos",#N/A,FALSE,"Investimentos"}</definedName>
    <definedName name="Evol." localSheetId="33" hidden="1">{"Econ Consolidado",#N/A,FALSE,"Econ Consol";"Fluxo de Caixa",#N/A,FALSE,"Fluxo Caixa";"Investimentos",#N/A,FALSE,"Investimentos"}</definedName>
    <definedName name="Evol." localSheetId="35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localSheetId="3" hidden="1">{#N/A,#N/A,FALSE,"Plan1";#N/A,#N/A,FALSE,"Plan2"}</definedName>
    <definedName name="ewfr" localSheetId="33" hidden="1">{#N/A,#N/A,FALSE,"Plan1";#N/A,#N/A,FALSE,"Plan2"}</definedName>
    <definedName name="ewfr" localSheetId="35" hidden="1">{#N/A,#N/A,FALSE,"Plan1";#N/A,#N/A,FALSE,"Plan2"}</definedName>
    <definedName name="ewfr" hidden="1">{#N/A,#N/A,FALSE,"Plan1";#N/A,#N/A,FALSE,"Plan2"}</definedName>
    <definedName name="exce_cdi" localSheetId="12">#REF!</definedName>
    <definedName name="exce_cdi" localSheetId="30">#REF!</definedName>
    <definedName name="exce_cdi" localSheetId="28">#REF!</definedName>
    <definedName name="exce_cdi" localSheetId="27">#REF!</definedName>
    <definedName name="exce_cdi" localSheetId="18">#REF!</definedName>
    <definedName name="exce_cdi" localSheetId="7">#REF!</definedName>
    <definedName name="exce_cdi" localSheetId="23">#REF!</definedName>
    <definedName name="exce_cdi">#REF!</definedName>
    <definedName name="exce_hist" localSheetId="12">#REF!</definedName>
    <definedName name="exce_hist" localSheetId="30">#REF!</definedName>
    <definedName name="exce_hist" localSheetId="28">#REF!</definedName>
    <definedName name="exce_hist" localSheetId="27">#REF!</definedName>
    <definedName name="exce_hist" localSheetId="18">#REF!</definedName>
    <definedName name="exce_hist" localSheetId="7">#REF!</definedName>
    <definedName name="exce_hist" localSheetId="23">#REF!</definedName>
    <definedName name="exce_hist">#REF!</definedName>
    <definedName name="exce_uss" localSheetId="12">#REF!</definedName>
    <definedName name="exce_uss" localSheetId="30">#REF!</definedName>
    <definedName name="exce_uss" localSheetId="28">#REF!</definedName>
    <definedName name="exce_uss" localSheetId="27">#REF!</definedName>
    <definedName name="exce_uss" localSheetId="18">#REF!</definedName>
    <definedName name="exce_uss" localSheetId="7">#REF!</definedName>
    <definedName name="exce_uss" localSheetId="23">#REF!</definedName>
    <definedName name="exce_uss">#REF!</definedName>
    <definedName name="Excel_BuiltIn__FilterDatabase_1" localSheetId="12">#REF!</definedName>
    <definedName name="Excel_BuiltIn__FilterDatabase_1" localSheetId="30">#REF!</definedName>
    <definedName name="Excel_BuiltIn__FilterDatabase_1" localSheetId="28">#REF!</definedName>
    <definedName name="Excel_BuiltIn__FilterDatabase_1" localSheetId="27">#REF!</definedName>
    <definedName name="Excel_BuiltIn__FilterDatabase_1" localSheetId="18">#REF!</definedName>
    <definedName name="Excel_BuiltIn__FilterDatabase_1" localSheetId="7">#REF!</definedName>
    <definedName name="Excel_BuiltIn__FilterDatabase_1" localSheetId="23">#REF!</definedName>
    <definedName name="Excel_BuiltIn__FilterDatabase_1">#REF!</definedName>
    <definedName name="Excel_BuiltIn__FilterDatabase_1_1" localSheetId="12">#REF!</definedName>
    <definedName name="Excel_BuiltIn__FilterDatabase_1_1" localSheetId="30">#REF!</definedName>
    <definedName name="Excel_BuiltIn__FilterDatabase_1_1" localSheetId="28">#REF!</definedName>
    <definedName name="Excel_BuiltIn__FilterDatabase_1_1" localSheetId="27">#REF!</definedName>
    <definedName name="Excel_BuiltIn__FilterDatabase_1_1" localSheetId="18">#REF!</definedName>
    <definedName name="Excel_BuiltIn__FilterDatabase_1_1" localSheetId="7">#REF!</definedName>
    <definedName name="Excel_BuiltIn__FilterDatabase_1_1" localSheetId="23">#REF!</definedName>
    <definedName name="Excel_BuiltIn__FilterDatabase_1_1">#REF!</definedName>
    <definedName name="Excel_BuiltIn__FilterDatabase_6" localSheetId="12">#REF!</definedName>
    <definedName name="Excel_BuiltIn__FilterDatabase_6" localSheetId="30">#REF!</definedName>
    <definedName name="Excel_BuiltIn__FilterDatabase_6" localSheetId="28">#REF!</definedName>
    <definedName name="Excel_BuiltIn__FilterDatabase_6" localSheetId="27">#REF!</definedName>
    <definedName name="Excel_BuiltIn__FilterDatabase_6" localSheetId="18">#REF!</definedName>
    <definedName name="Excel_BuiltIn__FilterDatabase_6" localSheetId="7">#REF!</definedName>
    <definedName name="Excel_BuiltIn__FilterDatabase_6" localSheetId="23">#REF!</definedName>
    <definedName name="Excel_BuiltIn__FilterDatabase_6">#REF!</definedName>
    <definedName name="Excel_BuiltIn_Print_Area_0" localSheetId="12">#REF!</definedName>
    <definedName name="Excel_BuiltIn_Print_Area_0" localSheetId="30">#REF!</definedName>
    <definedName name="Excel_BuiltIn_Print_Area_0" localSheetId="28">#REF!</definedName>
    <definedName name="Excel_BuiltIn_Print_Area_0" localSheetId="27">#REF!</definedName>
    <definedName name="Excel_BuiltIn_Print_Area_0" localSheetId="18">#REF!</definedName>
    <definedName name="Excel_BuiltIn_Print_Area_0" localSheetId="7">#REF!</definedName>
    <definedName name="Excel_BuiltIn_Print_Area_0" localSheetId="23">#REF!</definedName>
    <definedName name="Excel_BuiltIn_Print_Area_0">#REF!</definedName>
    <definedName name="Excel_BuiltIn_Print_Area_1_1" localSheetId="12">#REF!</definedName>
    <definedName name="Excel_BuiltIn_Print_Area_1_1" localSheetId="30">#REF!</definedName>
    <definedName name="Excel_BuiltIn_Print_Area_1_1" localSheetId="28">#REF!</definedName>
    <definedName name="Excel_BuiltIn_Print_Area_1_1" localSheetId="27">#REF!</definedName>
    <definedName name="Excel_BuiltIn_Print_Area_1_1" localSheetId="18">#REF!</definedName>
    <definedName name="Excel_BuiltIn_Print_Area_1_1" localSheetId="7">#REF!</definedName>
    <definedName name="Excel_BuiltIn_Print_Area_1_1" localSheetId="23">#REF!</definedName>
    <definedName name="Excel_BuiltIn_Print_Area_1_1">#REF!</definedName>
    <definedName name="Excel_BuiltIn_Print_Titles_1_1_1" localSheetId="12">#REF!</definedName>
    <definedName name="Excel_BuiltIn_Print_Titles_1_1_1" localSheetId="30">#REF!</definedName>
    <definedName name="Excel_BuiltIn_Print_Titles_1_1_1" localSheetId="28">#REF!</definedName>
    <definedName name="Excel_BuiltIn_Print_Titles_1_1_1" localSheetId="27">#REF!</definedName>
    <definedName name="Excel_BuiltIn_Print_Titles_1_1_1" localSheetId="18">#REF!</definedName>
    <definedName name="Excel_BuiltIn_Print_Titles_1_1_1" localSheetId="7">#REF!</definedName>
    <definedName name="Excel_BuiltIn_Print_Titles_1_1_1" localSheetId="23">#REF!</definedName>
    <definedName name="Excel_BuiltIn_Print_Titles_1_1_1">#REF!</definedName>
    <definedName name="Excel_BuiltIn_Print_Titles_1_1_4" localSheetId="12">#REF!</definedName>
    <definedName name="Excel_BuiltIn_Print_Titles_1_1_4" localSheetId="30">#REF!</definedName>
    <definedName name="Excel_BuiltIn_Print_Titles_1_1_4" localSheetId="28">#REF!</definedName>
    <definedName name="Excel_BuiltIn_Print_Titles_1_1_4" localSheetId="27">#REF!</definedName>
    <definedName name="Excel_BuiltIn_Print_Titles_1_1_4" localSheetId="18">#REF!</definedName>
    <definedName name="Excel_BuiltIn_Print_Titles_1_1_4" localSheetId="7">#REF!</definedName>
    <definedName name="Excel_BuiltIn_Print_Titles_1_1_4" localSheetId="23">#REF!</definedName>
    <definedName name="Excel_BuiltIn_Print_Titles_1_1_4">#REF!</definedName>
    <definedName name="Excel_BuiltIn_Print_Titles_1_1_5" localSheetId="12">#REF!</definedName>
    <definedName name="Excel_BuiltIn_Print_Titles_1_1_5" localSheetId="30">#REF!</definedName>
    <definedName name="Excel_BuiltIn_Print_Titles_1_1_5" localSheetId="28">#REF!</definedName>
    <definedName name="Excel_BuiltIn_Print_Titles_1_1_5" localSheetId="27">#REF!</definedName>
    <definedName name="Excel_BuiltIn_Print_Titles_1_1_5" localSheetId="18">#REF!</definedName>
    <definedName name="Excel_BuiltIn_Print_Titles_1_1_5" localSheetId="7">#REF!</definedName>
    <definedName name="Excel_BuiltIn_Print_Titles_1_1_5" localSheetId="23">#REF!</definedName>
    <definedName name="Excel_BuiltIn_Print_Titles_1_1_5">#REF!</definedName>
    <definedName name="Exrate" localSheetId="12">#REF!</definedName>
    <definedName name="Exrate" localSheetId="30">#REF!</definedName>
    <definedName name="Exrate" localSheetId="28">#REF!</definedName>
    <definedName name="Exrate" localSheetId="27">#REF!</definedName>
    <definedName name="Exrate" localSheetId="18">#REF!</definedName>
    <definedName name="Exrate" localSheetId="7">#REF!</definedName>
    <definedName name="Exrate" localSheetId="23">#REF!</definedName>
    <definedName name="Exrate">#REF!</definedName>
    <definedName name="eyruieyteta" localSheetId="3" hidden="1">{#N/A,#N/A,FALSE,"Plan1";#N/A,#N/A,FALSE,"Plan2"}</definedName>
    <definedName name="eyruieyteta" localSheetId="33" hidden="1">{#N/A,#N/A,FALSE,"Plan1";#N/A,#N/A,FALSE,"Plan2"}</definedName>
    <definedName name="eyruieyteta" localSheetId="35" hidden="1">{#N/A,#N/A,FALSE,"Plan1";#N/A,#N/A,FALSE,"Plan2"}</definedName>
    <definedName name="eyruieyteta" hidden="1">{#N/A,#N/A,FALSE,"Plan1";#N/A,#N/A,FALSE,"Plan2"}</definedName>
    <definedName name="f" localSheetId="3" hidden="1">{#N/A,#N/A,FALSE,"Plan1";#N/A,#N/A,FALSE,"Plan2"}</definedName>
    <definedName name="f" localSheetId="12">#REF!</definedName>
    <definedName name="f" localSheetId="30">#REF!</definedName>
    <definedName name="f" localSheetId="28">#REF!</definedName>
    <definedName name="f" localSheetId="27">#REF!</definedName>
    <definedName name="f" localSheetId="18">#REF!</definedName>
    <definedName name="f" localSheetId="35" hidden="1">{#N/A,#N/A,FALSE,"Plan1";#N/A,#N/A,FALSE,"Plan2"}</definedName>
    <definedName name="f" localSheetId="7">#REF!</definedName>
    <definedName name="f" localSheetId="23">#REF!</definedName>
    <definedName name="f">#REF!</definedName>
    <definedName name="FACULDADE" localSheetId="12">#REF!</definedName>
    <definedName name="FACULDADE" localSheetId="30">#REF!</definedName>
    <definedName name="FACULDADE" localSheetId="28">#REF!</definedName>
    <definedName name="FACULDADE" localSheetId="27">#REF!</definedName>
    <definedName name="FACULDADE" localSheetId="18">#REF!</definedName>
    <definedName name="FACULDADE" localSheetId="7">#REF!</definedName>
    <definedName name="FACULDADE" localSheetId="23">#REF!</definedName>
    <definedName name="FACULDADE">#REF!</definedName>
    <definedName name="FAL" localSheetId="12">#REF!</definedName>
    <definedName name="FAL" localSheetId="30">#REF!</definedName>
    <definedName name="FAL" localSheetId="28">#REF!</definedName>
    <definedName name="FAL" localSheetId="27">#REF!</definedName>
    <definedName name="FAL" localSheetId="18">#REF!</definedName>
    <definedName name="FAL" localSheetId="7">#REF!</definedName>
    <definedName name="FAL" localSheetId="23">#REF!</definedName>
    <definedName name="FAL">#REF!</definedName>
    <definedName name="farialima" localSheetId="12">#REF!</definedName>
    <definedName name="farialima" localSheetId="30">#REF!</definedName>
    <definedName name="farialima" localSheetId="28">#REF!</definedName>
    <definedName name="farialima" localSheetId="27">#REF!</definedName>
    <definedName name="farialima" localSheetId="18">#REF!</definedName>
    <definedName name="farialima" localSheetId="7">#REF!</definedName>
    <definedName name="farialima" localSheetId="23">#REF!</definedName>
    <definedName name="farialima">#REF!</definedName>
    <definedName name="FAS" localSheetId="33" hidden="1">{"'Total'!$A$1","'Total'!$A$3"}</definedName>
    <definedName name="FAS" localSheetId="35" hidden="1">{"'Total'!$A$1","'Total'!$A$3"}</definedName>
    <definedName name="FAS" hidden="1">{"'Total'!$A$1","'Total'!$A$3"}</definedName>
    <definedName name="fasfasf" localSheetId="33" hidden="1">{#N/A,#N/A,TRUE,"Quinzena 01 à 15-04-98 "}</definedName>
    <definedName name="fasfasf" localSheetId="35" hidden="1">{#N/A,#N/A,TRUE,"Quinzena 01 à 15-04-98 "}</definedName>
    <definedName name="fasfasf" hidden="1">{#N/A,#N/A,TRUE,"Quinzena 01 à 15-04-98 "}</definedName>
    <definedName name="FATOR_K" localSheetId="12">#REF!</definedName>
    <definedName name="FATOR_K" localSheetId="30">#REF!</definedName>
    <definedName name="FATOR_K" localSheetId="28">#REF!</definedName>
    <definedName name="FATOR_K" localSheetId="27">#REF!</definedName>
    <definedName name="FATOR_K" localSheetId="18">#REF!</definedName>
    <definedName name="FATOR_K" localSheetId="7">#REF!</definedName>
    <definedName name="FATOR_K" localSheetId="23">#REF!</definedName>
    <definedName name="FATOR_K">#REF!</definedName>
    <definedName name="FATORK" localSheetId="12">#REF!</definedName>
    <definedName name="FATORK" localSheetId="30">#REF!</definedName>
    <definedName name="FATORK" localSheetId="28">#REF!</definedName>
    <definedName name="FATORK" localSheetId="27">#REF!</definedName>
    <definedName name="FATORK" localSheetId="18">#REF!</definedName>
    <definedName name="FATORK" localSheetId="7">#REF!</definedName>
    <definedName name="FATORK" localSheetId="23">#REF!</definedName>
    <definedName name="FATORK">#REF!</definedName>
    <definedName name="FBancaria" localSheetId="12">#REF!</definedName>
    <definedName name="FBancaria" localSheetId="30">#REF!</definedName>
    <definedName name="FBancaria" localSheetId="28">#REF!</definedName>
    <definedName name="FBancaria" localSheetId="27">#REF!</definedName>
    <definedName name="FBancaria" localSheetId="18">#REF!</definedName>
    <definedName name="FBancaria" localSheetId="7">#REF!</definedName>
    <definedName name="FBancaria" localSheetId="23">#REF!</definedName>
    <definedName name="FBancaria">#REF!</definedName>
    <definedName name="fchart31" localSheetId="12" hidden="1">#REF!</definedName>
    <definedName name="fchart31" localSheetId="30" hidden="1">#REF!</definedName>
    <definedName name="fchart31" localSheetId="28" hidden="1">#REF!</definedName>
    <definedName name="fchart31" localSheetId="27" hidden="1">#REF!</definedName>
    <definedName name="fchart31" localSheetId="18" hidden="1">#REF!</definedName>
    <definedName name="fchart31" localSheetId="7" hidden="1">#REF!</definedName>
    <definedName name="fchart31" localSheetId="23" hidden="1">#REF!</definedName>
    <definedName name="fchart31" hidden="1">#REF!</definedName>
    <definedName name="fddhght" localSheetId="3" hidden="1">{#N/A,#N/A,FALSE,"Plan1";#N/A,#N/A,FALSE,"Plan2"}</definedName>
    <definedName name="fddhght" localSheetId="33" hidden="1">{#N/A,#N/A,FALSE,"Plan1";#N/A,#N/A,FALSE,"Plan2"}</definedName>
    <definedName name="fddhght" localSheetId="35" hidden="1">{#N/A,#N/A,FALSE,"Plan1";#N/A,#N/A,FALSE,"Plan2"}</definedName>
    <definedName name="fddhght" hidden="1">{#N/A,#N/A,FALSE,"Plan1";#N/A,#N/A,FALSE,"Plan2"}</definedName>
    <definedName name="fdfgd" localSheetId="3" hidden="1">{#N/A,#N/A,FALSE,"Plan1";#N/A,#N/A,FALSE,"Plan2"}</definedName>
    <definedName name="fdfgd" localSheetId="33" hidden="1">{#N/A,#N/A,FALSE,"Plan1";#N/A,#N/A,FALSE,"Plan2"}</definedName>
    <definedName name="fdfgd" localSheetId="35" hidden="1">{#N/A,#N/A,FALSE,"Plan1";#N/A,#N/A,FALSE,"Plan2"}</definedName>
    <definedName name="fdfgd" hidden="1">{#N/A,#N/A,FALSE,"Plan1";#N/A,#N/A,FALSE,"Plan2"}</definedName>
    <definedName name="fdfng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3" hidden="1">{#N/A,#N/A,FALSE,"Plan1";#N/A,#N/A,FALSE,"Plan2"}</definedName>
    <definedName name="fdgaf" localSheetId="33" hidden="1">{#N/A,#N/A,FALSE,"Plan1";#N/A,#N/A,FALSE,"Plan2"}</definedName>
    <definedName name="fdgaf" localSheetId="35" hidden="1">{#N/A,#N/A,FALSE,"Plan1";#N/A,#N/A,FALSE,"Plan2"}</definedName>
    <definedName name="fdgaf" hidden="1">{#N/A,#N/A,FALSE,"Plan1";#N/A,#N/A,FALSE,"Plan2"}</definedName>
    <definedName name="fdgdf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3" hidden="1">{#N/A,#N/A,FALSE,"Plan1";#N/A,#N/A,FALSE,"Plan2"}</definedName>
    <definedName name="FDGFDJHGZEDR" localSheetId="33" hidden="1">{#N/A,#N/A,FALSE,"Plan1";#N/A,#N/A,FALSE,"Plan2"}</definedName>
    <definedName name="FDGFDJHGZEDR" localSheetId="35" hidden="1">{#N/A,#N/A,FALSE,"Plan1";#N/A,#N/A,FALSE,"Plan2"}</definedName>
    <definedName name="FDGFDJHGZEDR" hidden="1">{#N/A,#N/A,FALSE,"Plan1";#N/A,#N/A,FALSE,"Plan2"}</definedName>
    <definedName name="fdgfyhygfuj" localSheetId="3" hidden="1">{#N/A,#N/A,FALSE,"Plan1";#N/A,#N/A,FALSE,"Plan2"}</definedName>
    <definedName name="fdgfyhygfuj" localSheetId="33" hidden="1">{#N/A,#N/A,FALSE,"Plan1";#N/A,#N/A,FALSE,"Plan2"}</definedName>
    <definedName name="fdgfyhygfuj" localSheetId="35" hidden="1">{#N/A,#N/A,FALSE,"Plan1";#N/A,#N/A,FALSE,"Plan2"}</definedName>
    <definedName name="fdgfyhygfuj" hidden="1">{#N/A,#N/A,FALSE,"Plan1";#N/A,#N/A,FALSE,"Plan2"}</definedName>
    <definedName name="fdhgfdf" localSheetId="3" hidden="1">{#N/A,#N/A,FALSE,"Plan1";#N/A,#N/A,FALSE,"Plan2"}</definedName>
    <definedName name="fdhgfdf" localSheetId="33" hidden="1">{#N/A,#N/A,FALSE,"Plan1";#N/A,#N/A,FALSE,"Plan2"}</definedName>
    <definedName name="fdhgfdf" localSheetId="35" hidden="1">{#N/A,#N/A,FALSE,"Plan1";#N/A,#N/A,FALSE,"Plan2"}</definedName>
    <definedName name="fdhgfdf" hidden="1">{#N/A,#N/A,FALSE,"Plan1";#N/A,#N/A,FALSE,"Plan2"}</definedName>
    <definedName name="fdjfgdfjg" localSheetId="3" hidden="1">{#N/A,#N/A,FALSE,"Plan1";#N/A,#N/A,FALSE,"Plan2"}</definedName>
    <definedName name="fdjfgdfjg" localSheetId="33" hidden="1">{#N/A,#N/A,FALSE,"Plan1";#N/A,#N/A,FALSE,"Plan2"}</definedName>
    <definedName name="fdjfgdfjg" localSheetId="35" hidden="1">{#N/A,#N/A,FALSE,"Plan1";#N/A,#N/A,FALSE,"Plan2"}</definedName>
    <definedName name="fdjfgdfjg" hidden="1">{#N/A,#N/A,FALSE,"Plan1";#N/A,#N/A,FALSE,"Plan2"}</definedName>
    <definedName name="fdjghkshtygt" localSheetId="3" hidden="1">{#N/A,#N/A,FALSE,"Plan1";#N/A,#N/A,FALSE,"Plan2"}</definedName>
    <definedName name="fdjghkshtygt" localSheetId="33" hidden="1">{#N/A,#N/A,FALSE,"Plan1";#N/A,#N/A,FALSE,"Plan2"}</definedName>
    <definedName name="fdjghkshtygt" localSheetId="35" hidden="1">{#N/A,#N/A,FALSE,"Plan1";#N/A,#N/A,FALSE,"Plan2"}</definedName>
    <definedName name="fdjghkshtygt" hidden="1">{#N/A,#N/A,FALSE,"Plan1";#N/A,#N/A,FALSE,"Plan2"}</definedName>
    <definedName name="fdnhgf" localSheetId="33" hidden="1">{"'Estimativa de Lançamento-JAN'!$A$1:$AI$85"}</definedName>
    <definedName name="fdnhgf" localSheetId="35" hidden="1">{"'Estimativa de Lançamento-JAN'!$A$1:$AI$85"}</definedName>
    <definedName name="fdnhgf" hidden="1">{"'Estimativa de Lançamento-JAN'!$A$1:$AI$85"}</definedName>
    <definedName name="fdsf" localSheetId="3" hidden="1">{#N/A,#N/A,FALSE,"Plan1";#N/A,#N/A,FALSE,"Plan2"}</definedName>
    <definedName name="fdsf" localSheetId="33" hidden="1">{#N/A,#N/A,FALSE,"Plan1";#N/A,#N/A,FALSE,"Plan2"}</definedName>
    <definedName name="fdsf" localSheetId="35" hidden="1">{#N/A,#N/A,FALSE,"Plan1";#N/A,#N/A,FALSE,"Plan2"}</definedName>
    <definedName name="fdsf" hidden="1">{#N/A,#N/A,FALSE,"Plan1";#N/A,#N/A,FALSE,"Plan2"}</definedName>
    <definedName name="FE" localSheetId="12">#REF!</definedName>
    <definedName name="FE" localSheetId="30">#REF!</definedName>
    <definedName name="FE" localSheetId="28">#REF!</definedName>
    <definedName name="FE" localSheetId="27">#REF!</definedName>
    <definedName name="FE" localSheetId="18">#REF!</definedName>
    <definedName name="FE" localSheetId="7">#REF!</definedName>
    <definedName name="FE" localSheetId="23">#REF!</definedName>
    <definedName name="FE">#REF!</definedName>
    <definedName name="fefefefe" localSheetId="12">#REF!</definedName>
    <definedName name="fefefefe" localSheetId="30">#REF!</definedName>
    <definedName name="fefefefe" localSheetId="28">#REF!</definedName>
    <definedName name="fefefefe" localSheetId="27">#REF!</definedName>
    <definedName name="fefefefe" localSheetId="18">#REF!</definedName>
    <definedName name="fefefefe" localSheetId="7">#REF!</definedName>
    <definedName name="fefefefe" localSheetId="23">#REF!</definedName>
    <definedName name="fefefefe">#REF!</definedName>
    <definedName name="FER" localSheetId="12" hidden="1">#REF!</definedName>
    <definedName name="FER" localSheetId="30" hidden="1">#REF!</definedName>
    <definedName name="FER" localSheetId="28" hidden="1">#REF!</definedName>
    <definedName name="FER" localSheetId="27" hidden="1">#REF!</definedName>
    <definedName name="FER" localSheetId="18" hidden="1">#REF!</definedName>
    <definedName name="FER" localSheetId="7" hidden="1">#REF!</definedName>
    <definedName name="FER" localSheetId="23" hidden="1">#REF!</definedName>
    <definedName name="FER" hidden="1">#REF!</definedName>
    <definedName name="fev17RJ" localSheetId="12">#REF!</definedName>
    <definedName name="fev17RJ" localSheetId="30">#REF!</definedName>
    <definedName name="fev17RJ" localSheetId="28">#REF!</definedName>
    <definedName name="fev17RJ" localSheetId="27">#REF!</definedName>
    <definedName name="fev17RJ" localSheetId="18">#REF!</definedName>
    <definedName name="fev17RJ" localSheetId="7">#REF!</definedName>
    <definedName name="fev17RJ" localSheetId="23">#REF!</definedName>
    <definedName name="fev17RJ">#REF!</definedName>
    <definedName name="FEVEREIRO2001" localSheetId="12">#REF!</definedName>
    <definedName name="FEVEREIRO2001" localSheetId="30">#REF!</definedName>
    <definedName name="FEVEREIRO2001" localSheetId="28">#REF!</definedName>
    <definedName name="FEVEREIRO2001" localSheetId="27">#REF!</definedName>
    <definedName name="FEVEREIRO2001" localSheetId="18">#REF!</definedName>
    <definedName name="FEVEREIRO2001" localSheetId="7">#REF!</definedName>
    <definedName name="FEVEREIRO2001" localSheetId="23">#REF!</definedName>
    <definedName name="FEVEREIRO2001">#REF!</definedName>
    <definedName name="ff" localSheetId="12">#REF!</definedName>
    <definedName name="ff" localSheetId="30">#REF!</definedName>
    <definedName name="ff" localSheetId="28">#REF!</definedName>
    <definedName name="ff" localSheetId="27">#REF!</definedName>
    <definedName name="ff" localSheetId="21">#REF!</definedName>
    <definedName name="ff" localSheetId="18">#REF!</definedName>
    <definedName name="ff" localSheetId="7">#REF!</definedName>
    <definedName name="ff" localSheetId="23">#REF!</definedName>
    <definedName name="ff">#REF!</definedName>
    <definedName name="fffefes" localSheetId="12">#REF!</definedName>
    <definedName name="fffefes" localSheetId="30">#REF!</definedName>
    <definedName name="fffefes" localSheetId="28">#REF!</definedName>
    <definedName name="fffefes" localSheetId="27">#REF!</definedName>
    <definedName name="fffefes" localSheetId="18">#REF!</definedName>
    <definedName name="fffefes" localSheetId="7">#REF!</definedName>
    <definedName name="fffefes" localSheetId="23">#REF!</definedName>
    <definedName name="fffefes">#REF!</definedName>
    <definedName name="fffff" localSheetId="3" hidden="1">{#N/A,#N/A,FALSE,"Plan1";#N/A,#N/A,FALSE,"Plan2"}</definedName>
    <definedName name="fffff" localSheetId="33" hidden="1">{#N/A,#N/A,FALSE,"Plan1";#N/A,#N/A,FALSE,"Plan2"}</definedName>
    <definedName name="fffff" localSheetId="35" hidden="1">{#N/A,#N/A,FALSE,"Plan1";#N/A,#N/A,FALSE,"Plan2"}</definedName>
    <definedName name="fffff" hidden="1">{#N/A,#N/A,FALSE,"Plan1";#N/A,#N/A,FALSE,"Plan2"}</definedName>
    <definedName name="FFFFFFF" localSheetId="3">#REF!</definedName>
    <definedName name="FFFFFFF" localSheetId="12">#REF!</definedName>
    <definedName name="FFFFFFF" localSheetId="30">#REF!</definedName>
    <definedName name="FFFFFFF" localSheetId="28">#REF!</definedName>
    <definedName name="FFFFFFF" localSheetId="27">#REF!</definedName>
    <definedName name="FFFFFFF" localSheetId="18">#REF!</definedName>
    <definedName name="FFFFFFF" localSheetId="7">#REF!</definedName>
    <definedName name="FFFFFFF" localSheetId="23">#REF!</definedName>
    <definedName name="FFFFFFF">#REF!</definedName>
    <definedName name="FFTY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3" hidden="1">{#N/A,#N/A,FALSE,"Plan1";#N/A,#N/A,FALSE,"Plan2"}</definedName>
    <definedName name="fg" localSheetId="33" hidden="1">{#N/A,#N/A,FALSE,"Plan1";#N/A,#N/A,FALSE,"Plan2"}</definedName>
    <definedName name="fg" localSheetId="35" hidden="1">{#N/A,#N/A,FALSE,"Plan1";#N/A,#N/A,FALSE,"Plan2"}</definedName>
    <definedName name="fg" hidden="1">{#N/A,#N/A,FALSE,"Plan1";#N/A,#N/A,FALSE,"Plan2"}</definedName>
    <definedName name="fgg" localSheetId="33" hidden="1">{"'장비'!$A$3:$M$12"}</definedName>
    <definedName name="fgg" localSheetId="35" hidden="1">{"'장비'!$A$3:$M$12"}</definedName>
    <definedName name="fgg" hidden="1">{"'장비'!$A$3:$M$12"}</definedName>
    <definedName name="fghfh" localSheetId="33" hidden="1">{"'Estimativa de Lançamento-JAN'!$A$1:$AI$85"}</definedName>
    <definedName name="fghfh" localSheetId="35" hidden="1">{"'Estimativa de Lançamento-JAN'!$A$1:$AI$85"}</definedName>
    <definedName name="fghfh" hidden="1">{"'Estimativa de Lançamento-JAN'!$A$1:$AI$85"}</definedName>
    <definedName name="fghgfh" localSheetId="3" hidden="1">{#N/A,#N/A,FALSE,"Plan1";#N/A,#N/A,FALSE,"Plan2"}</definedName>
    <definedName name="fghgfh" localSheetId="33" hidden="1">{#N/A,#N/A,FALSE,"Plan1";#N/A,#N/A,FALSE,"Plan2"}</definedName>
    <definedName name="fghgfh" localSheetId="35" hidden="1">{#N/A,#N/A,FALSE,"Plan1";#N/A,#N/A,FALSE,"Plan2"}</definedName>
    <definedName name="fghgfh" hidden="1">{#N/A,#N/A,FALSE,"Plan1";#N/A,#N/A,FALSE,"Plan2"}</definedName>
    <definedName name="FGJHFGK" localSheetId="3" hidden="1">{#N/A,#N/A,FALSE,"Plan1";#N/A,#N/A,FALSE,"Plan2"}</definedName>
    <definedName name="FGJHFGK" localSheetId="33" hidden="1">{#N/A,#N/A,FALSE,"Plan1";#N/A,#N/A,FALSE,"Plan2"}</definedName>
    <definedName name="FGJHFGK" localSheetId="35" hidden="1">{#N/A,#N/A,FALSE,"Plan1";#N/A,#N/A,FALSE,"Plan2"}</definedName>
    <definedName name="FGJHFGK" hidden="1">{#N/A,#N/A,FALSE,"Plan1";#N/A,#N/A,FALSE,"Plan2"}</definedName>
    <definedName name="fgktyhdf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3" hidden="1">{#N/A,#N/A,FALSE,"Plan1";#N/A,#N/A,FALSE,"Plan2"}</definedName>
    <definedName name="fgtrgty" localSheetId="33" hidden="1">{#N/A,#N/A,FALSE,"Plan1";#N/A,#N/A,FALSE,"Plan2"}</definedName>
    <definedName name="fgtrgty" localSheetId="35" hidden="1">{#N/A,#N/A,FALSE,"Plan1";#N/A,#N/A,FALSE,"Plan2"}</definedName>
    <definedName name="fgtrgty" hidden="1">{#N/A,#N/A,FALSE,"Plan1";#N/A,#N/A,FALSE,"Plan2"}</definedName>
    <definedName name="fgty" localSheetId="3" hidden="1">#REF!</definedName>
    <definedName name="fgty" localSheetId="12" hidden="1">#REF!</definedName>
    <definedName name="fgty" localSheetId="30" hidden="1">#REF!</definedName>
    <definedName name="fgty" localSheetId="28" hidden="1">#REF!</definedName>
    <definedName name="fgty" localSheetId="27" hidden="1">#REF!</definedName>
    <definedName name="fgty" localSheetId="18" hidden="1">#REF!</definedName>
    <definedName name="fgty" localSheetId="7" hidden="1">#REF!</definedName>
    <definedName name="fgty" localSheetId="23" hidden="1">#REF!</definedName>
    <definedName name="fgty" hidden="1">#REF!</definedName>
    <definedName name="fhgjfgyt" localSheetId="3" hidden="1">{#N/A,#N/A,FALSE,"Plan1";#N/A,#N/A,FALSE,"Plan2"}</definedName>
    <definedName name="fhgjfgyt" localSheetId="33" hidden="1">{#N/A,#N/A,FALSE,"Plan1";#N/A,#N/A,FALSE,"Plan2"}</definedName>
    <definedName name="fhgjfgyt" localSheetId="35" hidden="1">{#N/A,#N/A,FALSE,"Plan1";#N/A,#N/A,FALSE,"Plan2"}</definedName>
    <definedName name="fhgjfgyt" hidden="1">{#N/A,#N/A,FALSE,"Plan1";#N/A,#N/A,FALSE,"Plan2"}</definedName>
    <definedName name="fhgjkhtrfg" localSheetId="3" hidden="1">{#N/A,#N/A,FALSE,"Plan1";#N/A,#N/A,FALSE,"Plan2"}</definedName>
    <definedName name="fhgjkhtrfg" localSheetId="33" hidden="1">{#N/A,#N/A,FALSE,"Plan1";#N/A,#N/A,FALSE,"Plan2"}</definedName>
    <definedName name="fhgjkhtrfg" localSheetId="35" hidden="1">{#N/A,#N/A,FALSE,"Plan1";#N/A,#N/A,FALSE,"Plan2"}</definedName>
    <definedName name="fhgjkhtrfg" hidden="1">{#N/A,#N/A,FALSE,"Plan1";#N/A,#N/A,FALSE,"Plan2"}</definedName>
    <definedName name="FHGTGSRSG" localSheetId="3" hidden="1">{#N/A,#N/A,FALSE,"Plan1";#N/A,#N/A,FALSE,"Plan2"}</definedName>
    <definedName name="FHGTGSRSG" localSheetId="33" hidden="1">{#N/A,#N/A,FALSE,"Plan1";#N/A,#N/A,FALSE,"Plan2"}</definedName>
    <definedName name="FHGTGSRSG" localSheetId="35" hidden="1">{#N/A,#N/A,FALSE,"Plan1";#N/A,#N/A,FALSE,"Plan2"}</definedName>
    <definedName name="FHGTGSRSG" hidden="1">{#N/A,#N/A,FALSE,"Plan1";#N/A,#N/A,FALSE,"Plan2"}</definedName>
    <definedName name="FIELD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33" hidden="1">{#N/A,#N/A,TRUE,"Quinzena 01 à 15-04-98 "}</definedName>
    <definedName name="FILTRO" localSheetId="35" hidden="1">{#N/A,#N/A,TRUE,"Quinzena 01 à 15-04-98 "}</definedName>
    <definedName name="FILTRO" hidden="1">{#N/A,#N/A,TRUE,"Quinzena 01 à 15-04-98 "}</definedName>
    <definedName name="Filtro_Rel_Sienge" localSheetId="12">#REF!</definedName>
    <definedName name="Filtro_Rel_Sienge" localSheetId="30">#REF!</definedName>
    <definedName name="Filtro_Rel_Sienge" localSheetId="28">#REF!</definedName>
    <definedName name="Filtro_Rel_Sienge" localSheetId="27">#REF!</definedName>
    <definedName name="Filtro_Rel_Sienge" localSheetId="18">#REF!</definedName>
    <definedName name="Filtro_Rel_Sienge" localSheetId="7">#REF!</definedName>
    <definedName name="Filtro_Rel_Sienge" localSheetId="23">#REF!</definedName>
    <definedName name="Filtro_Rel_Sienge">#REF!</definedName>
    <definedName name="Firs_hist" localSheetId="12">#REF!</definedName>
    <definedName name="Firs_hist" localSheetId="30">#REF!</definedName>
    <definedName name="Firs_hist" localSheetId="28">#REF!</definedName>
    <definedName name="Firs_hist" localSheetId="27">#REF!</definedName>
    <definedName name="Firs_hist" localSheetId="18">#REF!</definedName>
    <definedName name="Firs_hist" localSheetId="7">#REF!</definedName>
    <definedName name="Firs_hist" localSheetId="23">#REF!</definedName>
    <definedName name="Firs_hist">#REF!</definedName>
    <definedName name="First_cdi" localSheetId="12">#REF!</definedName>
    <definedName name="First_cdi" localSheetId="30">#REF!</definedName>
    <definedName name="First_cdi" localSheetId="28">#REF!</definedName>
    <definedName name="First_cdi" localSheetId="27">#REF!</definedName>
    <definedName name="First_cdi" localSheetId="18">#REF!</definedName>
    <definedName name="First_cdi" localSheetId="7">#REF!</definedName>
    <definedName name="First_cdi" localSheetId="23">#REF!</definedName>
    <definedName name="First_cdi">#REF!</definedName>
    <definedName name="First_uss" localSheetId="12">#REF!</definedName>
    <definedName name="First_uss" localSheetId="30">#REF!</definedName>
    <definedName name="First_uss" localSheetId="28">#REF!</definedName>
    <definedName name="First_uss" localSheetId="27">#REF!</definedName>
    <definedName name="First_uss" localSheetId="18">#REF!</definedName>
    <definedName name="First_uss" localSheetId="7">#REF!</definedName>
    <definedName name="First_uss" localSheetId="23">#REF!</definedName>
    <definedName name="First_uss">#REF!</definedName>
    <definedName name="fjdhfgjdhtgu" localSheetId="3" hidden="1">{#N/A,#N/A,FALSE,"Plan1";#N/A,#N/A,FALSE,"Plan2"}</definedName>
    <definedName name="fjdhfgjdhtgu" localSheetId="33" hidden="1">{#N/A,#N/A,FALSE,"Plan1";#N/A,#N/A,FALSE,"Plan2"}</definedName>
    <definedName name="fjdhfgjdhtgu" localSheetId="35" hidden="1">{#N/A,#N/A,FALSE,"Plan1";#N/A,#N/A,FALSE,"Plan2"}</definedName>
    <definedName name="fjdhfgjdhtgu" hidden="1">{#N/A,#N/A,FALSE,"Plan1";#N/A,#N/A,FALSE,"Plan2"}</definedName>
    <definedName name="fjfjg" localSheetId="33" hidden="1">{#N/A,#N/A,FALSE,"명세표"}</definedName>
    <definedName name="fjfjg" localSheetId="35" hidden="1">{#N/A,#N/A,FALSE,"명세표"}</definedName>
    <definedName name="fjfjg" hidden="1">{#N/A,#N/A,FALSE,"명세표"}</definedName>
    <definedName name="FJGH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3" hidden="1">{#N/A,#N/A,FALSE,"Plan1";#N/A,#N/A,FALSE,"Plan2"}</definedName>
    <definedName name="FJHJHG" localSheetId="33" hidden="1">{#N/A,#N/A,FALSE,"Plan1";#N/A,#N/A,FALSE,"Plan2"}</definedName>
    <definedName name="FJHJHG" localSheetId="35" hidden="1">{#N/A,#N/A,FALSE,"Plan1";#N/A,#N/A,FALSE,"Plan2"}</definedName>
    <definedName name="FJHJHG" hidden="1">{#N/A,#N/A,FALSE,"Plan1";#N/A,#N/A,FALSE,"Plan2"}</definedName>
    <definedName name="fjtgfh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3" hidden="1">{#N/A,#N/A,FALSE,"Plan1";#N/A,#N/A,FALSE,"Plan2"}</definedName>
    <definedName name="fkfw" localSheetId="33" hidden="1">{#N/A,#N/A,FALSE,"Plan1";#N/A,#N/A,FALSE,"Plan2"}</definedName>
    <definedName name="fkfw" localSheetId="35" hidden="1">{#N/A,#N/A,FALSE,"Plan1";#N/A,#N/A,FALSE,"Plan2"}</definedName>
    <definedName name="fkfw" hidden="1">{#N/A,#N/A,FALSE,"Plan1";#N/A,#N/A,FALSE,"Plan2"}</definedName>
    <definedName name="fl" localSheetId="12">#REF!</definedName>
    <definedName name="fl" localSheetId="30">#REF!</definedName>
    <definedName name="fl" localSheetId="28">#REF!</definedName>
    <definedName name="fl" localSheetId="27">#REF!</definedName>
    <definedName name="fl" localSheetId="21">#REF!</definedName>
    <definedName name="fl" localSheetId="18">#REF!</definedName>
    <definedName name="fl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7">#REF!</definedName>
    <definedName name="fl" localSheetId="23">#REF!</definedName>
    <definedName name="fl">#REF!</definedName>
    <definedName name="FL_1" localSheetId="12">#REF!</definedName>
    <definedName name="FL_1" localSheetId="30">#REF!</definedName>
    <definedName name="FL_1" localSheetId="28">#REF!</definedName>
    <definedName name="FL_1" localSheetId="27">#REF!</definedName>
    <definedName name="FL_1" localSheetId="21">#REF!</definedName>
    <definedName name="FL_1" localSheetId="18">#REF!</definedName>
    <definedName name="FL_1" localSheetId="7">#REF!</definedName>
    <definedName name="FL_1" localSheetId="23">#REF!</definedName>
    <definedName name="FL_1">#REF!</definedName>
    <definedName name="FL_2" localSheetId="12">#REF!</definedName>
    <definedName name="FL_2" localSheetId="30">#REF!</definedName>
    <definedName name="FL_2" localSheetId="28">#REF!</definedName>
    <definedName name="FL_2" localSheetId="27">#REF!</definedName>
    <definedName name="FL_2" localSheetId="21">#REF!</definedName>
    <definedName name="FL_2" localSheetId="18">#REF!</definedName>
    <definedName name="FL_2" localSheetId="7">#REF!</definedName>
    <definedName name="FL_2" localSheetId="23">#REF!</definedName>
    <definedName name="FL_2">#REF!</definedName>
    <definedName name="FL_3" localSheetId="12">#REF!</definedName>
    <definedName name="FL_3" localSheetId="30">#REF!</definedName>
    <definedName name="FL_3" localSheetId="28">#REF!</definedName>
    <definedName name="FL_3" localSheetId="27">#REF!</definedName>
    <definedName name="FL_3" localSheetId="21">#REF!</definedName>
    <definedName name="FL_3" localSheetId="18">#REF!</definedName>
    <definedName name="FL_3" localSheetId="7">#REF!</definedName>
    <definedName name="FL_3" localSheetId="23">#REF!</definedName>
    <definedName name="FL_3">#REF!</definedName>
    <definedName name="Fluxo_captação" localSheetId="12">#REF!</definedName>
    <definedName name="Fluxo_captação" localSheetId="30">#REF!</definedName>
    <definedName name="Fluxo_captação" localSheetId="28">#REF!</definedName>
    <definedName name="Fluxo_captação" localSheetId="27">#REF!</definedName>
    <definedName name="Fluxo_captação" localSheetId="18">#REF!</definedName>
    <definedName name="Fluxo_captação" localSheetId="7">#REF!</definedName>
    <definedName name="Fluxo_captação" localSheetId="23">#REF!</definedName>
    <definedName name="Fluxo_captação">#REF!</definedName>
    <definedName name="FOLHA2" localSheetId="12">#REF!</definedName>
    <definedName name="FOLHA2" localSheetId="30">#REF!</definedName>
    <definedName name="FOLHA2" localSheetId="28">#REF!</definedName>
    <definedName name="FOLHA2" localSheetId="27">#REF!</definedName>
    <definedName name="FOLHA2" localSheetId="18">#REF!</definedName>
    <definedName name="FOLHA2" localSheetId="7">#REF!</definedName>
    <definedName name="FOLHA2" localSheetId="23">#REF!</definedName>
    <definedName name="FOLHA2">#REF!</definedName>
    <definedName name="Format" localSheetId="12">#REF!</definedName>
    <definedName name="Format" localSheetId="30">#REF!</definedName>
    <definedName name="Format" localSheetId="28">#REF!</definedName>
    <definedName name="Format" localSheetId="27">#REF!</definedName>
    <definedName name="Format" localSheetId="18">#REF!</definedName>
    <definedName name="Format" localSheetId="7">#REF!</definedName>
    <definedName name="Format" localSheetId="23">#REF!</definedName>
    <definedName name="Format">#REF!</definedName>
    <definedName name="Formato_da_Loja" localSheetId="12">#REF!</definedName>
    <definedName name="Formato_da_Loja" localSheetId="30">#REF!</definedName>
    <definedName name="Formato_da_Loja" localSheetId="28">#REF!</definedName>
    <definedName name="Formato_da_Loja" localSheetId="27">#REF!</definedName>
    <definedName name="Formato_da_Loja" localSheetId="18">#REF!</definedName>
    <definedName name="Formato_da_Loja" localSheetId="7">#REF!</definedName>
    <definedName name="Formato_da_Loja" localSheetId="23">#REF!</definedName>
    <definedName name="Formato_da_Loja">#REF!</definedName>
    <definedName name="FORMULA" localSheetId="12">#REF!</definedName>
    <definedName name="FORMULA" localSheetId="30">#REF!</definedName>
    <definedName name="FORMULA" localSheetId="28">#REF!</definedName>
    <definedName name="FORMULA" localSheetId="27">#REF!</definedName>
    <definedName name="FORMULA" localSheetId="18">#REF!</definedName>
    <definedName name="FORMULA" localSheetId="7">#REF!</definedName>
    <definedName name="FORMULA" localSheetId="23">#REF!</definedName>
    <definedName name="FORMULA">#REF!</definedName>
    <definedName name="FORNECEDOR" localSheetId="12">OFFSET(#REF!,6,0,COUNTA(#REF!))</definedName>
    <definedName name="FORNECEDOR" localSheetId="30">OFFSET(#REF!,6,0,COUNTA(#REF!))</definedName>
    <definedName name="FORNECEDOR" localSheetId="28">OFFSET(#REF!,6,0,COUNTA(#REF!))</definedName>
    <definedName name="FORNECEDOR" localSheetId="27">OFFSET(#REF!,6,0,COUNTA(#REF!))</definedName>
    <definedName name="FORNECEDOR" localSheetId="18">OFFSET(#REF!,6,0,COUNTA(#REF!))</definedName>
    <definedName name="FORNECEDOR" localSheetId="7">OFFSET(#REF!,6,0,COUNTA(#REF!))</definedName>
    <definedName name="FORNECEDOR" localSheetId="23">OFFSET(#REF!,6,0,COUNTA(#REF!))</definedName>
    <definedName name="FORNECEDOR">OFFSET(#REF!,6,0,COUNTA(#REF!))</definedName>
    <definedName name="FORNECEDOR_2" localSheetId="12">OFFSET(#REF!,6,0,COUNTA(#REF!))</definedName>
    <definedName name="FORNECEDOR_2" localSheetId="30">OFFSET(#REF!,6,0,COUNTA(#REF!))</definedName>
    <definedName name="FORNECEDOR_2" localSheetId="28">OFFSET(#REF!,6,0,COUNTA(#REF!))</definedName>
    <definedName name="FORNECEDOR_2" localSheetId="27">OFFSET(#REF!,6,0,COUNTA(#REF!))</definedName>
    <definedName name="FORNECEDOR_2" localSheetId="18">OFFSET(#REF!,6,0,COUNTA(#REF!))</definedName>
    <definedName name="FORNECEDOR_2" localSheetId="7">OFFSET(#REF!,6,0,COUNTA(#REF!))</definedName>
    <definedName name="FORNECEDOR_2" localSheetId="23">OFFSET(#REF!,6,0,COUNTA(#REF!))</definedName>
    <definedName name="FORNECEDOR_2">OFFSET(#REF!,6,0,COUNTA(#REF!))</definedName>
    <definedName name="FORNECEDOR_3" localSheetId="12">OFFSET(#REF!,6,0,COUNTA(#REF!))</definedName>
    <definedName name="FORNECEDOR_3" localSheetId="30">OFFSET(#REF!,6,0,COUNTA(#REF!))</definedName>
    <definedName name="FORNECEDOR_3" localSheetId="28">OFFSET(#REF!,6,0,COUNTA(#REF!))</definedName>
    <definedName name="FORNECEDOR_3" localSheetId="27">OFFSET(#REF!,6,0,COUNTA(#REF!))</definedName>
    <definedName name="FORNECEDOR_3" localSheetId="18">OFFSET(#REF!,6,0,COUNTA(#REF!))</definedName>
    <definedName name="FORNECEDOR_3" localSheetId="7">OFFSET(#REF!,6,0,COUNTA(#REF!))</definedName>
    <definedName name="FORNECEDOR_3" localSheetId="23">OFFSET(#REF!,6,0,COUNTA(#REF!))</definedName>
    <definedName name="FORNECEDOR_3">OFFSET(#REF!,6,0,COUNTA(#REF!))</definedName>
    <definedName name="FORNECEDOR_4" localSheetId="12">OFFSET(#REF!,6,0,COUNTA(#REF!))</definedName>
    <definedName name="FORNECEDOR_4" localSheetId="30">OFFSET(#REF!,6,0,COUNTA(#REF!))</definedName>
    <definedName name="FORNECEDOR_4" localSheetId="28">OFFSET(#REF!,6,0,COUNTA(#REF!))</definedName>
    <definedName name="FORNECEDOR_4" localSheetId="27">OFFSET(#REF!,6,0,COUNTA(#REF!))</definedName>
    <definedName name="FORNECEDOR_4" localSheetId="18">OFFSET(#REF!,6,0,COUNTA(#REF!))</definedName>
    <definedName name="FORNECEDOR_4" localSheetId="7">OFFSET(#REF!,6,0,COUNTA(#REF!))</definedName>
    <definedName name="FORNECEDOR_4" localSheetId="23">OFFSET(#REF!,6,0,COUNTA(#REF!))</definedName>
    <definedName name="FORNECEDOR_4">OFFSET(#REF!,6,0,COUNTA(#REF!))</definedName>
    <definedName name="FORNECEDOR_5" localSheetId="12">OFFSET(#REF!,6,0,COUNTA(#REF!))</definedName>
    <definedName name="FORNECEDOR_5" localSheetId="30">OFFSET(#REF!,6,0,COUNTA(#REF!))</definedName>
    <definedName name="FORNECEDOR_5" localSheetId="28">OFFSET(#REF!,6,0,COUNTA(#REF!))</definedName>
    <definedName name="FORNECEDOR_5" localSheetId="27">OFFSET(#REF!,6,0,COUNTA(#REF!))</definedName>
    <definedName name="FORNECEDOR_5" localSheetId="18">OFFSET(#REF!,6,0,COUNTA(#REF!))</definedName>
    <definedName name="FORNECEDOR_5" localSheetId="7">OFFSET(#REF!,6,0,COUNTA(#REF!))</definedName>
    <definedName name="FORNECEDOR_5" localSheetId="23">OFFSET(#REF!,6,0,COUNTA(#REF!))</definedName>
    <definedName name="FORNECEDOR_5">OFFSET(#REF!,6,0,COUNTA(#REF!))</definedName>
    <definedName name="FORNECEDOR_7" localSheetId="12">OFFSET(#REF!,6,0,COUNTA(#REF!))</definedName>
    <definedName name="FORNECEDOR_7" localSheetId="30">OFFSET(#REF!,6,0,COUNTA(#REF!))</definedName>
    <definedName name="FORNECEDOR_7" localSheetId="28">OFFSET(#REF!,6,0,COUNTA(#REF!))</definedName>
    <definedName name="FORNECEDOR_7" localSheetId="27">OFFSET(#REF!,6,0,COUNTA(#REF!))</definedName>
    <definedName name="FORNECEDOR_7" localSheetId="18">OFFSET(#REF!,6,0,COUNTA(#REF!))</definedName>
    <definedName name="FORNECEDOR_7" localSheetId="7">OFFSET(#REF!,6,0,COUNTA(#REF!))</definedName>
    <definedName name="FORNECEDOR_7" localSheetId="23">OFFSET(#REF!,6,0,COUNTA(#REF!))</definedName>
    <definedName name="FORNECEDOR_7">OFFSET(#REF!,6,0,COUNTA(#REF!))</definedName>
    <definedName name="FORNECEDOR_8" localSheetId="12">OFFSET(#REF!,6,0,COUNTA(#REF!))</definedName>
    <definedName name="FORNECEDOR_8" localSheetId="30">OFFSET(#REF!,6,0,COUNTA(#REF!))</definedName>
    <definedName name="FORNECEDOR_8" localSheetId="28">OFFSET(#REF!,6,0,COUNTA(#REF!))</definedName>
    <definedName name="FORNECEDOR_8" localSheetId="27">OFFSET(#REF!,6,0,COUNTA(#REF!))</definedName>
    <definedName name="FORNECEDOR_8" localSheetId="18">OFFSET(#REF!,6,0,COUNTA(#REF!))</definedName>
    <definedName name="FORNECEDOR_8" localSheetId="7">OFFSET(#REF!,6,0,COUNTA(#REF!))</definedName>
    <definedName name="FORNECEDOR_8" localSheetId="23">OFFSET(#REF!,6,0,COUNTA(#REF!))</definedName>
    <definedName name="FORNECEDOR_8">OFFSET(#REF!,6,0,COUNTA(#REF!))</definedName>
    <definedName name="frçt4r" localSheetId="3" hidden="1">{#N/A,#N/A,FALSE,"Plan1";#N/A,#N/A,FALSE,"Plan2"}</definedName>
    <definedName name="frçt4r" localSheetId="33" hidden="1">{#N/A,#N/A,FALSE,"Plan1";#N/A,#N/A,FALSE,"Plan2"}</definedName>
    <definedName name="frçt4r" localSheetId="35" hidden="1">{#N/A,#N/A,FALSE,"Plan1";#N/A,#N/A,FALSE,"Plan2"}</definedName>
    <definedName name="frçt4r" hidden="1">{#N/A,#N/A,FALSE,"Plan1";#N/A,#N/A,FALSE,"Plan2"}</definedName>
    <definedName name="frdtty" localSheetId="3" hidden="1">{#N/A,#N/A,FALSE,"Plan1";#N/A,#N/A,FALSE,"Plan2"}</definedName>
    <definedName name="frdtty" localSheetId="33" hidden="1">{#N/A,#N/A,FALSE,"Plan1";#N/A,#N/A,FALSE,"Plan2"}</definedName>
    <definedName name="frdtty" localSheetId="35" hidden="1">{#N/A,#N/A,FALSE,"Plan1";#N/A,#N/A,FALSE,"Plan2"}</definedName>
    <definedName name="frdtty" hidden="1">{#N/A,#N/A,FALSE,"Plan1";#N/A,#N/A,FALSE,"Plan2"}</definedName>
    <definedName name="fsdfsf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3" hidden="1">{#N/A,#N/A,FALSE,"Plan1";#N/A,#N/A,FALSE,"Plan2"}</definedName>
    <definedName name="fuihgjk" localSheetId="33" hidden="1">{#N/A,#N/A,FALSE,"Plan1";#N/A,#N/A,FALSE,"Plan2"}</definedName>
    <definedName name="fuihgjk" localSheetId="35" hidden="1">{#N/A,#N/A,FALSE,"Plan1";#N/A,#N/A,FALSE,"Plan2"}</definedName>
    <definedName name="fuihgjk" hidden="1">{#N/A,#N/A,FALSE,"Plan1";#N/A,#N/A,FALSE,"Plan2"}</definedName>
    <definedName name="fuste" localSheetId="12">#REF!</definedName>
    <definedName name="fuste" localSheetId="30">#REF!</definedName>
    <definedName name="fuste" localSheetId="28">#REF!</definedName>
    <definedName name="fuste" localSheetId="27">#REF!</definedName>
    <definedName name="fuste" localSheetId="18">#REF!</definedName>
    <definedName name="fuste" localSheetId="7">#REF!</definedName>
    <definedName name="fuste" localSheetId="23">#REF!</definedName>
    <definedName name="fuste">#REF!</definedName>
    <definedName name="fxjghkfg" localSheetId="3" hidden="1">{#N/A,#N/A,FALSE,"Plan1";#N/A,#N/A,FALSE,"Plan2"}</definedName>
    <definedName name="fxjghkfg" localSheetId="33" hidden="1">{#N/A,#N/A,FALSE,"Plan1";#N/A,#N/A,FALSE,"Plan2"}</definedName>
    <definedName name="fxjghkfg" localSheetId="35" hidden="1">{#N/A,#N/A,FALSE,"Plan1";#N/A,#N/A,FALSE,"Plan2"}</definedName>
    <definedName name="fxjghkfg" hidden="1">{#N/A,#N/A,FALSE,"Plan1";#N/A,#N/A,FALSE,"Plan2"}</definedName>
    <definedName name="g_10" localSheetId="12">#REF!</definedName>
    <definedName name="g_10" localSheetId="30">#REF!</definedName>
    <definedName name="g_10" localSheetId="28">#REF!</definedName>
    <definedName name="g_10" localSheetId="27">#REF!</definedName>
    <definedName name="g_10" localSheetId="18">#REF!</definedName>
    <definedName name="g_10" localSheetId="7">#REF!</definedName>
    <definedName name="g_10" localSheetId="23">#REF!</definedName>
    <definedName name="g_10">#REF!</definedName>
    <definedName name="g_11" localSheetId="12">#REF!</definedName>
    <definedName name="g_11" localSheetId="30">#REF!</definedName>
    <definedName name="g_11" localSheetId="28">#REF!</definedName>
    <definedName name="g_11" localSheetId="27">#REF!</definedName>
    <definedName name="g_11" localSheetId="18">#REF!</definedName>
    <definedName name="g_11" localSheetId="7">#REF!</definedName>
    <definedName name="g_11" localSheetId="23">#REF!</definedName>
    <definedName name="g_11">#REF!</definedName>
    <definedName name="g_12" localSheetId="12">#REF!</definedName>
    <definedName name="g_12" localSheetId="30">#REF!</definedName>
    <definedName name="g_12" localSheetId="28">#REF!</definedName>
    <definedName name="g_12" localSheetId="27">#REF!</definedName>
    <definedName name="g_12" localSheetId="18">#REF!</definedName>
    <definedName name="g_12" localSheetId="7">#REF!</definedName>
    <definedName name="g_12" localSheetId="23">#REF!</definedName>
    <definedName name="g_12">#REF!</definedName>
    <definedName name="g_13" localSheetId="12">#REF!</definedName>
    <definedName name="g_13" localSheetId="30">#REF!</definedName>
    <definedName name="g_13" localSheetId="28">#REF!</definedName>
    <definedName name="g_13" localSheetId="27">#REF!</definedName>
    <definedName name="g_13" localSheetId="18">#REF!</definedName>
    <definedName name="g_13" localSheetId="7">#REF!</definedName>
    <definedName name="g_13" localSheetId="23">#REF!</definedName>
    <definedName name="g_13">#REF!</definedName>
    <definedName name="g_15" localSheetId="12">#REF!</definedName>
    <definedName name="g_15" localSheetId="30">#REF!</definedName>
    <definedName name="g_15" localSheetId="28">#REF!</definedName>
    <definedName name="g_15" localSheetId="27">#REF!</definedName>
    <definedName name="g_15" localSheetId="18">#REF!</definedName>
    <definedName name="g_15" localSheetId="7">#REF!</definedName>
    <definedName name="g_15" localSheetId="23">#REF!</definedName>
    <definedName name="g_15">#REF!</definedName>
    <definedName name="g_16" localSheetId="12">#REF!</definedName>
    <definedName name="g_16" localSheetId="30">#REF!</definedName>
    <definedName name="g_16" localSheetId="28">#REF!</definedName>
    <definedName name="g_16" localSheetId="27">#REF!</definedName>
    <definedName name="g_16" localSheetId="18">#REF!</definedName>
    <definedName name="g_16" localSheetId="7">#REF!</definedName>
    <definedName name="g_16" localSheetId="23">#REF!</definedName>
    <definedName name="g_16">#REF!</definedName>
    <definedName name="g_17" localSheetId="12">#REF!</definedName>
    <definedName name="g_17" localSheetId="30">#REF!</definedName>
    <definedName name="g_17" localSheetId="28">#REF!</definedName>
    <definedName name="g_17" localSheetId="27">#REF!</definedName>
    <definedName name="g_17" localSheetId="18">#REF!</definedName>
    <definedName name="g_17" localSheetId="7">#REF!</definedName>
    <definedName name="g_17" localSheetId="23">#REF!</definedName>
    <definedName name="g_17">#REF!</definedName>
    <definedName name="g_19" localSheetId="12">#REF!</definedName>
    <definedName name="g_19" localSheetId="30">#REF!</definedName>
    <definedName name="g_19" localSheetId="28">#REF!</definedName>
    <definedName name="g_19" localSheetId="27">#REF!</definedName>
    <definedName name="g_19" localSheetId="18">#REF!</definedName>
    <definedName name="g_19" localSheetId="7">#REF!</definedName>
    <definedName name="g_19" localSheetId="23">#REF!</definedName>
    <definedName name="g_19">#REF!</definedName>
    <definedName name="g_21" localSheetId="12">#REF!</definedName>
    <definedName name="g_21" localSheetId="30">#REF!</definedName>
    <definedName name="g_21" localSheetId="28">#REF!</definedName>
    <definedName name="g_21" localSheetId="27">#REF!</definedName>
    <definedName name="g_21" localSheetId="18">#REF!</definedName>
    <definedName name="g_21" localSheetId="7">#REF!</definedName>
    <definedName name="g_21" localSheetId="23">#REF!</definedName>
    <definedName name="g_21">#REF!</definedName>
    <definedName name="g_25" localSheetId="12">#REF!</definedName>
    <definedName name="g_25" localSheetId="30">#REF!</definedName>
    <definedName name="g_25" localSheetId="28">#REF!</definedName>
    <definedName name="g_25" localSheetId="27">#REF!</definedName>
    <definedName name="g_25" localSheetId="18">#REF!</definedName>
    <definedName name="g_25" localSheetId="7">#REF!</definedName>
    <definedName name="g_25" localSheetId="23">#REF!</definedName>
    <definedName name="g_25">#REF!</definedName>
    <definedName name="g_27" localSheetId="12">#REF!</definedName>
    <definedName name="g_27" localSheetId="30">#REF!</definedName>
    <definedName name="g_27" localSheetId="28">#REF!</definedName>
    <definedName name="g_27" localSheetId="27">#REF!</definedName>
    <definedName name="g_27" localSheetId="18">#REF!</definedName>
    <definedName name="g_27" localSheetId="7">#REF!</definedName>
    <definedName name="g_27" localSheetId="23">#REF!</definedName>
    <definedName name="g_27">#REF!</definedName>
    <definedName name="g_31" localSheetId="12">#REF!</definedName>
    <definedName name="g_31" localSheetId="30">#REF!</definedName>
    <definedName name="g_31" localSheetId="28">#REF!</definedName>
    <definedName name="g_31" localSheetId="27">#REF!</definedName>
    <definedName name="g_31" localSheetId="18">#REF!</definedName>
    <definedName name="g_31" localSheetId="7">#REF!</definedName>
    <definedName name="g_31" localSheetId="23">#REF!</definedName>
    <definedName name="g_31">#REF!</definedName>
    <definedName name="g_32" localSheetId="12">#REF!</definedName>
    <definedName name="g_32" localSheetId="30">#REF!</definedName>
    <definedName name="g_32" localSheetId="28">#REF!</definedName>
    <definedName name="g_32" localSheetId="27">#REF!</definedName>
    <definedName name="g_32" localSheetId="18">#REF!</definedName>
    <definedName name="g_32" localSheetId="7">#REF!</definedName>
    <definedName name="g_32" localSheetId="23">#REF!</definedName>
    <definedName name="g_32">#REF!</definedName>
    <definedName name="g_33" localSheetId="12">#REF!</definedName>
    <definedName name="g_33" localSheetId="30">#REF!</definedName>
    <definedName name="g_33" localSheetId="28">#REF!</definedName>
    <definedName name="g_33" localSheetId="27">#REF!</definedName>
    <definedName name="g_33" localSheetId="18">#REF!</definedName>
    <definedName name="g_33" localSheetId="7">#REF!</definedName>
    <definedName name="g_33" localSheetId="23">#REF!</definedName>
    <definedName name="g_33">#REF!</definedName>
    <definedName name="g_34" localSheetId="12">#REF!</definedName>
    <definedName name="g_34" localSheetId="30">#REF!</definedName>
    <definedName name="g_34" localSheetId="28">#REF!</definedName>
    <definedName name="g_34" localSheetId="27">#REF!</definedName>
    <definedName name="g_34" localSheetId="18">#REF!</definedName>
    <definedName name="g_34" localSheetId="7">#REF!</definedName>
    <definedName name="g_34" localSheetId="23">#REF!</definedName>
    <definedName name="g_34">#REF!</definedName>
    <definedName name="G_35" localSheetId="12">#REF!</definedName>
    <definedName name="G_35" localSheetId="30">#REF!</definedName>
    <definedName name="G_35" localSheetId="28">#REF!</definedName>
    <definedName name="G_35" localSheetId="27">#REF!</definedName>
    <definedName name="G_35" localSheetId="18">#REF!</definedName>
    <definedName name="G_35" localSheetId="7">#REF!</definedName>
    <definedName name="G_35" localSheetId="23">#REF!</definedName>
    <definedName name="G_35">#REF!</definedName>
    <definedName name="g_37" localSheetId="12">#REF!</definedName>
    <definedName name="g_37" localSheetId="30">#REF!</definedName>
    <definedName name="g_37" localSheetId="28">#REF!</definedName>
    <definedName name="g_37" localSheetId="27">#REF!</definedName>
    <definedName name="g_37" localSheetId="18">#REF!</definedName>
    <definedName name="g_37" localSheetId="7">#REF!</definedName>
    <definedName name="g_37" localSheetId="23">#REF!</definedName>
    <definedName name="g_37">#REF!</definedName>
    <definedName name="g_41" localSheetId="12">#REF!</definedName>
    <definedName name="g_41" localSheetId="30">#REF!</definedName>
    <definedName name="g_41" localSheetId="28">#REF!</definedName>
    <definedName name="g_41" localSheetId="27">#REF!</definedName>
    <definedName name="g_41" localSheetId="18">#REF!</definedName>
    <definedName name="g_41" localSheetId="7">#REF!</definedName>
    <definedName name="g_41" localSheetId="23">#REF!</definedName>
    <definedName name="g_41">#REF!</definedName>
    <definedName name="g_42" localSheetId="12">#REF!</definedName>
    <definedName name="g_42" localSheetId="30">#REF!</definedName>
    <definedName name="g_42" localSheetId="28">#REF!</definedName>
    <definedName name="g_42" localSheetId="27">#REF!</definedName>
    <definedName name="g_42" localSheetId="18">#REF!</definedName>
    <definedName name="g_42" localSheetId="7">#REF!</definedName>
    <definedName name="g_42" localSheetId="23">#REF!</definedName>
    <definedName name="g_42">#REF!</definedName>
    <definedName name="g_45" localSheetId="12">#REF!</definedName>
    <definedName name="g_45" localSheetId="30">#REF!</definedName>
    <definedName name="g_45" localSheetId="28">#REF!</definedName>
    <definedName name="g_45" localSheetId="27">#REF!</definedName>
    <definedName name="g_45" localSheetId="18">#REF!</definedName>
    <definedName name="g_45" localSheetId="7">#REF!</definedName>
    <definedName name="g_45" localSheetId="23">#REF!</definedName>
    <definedName name="g_45">#REF!</definedName>
    <definedName name="g_47" localSheetId="12">#REF!</definedName>
    <definedName name="g_47" localSheetId="30">#REF!</definedName>
    <definedName name="g_47" localSheetId="28">#REF!</definedName>
    <definedName name="g_47" localSheetId="27">#REF!</definedName>
    <definedName name="g_47" localSheetId="18">#REF!</definedName>
    <definedName name="g_47" localSheetId="7">#REF!</definedName>
    <definedName name="g_47" localSheetId="23">#REF!</definedName>
    <definedName name="g_47">#REF!</definedName>
    <definedName name="g_51" localSheetId="12">#REF!</definedName>
    <definedName name="g_51" localSheetId="30">#REF!</definedName>
    <definedName name="g_51" localSheetId="28">#REF!</definedName>
    <definedName name="g_51" localSheetId="27">#REF!</definedName>
    <definedName name="g_51" localSheetId="18">#REF!</definedName>
    <definedName name="g_51" localSheetId="7">#REF!</definedName>
    <definedName name="g_51" localSheetId="23">#REF!</definedName>
    <definedName name="g_51">#REF!</definedName>
    <definedName name="g_52" localSheetId="12">#REF!</definedName>
    <definedName name="g_52" localSheetId="30">#REF!</definedName>
    <definedName name="g_52" localSheetId="28">#REF!</definedName>
    <definedName name="g_52" localSheetId="27">#REF!</definedName>
    <definedName name="g_52" localSheetId="18">#REF!</definedName>
    <definedName name="g_52" localSheetId="7">#REF!</definedName>
    <definedName name="g_52" localSheetId="23">#REF!</definedName>
    <definedName name="g_52">#REF!</definedName>
    <definedName name="g_53" localSheetId="12">#REF!</definedName>
    <definedName name="g_53" localSheetId="30">#REF!</definedName>
    <definedName name="g_53" localSheetId="28">#REF!</definedName>
    <definedName name="g_53" localSheetId="27">#REF!</definedName>
    <definedName name="g_53" localSheetId="18">#REF!</definedName>
    <definedName name="g_53" localSheetId="7">#REF!</definedName>
    <definedName name="g_53" localSheetId="23">#REF!</definedName>
    <definedName name="g_53">#REF!</definedName>
    <definedName name="G_54" localSheetId="12">#REF!</definedName>
    <definedName name="G_54" localSheetId="30">#REF!</definedName>
    <definedName name="G_54" localSheetId="28">#REF!</definedName>
    <definedName name="G_54" localSheetId="27">#REF!</definedName>
    <definedName name="G_54" localSheetId="18">#REF!</definedName>
    <definedName name="G_54" localSheetId="7">#REF!</definedName>
    <definedName name="G_54" localSheetId="23">#REF!</definedName>
    <definedName name="G_54">#REF!</definedName>
    <definedName name="G_55" localSheetId="12">#REF!</definedName>
    <definedName name="G_55" localSheetId="30">#REF!</definedName>
    <definedName name="G_55" localSheetId="28">#REF!</definedName>
    <definedName name="G_55" localSheetId="27">#REF!</definedName>
    <definedName name="G_55" localSheetId="18">#REF!</definedName>
    <definedName name="G_55" localSheetId="7">#REF!</definedName>
    <definedName name="G_55" localSheetId="23">#REF!</definedName>
    <definedName name="G_55">#REF!</definedName>
    <definedName name="G_56" localSheetId="12">#REF!</definedName>
    <definedName name="G_56" localSheetId="30">#REF!</definedName>
    <definedName name="G_56" localSheetId="28">#REF!</definedName>
    <definedName name="G_56" localSheetId="27">#REF!</definedName>
    <definedName name="G_56" localSheetId="18">#REF!</definedName>
    <definedName name="G_56" localSheetId="7">#REF!</definedName>
    <definedName name="G_56" localSheetId="23">#REF!</definedName>
    <definedName name="G_56">#REF!</definedName>
    <definedName name="G_57" localSheetId="12">#REF!</definedName>
    <definedName name="G_57" localSheetId="30">#REF!</definedName>
    <definedName name="G_57" localSheetId="28">#REF!</definedName>
    <definedName name="G_57" localSheetId="27">#REF!</definedName>
    <definedName name="G_57" localSheetId="18">#REF!</definedName>
    <definedName name="G_57" localSheetId="7">#REF!</definedName>
    <definedName name="G_57" localSheetId="23">#REF!</definedName>
    <definedName name="G_57">#REF!</definedName>
    <definedName name="G_58" localSheetId="12">#REF!</definedName>
    <definedName name="G_58" localSheetId="30">#REF!</definedName>
    <definedName name="G_58" localSheetId="28">#REF!</definedName>
    <definedName name="G_58" localSheetId="27">#REF!</definedName>
    <definedName name="G_58" localSheetId="18">#REF!</definedName>
    <definedName name="G_58" localSheetId="7">#REF!</definedName>
    <definedName name="G_58" localSheetId="23">#REF!</definedName>
    <definedName name="G_58">#REF!</definedName>
    <definedName name="G_59" localSheetId="12">#REF!</definedName>
    <definedName name="G_59" localSheetId="30">#REF!</definedName>
    <definedName name="G_59" localSheetId="28">#REF!</definedName>
    <definedName name="G_59" localSheetId="27">#REF!</definedName>
    <definedName name="G_59" localSheetId="18">#REF!</definedName>
    <definedName name="G_59" localSheetId="7">#REF!</definedName>
    <definedName name="G_59" localSheetId="23">#REF!</definedName>
    <definedName name="G_59">#REF!</definedName>
    <definedName name="G_61" localSheetId="12">#REF!</definedName>
    <definedName name="G_61" localSheetId="30">#REF!</definedName>
    <definedName name="G_61" localSheetId="28">#REF!</definedName>
    <definedName name="G_61" localSheetId="27">#REF!</definedName>
    <definedName name="G_61" localSheetId="18">#REF!</definedName>
    <definedName name="G_61" localSheetId="7">#REF!</definedName>
    <definedName name="G_61" localSheetId="23">#REF!</definedName>
    <definedName name="G_61">#REF!</definedName>
    <definedName name="G_63" localSheetId="12">#REF!</definedName>
    <definedName name="G_63" localSheetId="30">#REF!</definedName>
    <definedName name="G_63" localSheetId="28">#REF!</definedName>
    <definedName name="G_63" localSheetId="27">#REF!</definedName>
    <definedName name="G_63" localSheetId="18">#REF!</definedName>
    <definedName name="G_63" localSheetId="7">#REF!</definedName>
    <definedName name="G_63" localSheetId="23">#REF!</definedName>
    <definedName name="G_63">#REF!</definedName>
    <definedName name="G_65" localSheetId="12">#REF!</definedName>
    <definedName name="G_65" localSheetId="30">#REF!</definedName>
    <definedName name="G_65" localSheetId="28">#REF!</definedName>
    <definedName name="G_65" localSheetId="27">#REF!</definedName>
    <definedName name="G_65" localSheetId="18">#REF!</definedName>
    <definedName name="G_65" localSheetId="7">#REF!</definedName>
    <definedName name="G_65" localSheetId="23">#REF!</definedName>
    <definedName name="G_65">#REF!</definedName>
    <definedName name="G_67" localSheetId="12">#REF!</definedName>
    <definedName name="G_67" localSheetId="30">#REF!</definedName>
    <definedName name="G_67" localSheetId="28">#REF!</definedName>
    <definedName name="G_67" localSheetId="27">#REF!</definedName>
    <definedName name="G_67" localSheetId="18">#REF!</definedName>
    <definedName name="G_67" localSheetId="7">#REF!</definedName>
    <definedName name="G_67" localSheetId="23">#REF!</definedName>
    <definedName name="G_67">#REF!</definedName>
    <definedName name="g_68" localSheetId="12">#REF!</definedName>
    <definedName name="g_68" localSheetId="30">#REF!</definedName>
    <definedName name="g_68" localSheetId="28">#REF!</definedName>
    <definedName name="g_68" localSheetId="27">#REF!</definedName>
    <definedName name="g_68" localSheetId="18">#REF!</definedName>
    <definedName name="g_68" localSheetId="7">#REF!</definedName>
    <definedName name="g_68" localSheetId="23">#REF!</definedName>
    <definedName name="g_68">#REF!</definedName>
    <definedName name="g_69" localSheetId="12">#REF!</definedName>
    <definedName name="g_69" localSheetId="30">#REF!</definedName>
    <definedName name="g_69" localSheetId="28">#REF!</definedName>
    <definedName name="g_69" localSheetId="27">#REF!</definedName>
    <definedName name="g_69" localSheetId="18">#REF!</definedName>
    <definedName name="g_69" localSheetId="7">#REF!</definedName>
    <definedName name="g_69" localSheetId="23">#REF!</definedName>
    <definedName name="g_69">#REF!</definedName>
    <definedName name="G_71" localSheetId="12">#REF!</definedName>
    <definedName name="G_71" localSheetId="30">#REF!</definedName>
    <definedName name="G_71" localSheetId="28">#REF!</definedName>
    <definedName name="G_71" localSheetId="27">#REF!</definedName>
    <definedName name="G_71" localSheetId="18">#REF!</definedName>
    <definedName name="G_71" localSheetId="7">#REF!</definedName>
    <definedName name="G_71" localSheetId="23">#REF!</definedName>
    <definedName name="G_71">#REF!</definedName>
    <definedName name="G_73" localSheetId="12">#REF!</definedName>
    <definedName name="G_73" localSheetId="30">#REF!</definedName>
    <definedName name="G_73" localSheetId="28">#REF!</definedName>
    <definedName name="G_73" localSheetId="27">#REF!</definedName>
    <definedName name="G_73" localSheetId="18">#REF!</definedName>
    <definedName name="G_73" localSheetId="7">#REF!</definedName>
    <definedName name="G_73" localSheetId="23">#REF!</definedName>
    <definedName name="G_73">#REF!</definedName>
    <definedName name="G_75" localSheetId="12">#REF!</definedName>
    <definedName name="G_75" localSheetId="30">#REF!</definedName>
    <definedName name="G_75" localSheetId="28">#REF!</definedName>
    <definedName name="G_75" localSheetId="27">#REF!</definedName>
    <definedName name="G_75" localSheetId="18">#REF!</definedName>
    <definedName name="G_75" localSheetId="7">#REF!</definedName>
    <definedName name="G_75" localSheetId="23">#REF!</definedName>
    <definedName name="G_75">#REF!</definedName>
    <definedName name="G_77" localSheetId="12">#REF!</definedName>
    <definedName name="G_77" localSheetId="30">#REF!</definedName>
    <definedName name="G_77" localSheetId="28">#REF!</definedName>
    <definedName name="G_77" localSheetId="27">#REF!</definedName>
    <definedName name="G_77" localSheetId="18">#REF!</definedName>
    <definedName name="G_77" localSheetId="7">#REF!</definedName>
    <definedName name="G_77" localSheetId="23">#REF!</definedName>
    <definedName name="G_77">#REF!</definedName>
    <definedName name="G_78" localSheetId="12">#REF!</definedName>
    <definedName name="G_78" localSheetId="30">#REF!</definedName>
    <definedName name="G_78" localSheetId="28">#REF!</definedName>
    <definedName name="G_78" localSheetId="27">#REF!</definedName>
    <definedName name="G_78" localSheetId="18">#REF!</definedName>
    <definedName name="G_78" localSheetId="7">#REF!</definedName>
    <definedName name="G_78" localSheetId="23">#REF!</definedName>
    <definedName name="G_78">#REF!</definedName>
    <definedName name="G_81" localSheetId="12">#REF!</definedName>
    <definedName name="G_81" localSheetId="30">#REF!</definedName>
    <definedName name="G_81" localSheetId="28">#REF!</definedName>
    <definedName name="G_81" localSheetId="27">#REF!</definedName>
    <definedName name="G_81" localSheetId="18">#REF!</definedName>
    <definedName name="G_81" localSheetId="7">#REF!</definedName>
    <definedName name="G_81" localSheetId="23">#REF!</definedName>
    <definedName name="G_81">#REF!</definedName>
    <definedName name="G_83" localSheetId="12">#REF!</definedName>
    <definedName name="G_83" localSheetId="30">#REF!</definedName>
    <definedName name="G_83" localSheetId="28">#REF!</definedName>
    <definedName name="G_83" localSheetId="27">#REF!</definedName>
    <definedName name="G_83" localSheetId="18">#REF!</definedName>
    <definedName name="G_83" localSheetId="7">#REF!</definedName>
    <definedName name="G_83" localSheetId="23">#REF!</definedName>
    <definedName name="G_83">#REF!</definedName>
    <definedName name="G_85" localSheetId="12">#REF!</definedName>
    <definedName name="G_85" localSheetId="30">#REF!</definedName>
    <definedName name="G_85" localSheetId="28">#REF!</definedName>
    <definedName name="G_85" localSheetId="27">#REF!</definedName>
    <definedName name="G_85" localSheetId="18">#REF!</definedName>
    <definedName name="G_85" localSheetId="7">#REF!</definedName>
    <definedName name="G_85" localSheetId="23">#REF!</definedName>
    <definedName name="G_85">#REF!</definedName>
    <definedName name="G_87" localSheetId="12">#REF!</definedName>
    <definedName name="G_87" localSheetId="30">#REF!</definedName>
    <definedName name="G_87" localSheetId="28">#REF!</definedName>
    <definedName name="G_87" localSheetId="27">#REF!</definedName>
    <definedName name="G_87" localSheetId="18">#REF!</definedName>
    <definedName name="G_87" localSheetId="7">#REF!</definedName>
    <definedName name="G_87" localSheetId="23">#REF!</definedName>
    <definedName name="G_87">#REF!</definedName>
    <definedName name="G_90" localSheetId="12">#REF!</definedName>
    <definedName name="G_90" localSheetId="30">#REF!</definedName>
    <definedName name="G_90" localSheetId="28">#REF!</definedName>
    <definedName name="G_90" localSheetId="27">#REF!</definedName>
    <definedName name="G_90" localSheetId="18">#REF!</definedName>
    <definedName name="G_90" localSheetId="7">#REF!</definedName>
    <definedName name="G_90" localSheetId="23">#REF!</definedName>
    <definedName name="G_90">#REF!</definedName>
    <definedName name="G_91" localSheetId="12">#REF!</definedName>
    <definedName name="G_91" localSheetId="30">#REF!</definedName>
    <definedName name="G_91" localSheetId="28">#REF!</definedName>
    <definedName name="G_91" localSheetId="27">#REF!</definedName>
    <definedName name="G_91" localSheetId="18">#REF!</definedName>
    <definedName name="G_91" localSheetId="7">#REF!</definedName>
    <definedName name="G_91" localSheetId="23">#REF!</definedName>
    <definedName name="G_91">#REF!</definedName>
    <definedName name="G_92" localSheetId="12">#REF!</definedName>
    <definedName name="G_92" localSheetId="30">#REF!</definedName>
    <definedName name="G_92" localSheetId="28">#REF!</definedName>
    <definedName name="G_92" localSheetId="27">#REF!</definedName>
    <definedName name="G_92" localSheetId="18">#REF!</definedName>
    <definedName name="G_92" localSheetId="7">#REF!</definedName>
    <definedName name="G_92" localSheetId="23">#REF!</definedName>
    <definedName name="G_92">#REF!</definedName>
    <definedName name="G_94" localSheetId="12">#REF!</definedName>
    <definedName name="G_94" localSheetId="30">#REF!</definedName>
    <definedName name="G_94" localSheetId="28">#REF!</definedName>
    <definedName name="G_94" localSheetId="27">#REF!</definedName>
    <definedName name="G_94" localSheetId="18">#REF!</definedName>
    <definedName name="G_94" localSheetId="7">#REF!</definedName>
    <definedName name="G_94" localSheetId="23">#REF!</definedName>
    <definedName name="G_94">#REF!</definedName>
    <definedName name="G_95" localSheetId="12">#REF!</definedName>
    <definedName name="G_95" localSheetId="30">#REF!</definedName>
    <definedName name="G_95" localSheetId="28">#REF!</definedName>
    <definedName name="G_95" localSheetId="27">#REF!</definedName>
    <definedName name="G_95" localSheetId="18">#REF!</definedName>
    <definedName name="G_95" localSheetId="7">#REF!</definedName>
    <definedName name="G_95" localSheetId="23">#REF!</definedName>
    <definedName name="G_95">#REF!</definedName>
    <definedName name="G_96" localSheetId="12">#REF!</definedName>
    <definedName name="G_96" localSheetId="30">#REF!</definedName>
    <definedName name="G_96" localSheetId="28">#REF!</definedName>
    <definedName name="G_96" localSheetId="27">#REF!</definedName>
    <definedName name="G_96" localSheetId="18">#REF!</definedName>
    <definedName name="G_96" localSheetId="7">#REF!</definedName>
    <definedName name="G_96" localSheetId="23">#REF!</definedName>
    <definedName name="G_96">#REF!</definedName>
    <definedName name="galo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 localSheetId="12">#REF!</definedName>
    <definedName name="GARAGEM" localSheetId="30">#REF!</definedName>
    <definedName name="GARAGEM" localSheetId="28">#REF!</definedName>
    <definedName name="GARAGEM" localSheetId="27">#REF!</definedName>
    <definedName name="GARAGEM" localSheetId="18">#REF!</definedName>
    <definedName name="GARAGEM" localSheetId="7">#REF!</definedName>
    <definedName name="GARAGEM" localSheetId="23">#REF!</definedName>
    <definedName name="GARAGEM">#REF!</definedName>
    <definedName name="garcia" localSheetId="12">#REF!</definedName>
    <definedName name="garcia" localSheetId="30">#REF!</definedName>
    <definedName name="garcia" localSheetId="28">#REF!</definedName>
    <definedName name="garcia" localSheetId="27">#REF!</definedName>
    <definedName name="garcia" localSheetId="18">#REF!</definedName>
    <definedName name="garcia" localSheetId="7">#REF!</definedName>
    <definedName name="garcia" localSheetId="23">#REF!</definedName>
    <definedName name="garcia">#REF!</definedName>
    <definedName name="GASTOS_JULHO" localSheetId="12">#REF!</definedName>
    <definedName name="GASTOS_JULHO" localSheetId="30">#REF!</definedName>
    <definedName name="GASTOS_JULHO" localSheetId="28">#REF!</definedName>
    <definedName name="GASTOS_JULHO" localSheetId="27">#REF!</definedName>
    <definedName name="GASTOS_JULHO" localSheetId="18">#REF!</definedName>
    <definedName name="GASTOS_JULHO" localSheetId="7">#REF!</definedName>
    <definedName name="GASTOS_JULHO" localSheetId="23">#REF!</definedName>
    <definedName name="GASTOS_JULHO">#REF!</definedName>
    <definedName name="gbdjkvhgd" localSheetId="3" hidden="1">{#N/A,#N/A,FALSE,"Plan1";#N/A,#N/A,FALSE,"Plan2"}</definedName>
    <definedName name="gbdjkvhgd" localSheetId="33" hidden="1">{#N/A,#N/A,FALSE,"Plan1";#N/A,#N/A,FALSE,"Plan2"}</definedName>
    <definedName name="gbdjkvhgd" localSheetId="35" hidden="1">{#N/A,#N/A,FALSE,"Plan1";#N/A,#N/A,FALSE,"Plan2"}</definedName>
    <definedName name="gbdjkvhgd" hidden="1">{#N/A,#N/A,FALSE,"Plan1";#N/A,#N/A,FALSE,"Plan2"}</definedName>
    <definedName name="gbdsjgsjfdgj" localSheetId="3" hidden="1">{#N/A,#N/A,FALSE,"Plan1";#N/A,#N/A,FALSE,"Plan2"}</definedName>
    <definedName name="gbdsjgsjfdgj" localSheetId="33" hidden="1">{#N/A,#N/A,FALSE,"Plan1";#N/A,#N/A,FALSE,"Plan2"}</definedName>
    <definedName name="gbdsjgsjfdgj" localSheetId="35" hidden="1">{#N/A,#N/A,FALSE,"Plan1";#N/A,#N/A,FALSE,"Plan2"}</definedName>
    <definedName name="gbdsjgsjfdgj" hidden="1">{#N/A,#N/A,FALSE,"Plan1";#N/A,#N/A,FALSE,"Plan2"}</definedName>
    <definedName name="gdfdhgfjgj" localSheetId="3" hidden="1">{#N/A,#N/A,FALSE,"Plan1";#N/A,#N/A,FALSE,"Plan2"}</definedName>
    <definedName name="gdfdhgfjgj" localSheetId="33" hidden="1">{#N/A,#N/A,FALSE,"Plan1";#N/A,#N/A,FALSE,"Plan2"}</definedName>
    <definedName name="gdfdhgfjgj" localSheetId="35" hidden="1">{#N/A,#N/A,FALSE,"Plan1";#N/A,#N/A,FALSE,"Plan2"}</definedName>
    <definedName name="gdfdhgfjgj" hidden="1">{#N/A,#N/A,FALSE,"Plan1";#N/A,#N/A,FALSE,"Plan2"}</definedName>
    <definedName name="gdfgdstggt" localSheetId="3" hidden="1">{#N/A,#N/A,FALSE,"Plan1";#N/A,#N/A,FALSE,"Plan2"}</definedName>
    <definedName name="gdfgdstggt" localSheetId="33" hidden="1">{#N/A,#N/A,FALSE,"Plan1";#N/A,#N/A,FALSE,"Plan2"}</definedName>
    <definedName name="gdfgdstggt" localSheetId="35" hidden="1">{#N/A,#N/A,FALSE,"Plan1";#N/A,#N/A,FALSE,"Plan2"}</definedName>
    <definedName name="gdfgdstggt" hidden="1">{#N/A,#N/A,FALSE,"Plan1";#N/A,#N/A,FALSE,"Plan2"}</definedName>
    <definedName name="GDFHGRJGFJDRF" localSheetId="3" hidden="1">{"Econ Consolidado",#N/A,FALSE,"Econ Consol";"Fluxo de Caixa",#N/A,FALSE,"Fluxo Caixa";"Investimentos",#N/A,FALSE,"Investimentos"}</definedName>
    <definedName name="GDFHGRJGFJDRF" localSheetId="33" hidden="1">{"Econ Consolidado",#N/A,FALSE,"Econ Consol";"Fluxo de Caixa",#N/A,FALSE,"Fluxo Caixa";"Investimentos",#N/A,FALSE,"Investimentos"}</definedName>
    <definedName name="GDFHGRJGFJDRF" localSheetId="35" hidden="1">{"Econ Consolidado",#N/A,FALSE,"Econ Consol";"Fluxo de Caixa",#N/A,FALSE,"Fluxo Caixa";"Investimentos",#N/A,FALSE,"Investimentos"}</definedName>
    <definedName name="GDFHGRJGFJDRF" hidden="1">{"Econ Consolidado",#N/A,FALSE,"Econ Consol";"Fluxo de Caixa",#N/A,FALSE,"Fluxo Caixa";"Investimentos",#N/A,FALSE,"Investimentos"}</definedName>
    <definedName name="gdfigfhuyuy" localSheetId="3" hidden="1">{#N/A,#N/A,FALSE,"Plan1";#N/A,#N/A,FALSE,"Plan2"}</definedName>
    <definedName name="gdfigfhuyuy" localSheetId="33" hidden="1">{#N/A,#N/A,FALSE,"Plan1";#N/A,#N/A,FALSE,"Plan2"}</definedName>
    <definedName name="gdfigfhuyuy" localSheetId="35" hidden="1">{#N/A,#N/A,FALSE,"Plan1";#N/A,#N/A,FALSE,"Plan2"}</definedName>
    <definedName name="gdfigfhuyuy" hidden="1">{#N/A,#N/A,FALSE,"Plan1";#N/A,#N/A,FALSE,"Plan2"}</definedName>
    <definedName name="gdfsgfew" localSheetId="3" hidden="1">{#N/A,#N/A,FALSE,"Plan1";#N/A,#N/A,FALSE,"Plan2"}</definedName>
    <definedName name="gdfsgfew" localSheetId="33" hidden="1">{#N/A,#N/A,FALSE,"Plan1";#N/A,#N/A,FALSE,"Plan2"}</definedName>
    <definedName name="gdfsgfew" localSheetId="35" hidden="1">{#N/A,#N/A,FALSE,"Plan1";#N/A,#N/A,FALSE,"Plan2"}</definedName>
    <definedName name="gdfsgfew" hidden="1">{#N/A,#N/A,FALSE,"Plan1";#N/A,#N/A,FALSE,"Plan2"}</definedName>
    <definedName name="gdhfgdhfgf" localSheetId="3" hidden="1">{#N/A,#N/A,FALSE,"Plan1";#N/A,#N/A,FALSE,"Plan2"}</definedName>
    <definedName name="gdhfgdhfgf" localSheetId="33" hidden="1">{#N/A,#N/A,FALSE,"Plan1";#N/A,#N/A,FALSE,"Plan2"}</definedName>
    <definedName name="gdhfgdhfgf" localSheetId="35" hidden="1">{#N/A,#N/A,FALSE,"Plan1";#N/A,#N/A,FALSE,"Plan2"}</definedName>
    <definedName name="gdhfgdhfgf" hidden="1">{#N/A,#N/A,FALSE,"Plan1";#N/A,#N/A,FALSE,"Plan2"}</definedName>
    <definedName name="gdsfhefrwrw" localSheetId="3" hidden="1">{#N/A,#N/A,FALSE,"Plan1";#N/A,#N/A,FALSE,"Plan2"}</definedName>
    <definedName name="gdsfhefrwrw" localSheetId="33" hidden="1">{#N/A,#N/A,FALSE,"Plan1";#N/A,#N/A,FALSE,"Plan2"}</definedName>
    <definedName name="gdsfhefrwrw" localSheetId="35" hidden="1">{#N/A,#N/A,FALSE,"Plan1";#N/A,#N/A,FALSE,"Plan2"}</definedName>
    <definedName name="gdsfhefrwrw" hidden="1">{#N/A,#N/A,FALSE,"Plan1";#N/A,#N/A,FALSE,"Plan2"}</definedName>
    <definedName name="GER_TECNICO" localSheetId="12">#REF!</definedName>
    <definedName name="GER_TECNICO" localSheetId="30">#REF!</definedName>
    <definedName name="GER_TECNICO" localSheetId="28">#REF!</definedName>
    <definedName name="GER_TECNICO" localSheetId="27">#REF!</definedName>
    <definedName name="GER_TECNICO" localSheetId="18">#REF!</definedName>
    <definedName name="GER_TECNICO" localSheetId="7">#REF!</definedName>
    <definedName name="GER_TECNICO" localSheetId="23">#REF!</definedName>
    <definedName name="GER_TECNICO">#REF!</definedName>
    <definedName name="Gerentes" localSheetId="12">#REF!</definedName>
    <definedName name="Gerentes" localSheetId="30">#REF!</definedName>
    <definedName name="Gerentes" localSheetId="28">#REF!</definedName>
    <definedName name="Gerentes" localSheetId="27">#REF!</definedName>
    <definedName name="Gerentes" localSheetId="18">#REF!</definedName>
    <definedName name="Gerentes" localSheetId="7">#REF!</definedName>
    <definedName name="Gerentes" localSheetId="23">#REF!</definedName>
    <definedName name="Gerentes">#REF!</definedName>
    <definedName name="geshrjhed" localSheetId="3" hidden="1">{#N/A,#N/A,FALSE,"Plan1";#N/A,#N/A,FALSE,"Plan2"}</definedName>
    <definedName name="geshrjhed" localSheetId="33" hidden="1">{#N/A,#N/A,FALSE,"Plan1";#N/A,#N/A,FALSE,"Plan2"}</definedName>
    <definedName name="geshrjhed" localSheetId="35" hidden="1">{#N/A,#N/A,FALSE,"Plan1";#N/A,#N/A,FALSE,"Plan2"}</definedName>
    <definedName name="geshrjhed" hidden="1">{#N/A,#N/A,FALSE,"Plan1";#N/A,#N/A,FALSE,"Plan2"}</definedName>
    <definedName name="gestao" hidden="1">OFFSET(INDEX(#REF!,MATCH(#REF!,#REF!,0)),1,0,COUNTA(#REF!)-1)</definedName>
    <definedName name="gfdcgnkf" localSheetId="3" hidden="1">{#N/A,#N/A,FALSE,"Plan1";#N/A,#N/A,FALSE,"Plan2"}</definedName>
    <definedName name="gfdcgnkf" localSheetId="33" hidden="1">{#N/A,#N/A,FALSE,"Plan1";#N/A,#N/A,FALSE,"Plan2"}</definedName>
    <definedName name="gfdcgnkf" localSheetId="35" hidden="1">{#N/A,#N/A,FALSE,"Plan1";#N/A,#N/A,FALSE,"Plan2"}</definedName>
    <definedName name="gfdcgnkf" hidden="1">{#N/A,#N/A,FALSE,"Plan1";#N/A,#N/A,FALSE,"Plan2"}</definedName>
    <definedName name="gfdjtgur" localSheetId="3" hidden="1">{#N/A,#N/A,FALSE,"Plan1";#N/A,#N/A,FALSE,"Plan2"}</definedName>
    <definedName name="gfdjtgur" localSheetId="33" hidden="1">{#N/A,#N/A,FALSE,"Plan1";#N/A,#N/A,FALSE,"Plan2"}</definedName>
    <definedName name="gfdjtgur" localSheetId="35" hidden="1">{#N/A,#N/A,FALSE,"Plan1";#N/A,#N/A,FALSE,"Plan2"}</definedName>
    <definedName name="gfdjtgur" hidden="1">{#N/A,#N/A,FALSE,"Plan1";#N/A,#N/A,FALSE,"Plan2"}</definedName>
    <definedName name="gfdrtg" localSheetId="3" hidden="1">#REF!</definedName>
    <definedName name="gfdrtg" localSheetId="12" hidden="1">#REF!</definedName>
    <definedName name="gfdrtg" localSheetId="30" hidden="1">#REF!</definedName>
    <definedName name="gfdrtg" localSheetId="28" hidden="1">#REF!</definedName>
    <definedName name="gfdrtg" localSheetId="27" hidden="1">#REF!</definedName>
    <definedName name="gfdrtg" localSheetId="18" hidden="1">#REF!</definedName>
    <definedName name="gfdrtg" localSheetId="7" hidden="1">#REF!</definedName>
    <definedName name="gfdrtg" localSheetId="23" hidden="1">#REF!</definedName>
    <definedName name="gfdrtg" hidden="1">#REF!</definedName>
    <definedName name="gfgdhxgfdhf" localSheetId="3" hidden="1">{#N/A,#N/A,FALSE,"Plan1";#N/A,#N/A,FALSE,"Plan2"}</definedName>
    <definedName name="gfgdhxgfdhf" localSheetId="33" hidden="1">{#N/A,#N/A,FALSE,"Plan1";#N/A,#N/A,FALSE,"Plan2"}</definedName>
    <definedName name="gfgdhxgfdhf" localSheetId="35" hidden="1">{#N/A,#N/A,FALSE,"Plan1";#N/A,#N/A,FALSE,"Plan2"}</definedName>
    <definedName name="gfgdhxgfdhf" hidden="1">{#N/A,#N/A,FALSE,"Plan1";#N/A,#N/A,FALSE,"Plan2"}</definedName>
    <definedName name="gfhfdtgjb" localSheetId="3" hidden="1">{#N/A,#N/A,FALSE,"Plan1";#N/A,#N/A,FALSE,"Plan2"}</definedName>
    <definedName name="gfhfdtgjb" localSheetId="33" hidden="1">{#N/A,#N/A,FALSE,"Plan1";#N/A,#N/A,FALSE,"Plan2"}</definedName>
    <definedName name="gfhfdtgjb" localSheetId="35" hidden="1">{#N/A,#N/A,FALSE,"Plan1";#N/A,#N/A,FALSE,"Plan2"}</definedName>
    <definedName name="gfhfdtgjb" hidden="1">{#N/A,#N/A,FALSE,"Plan1";#N/A,#N/A,FALSE,"Plan2"}</definedName>
    <definedName name="gfjdshrtjhtged" localSheetId="3" hidden="1">{#N/A,#N/A,FALSE,"Plan1";#N/A,#N/A,FALSE,"Plan2"}</definedName>
    <definedName name="gfjdshrtjhtged" localSheetId="33" hidden="1">{#N/A,#N/A,FALSE,"Plan1";#N/A,#N/A,FALSE,"Plan2"}</definedName>
    <definedName name="gfjdshrtjhtged" localSheetId="35" hidden="1">{#N/A,#N/A,FALSE,"Plan1";#N/A,#N/A,FALSE,"Plan2"}</definedName>
    <definedName name="gfjdshrtjhtged" hidden="1">{#N/A,#N/A,FALSE,"Plan1";#N/A,#N/A,FALSE,"Plan2"}</definedName>
    <definedName name="gfjgkddgfd" localSheetId="3" hidden="1">{#N/A,#N/A,FALSE,"Plan1";#N/A,#N/A,FALSE,"Plan2"}</definedName>
    <definedName name="gfjgkddgfd" localSheetId="33" hidden="1">{#N/A,#N/A,FALSE,"Plan1";#N/A,#N/A,FALSE,"Plan2"}</definedName>
    <definedName name="gfjgkddgfd" localSheetId="35" hidden="1">{#N/A,#N/A,FALSE,"Plan1";#N/A,#N/A,FALSE,"Plan2"}</definedName>
    <definedName name="gfjgkddgfd" hidden="1">{#N/A,#N/A,FALSE,"Plan1";#N/A,#N/A,FALSE,"Plan2"}</definedName>
    <definedName name="gfsghjdgygr" localSheetId="3" hidden="1">{#N/A,#N/A,FALSE,"Plan1";#N/A,#N/A,FALSE,"Plan2"}</definedName>
    <definedName name="gfsghjdgygr" localSheetId="33" hidden="1">{#N/A,#N/A,FALSE,"Plan1";#N/A,#N/A,FALSE,"Plan2"}</definedName>
    <definedName name="gfsghjdgygr" localSheetId="35" hidden="1">{#N/A,#N/A,FALSE,"Plan1";#N/A,#N/A,FALSE,"Plan2"}</definedName>
    <definedName name="gfsghjdgygr" hidden="1">{#N/A,#N/A,FALSE,"Plan1";#N/A,#N/A,FALSE,"Plan2"}</definedName>
    <definedName name="gftfy" localSheetId="3" hidden="1">{#N/A,#N/A,FALSE,"Plan1";#N/A,#N/A,FALSE,"Plan2"}</definedName>
    <definedName name="gftfy" localSheetId="33" hidden="1">{#N/A,#N/A,FALSE,"Plan1";#N/A,#N/A,FALSE,"Plan2"}</definedName>
    <definedName name="gftfy" localSheetId="35" hidden="1">{#N/A,#N/A,FALSE,"Plan1";#N/A,#N/A,FALSE,"Plan2"}</definedName>
    <definedName name="gftfy" hidden="1">{#N/A,#N/A,FALSE,"Plan1";#N/A,#N/A,FALSE,"Plan2"}</definedName>
    <definedName name="gfty" localSheetId="3" hidden="1">{#N/A,#N/A,FALSE,"Plan1";#N/A,#N/A,FALSE,"Plan2"}</definedName>
    <definedName name="gfty" localSheetId="33" hidden="1">{#N/A,#N/A,FALSE,"Plan1";#N/A,#N/A,FALSE,"Plan2"}</definedName>
    <definedName name="gfty" localSheetId="35" hidden="1">{#N/A,#N/A,FALSE,"Plan1";#N/A,#N/A,FALSE,"Plan2"}</definedName>
    <definedName name="gfty" hidden="1">{#N/A,#N/A,FALSE,"Plan1";#N/A,#N/A,FALSE,"Plan2"}</definedName>
    <definedName name="GFUJU9" localSheetId="3" hidden="1">{#N/A,#N/A,FALSE,"Plan1";#N/A,#N/A,FALSE,"Plan2"}</definedName>
    <definedName name="GFUJU9" localSheetId="33" hidden="1">{#N/A,#N/A,FALSE,"Plan1";#N/A,#N/A,FALSE,"Plan2"}</definedName>
    <definedName name="GFUJU9" localSheetId="35" hidden="1">{#N/A,#N/A,FALSE,"Plan1";#N/A,#N/A,FALSE,"Plan2"}</definedName>
    <definedName name="GFUJU9" hidden="1">{#N/A,#N/A,FALSE,"Plan1";#N/A,#N/A,FALSE,"Plan2"}</definedName>
    <definedName name="ggg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3" hidden="1">{#N/A,#N/A,FALSE,"Plan1";#N/A,#N/A,FALSE,"Plan2"}</definedName>
    <definedName name="GGGG" localSheetId="33" hidden="1">{#N/A,#N/A,FALSE,"Plan1";#N/A,#N/A,FALSE,"Plan2"}</definedName>
    <definedName name="GGGG" localSheetId="35" hidden="1">{#N/A,#N/A,FALSE,"Plan1";#N/A,#N/A,FALSE,"Plan2"}</definedName>
    <definedName name="GGGG" hidden="1">{#N/A,#N/A,FALSE,"Plan1";#N/A,#N/A,FALSE,"Plan2"}</definedName>
    <definedName name="ggggggggg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33" hidden="1">{"'장비'!$A$3:$M$12"}</definedName>
    <definedName name="gh" localSheetId="35" hidden="1">{"'장비'!$A$3:$M$12"}</definedName>
    <definedName name="gh" hidden="1">{"'장비'!$A$3:$M$12"}</definedName>
    <definedName name="ghfgdfrtert" localSheetId="3" hidden="1">{#N/A,#N/A,FALSE,"Plan1";#N/A,#N/A,FALSE,"Plan2"}</definedName>
    <definedName name="ghfgdfrtert" localSheetId="33" hidden="1">{#N/A,#N/A,FALSE,"Plan1";#N/A,#N/A,FALSE,"Plan2"}</definedName>
    <definedName name="ghfgdfrtert" localSheetId="35" hidden="1">{#N/A,#N/A,FALSE,"Plan1";#N/A,#N/A,FALSE,"Plan2"}</definedName>
    <definedName name="ghfgdfrtert" hidden="1">{#N/A,#N/A,FALSE,"Plan1";#N/A,#N/A,FALSE,"Plan2"}</definedName>
    <definedName name="ghfhghft" localSheetId="3" hidden="1">{#N/A,#N/A,FALSE,"Plan1";#N/A,#N/A,FALSE,"Plan2"}</definedName>
    <definedName name="ghfhghft" localSheetId="33" hidden="1">{#N/A,#N/A,FALSE,"Plan1";#N/A,#N/A,FALSE,"Plan2"}</definedName>
    <definedName name="ghfhghft" localSheetId="35" hidden="1">{#N/A,#N/A,FALSE,"Plan1";#N/A,#N/A,FALSE,"Plan2"}</definedName>
    <definedName name="ghfhghft" hidden="1">{#N/A,#N/A,FALSE,"Plan1";#N/A,#N/A,FALSE,"Plan2"}</definedName>
    <definedName name="ghjg" localSheetId="33" hidden="1">{"'Estimativa de Lançamento-JAN'!$A$1:$AI$85"}</definedName>
    <definedName name="ghjg" localSheetId="35" hidden="1">{"'Estimativa de Lançamento-JAN'!$A$1:$AI$85"}</definedName>
    <definedName name="ghjg" hidden="1">{"'Estimativa de Lançamento-JAN'!$A$1:$AI$85"}</definedName>
    <definedName name="ghkfhgh" localSheetId="3" hidden="1">{#N/A,#N/A,FALSE,"Plan1";#N/A,#N/A,FALSE,"Plan2"}</definedName>
    <definedName name="ghkfhgh" localSheetId="33" hidden="1">{#N/A,#N/A,FALSE,"Plan1";#N/A,#N/A,FALSE,"Plan2"}</definedName>
    <definedName name="ghkfhgh" localSheetId="35" hidden="1">{#N/A,#N/A,FALSE,"Plan1";#N/A,#N/A,FALSE,"Plan2"}</definedName>
    <definedName name="ghkfhgh" hidden="1">{#N/A,#N/A,FALSE,"Plan1";#N/A,#N/A,FALSE,"Plan2"}</definedName>
    <definedName name="ghkjh" localSheetId="33" hidden="1">{#N/A,#N/A,FALSE,"ENG'G(보호계전기)"}</definedName>
    <definedName name="ghkjh" localSheetId="35" hidden="1">{#N/A,#N/A,FALSE,"ENG'G(보호계전기)"}</definedName>
    <definedName name="ghkjh" hidden="1">{#N/A,#N/A,FALSE,"ENG'G(보호계전기)"}</definedName>
    <definedName name="GJ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3" hidden="1">{#N/A,#N/A,FALSE,"Plan1";#N/A,#N/A,FALSE,"Plan2"}</definedName>
    <definedName name="gjfhjktgcf" localSheetId="33" hidden="1">{#N/A,#N/A,FALSE,"Plan1";#N/A,#N/A,FALSE,"Plan2"}</definedName>
    <definedName name="gjfhjktgcf" localSheetId="35" hidden="1">{#N/A,#N/A,FALSE,"Plan1";#N/A,#N/A,FALSE,"Plan2"}</definedName>
    <definedName name="gjfhjktgcf" hidden="1">{#N/A,#N/A,FALSE,"Plan1";#N/A,#N/A,FALSE,"Plan2"}</definedName>
    <definedName name="GJ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3" hidden="1">{#N/A,#N/A,FALSE,"Plan1";#N/A,#N/A,FALSE,"Plan2"}</definedName>
    <definedName name="gjkhgjhjfggfjhfg" localSheetId="33" hidden="1">{#N/A,#N/A,FALSE,"Plan1";#N/A,#N/A,FALSE,"Plan2"}</definedName>
    <definedName name="gjkhgjhjfggfjhfg" localSheetId="35" hidden="1">{#N/A,#N/A,FALSE,"Plan1";#N/A,#N/A,FALSE,"Plan2"}</definedName>
    <definedName name="gjkhgjhjfggfjhfg" hidden="1">{#N/A,#N/A,FALSE,"Plan1";#N/A,#N/A,FALSE,"Plan2"}</definedName>
    <definedName name="glgl" localSheetId="3" hidden="1">{#N/A,#N/A,FALSE,"Plan1";#N/A,#N/A,FALSE,"Plan2"}</definedName>
    <definedName name="glgl" localSheetId="33" hidden="1">{#N/A,#N/A,FALSE,"Plan1";#N/A,#N/A,FALSE,"Plan2"}</definedName>
    <definedName name="glgl" localSheetId="35" hidden="1">{#N/A,#N/A,FALSE,"Plan1";#N/A,#N/A,FALSE,"Plan2"}</definedName>
    <definedName name="glgl" hidden="1">{#N/A,#N/A,FALSE,"Plan1";#N/A,#N/A,FALSE,"Plan2"}</definedName>
    <definedName name="GLOBAL" localSheetId="12">#REF!</definedName>
    <definedName name="GLOBAL" localSheetId="30">#REF!</definedName>
    <definedName name="GLOBAL" localSheetId="28">#REF!</definedName>
    <definedName name="GLOBAL" localSheetId="27">#REF!</definedName>
    <definedName name="GLOBAL" localSheetId="18">#REF!</definedName>
    <definedName name="global" localSheetId="35" hidden="1">{"'Estimativa de Lançamento-JAN'!$A$1:$AI$85"}</definedName>
    <definedName name="GLOBAL" localSheetId="7">#REF!</definedName>
    <definedName name="GLOBAL" localSheetId="23">#REF!</definedName>
    <definedName name="GLOBAL">#REF!</definedName>
    <definedName name="gnfrth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 localSheetId="12">#REF!</definedName>
    <definedName name="grec_cdi" localSheetId="30">#REF!</definedName>
    <definedName name="grec_cdi" localSheetId="28">#REF!</definedName>
    <definedName name="grec_cdi" localSheetId="27">#REF!</definedName>
    <definedName name="grec_cdi" localSheetId="18">#REF!</definedName>
    <definedName name="grec_cdi" localSheetId="7">#REF!</definedName>
    <definedName name="grec_cdi" localSheetId="23">#REF!</definedName>
    <definedName name="grec_cdi">#REF!</definedName>
    <definedName name="grec_hist" localSheetId="12">#REF!</definedName>
    <definedName name="grec_hist" localSheetId="30">#REF!</definedName>
    <definedName name="grec_hist" localSheetId="28">#REF!</definedName>
    <definedName name="grec_hist" localSheetId="27">#REF!</definedName>
    <definedName name="grec_hist" localSheetId="18">#REF!</definedName>
    <definedName name="grec_hist" localSheetId="7">#REF!</definedName>
    <definedName name="grec_hist" localSheetId="23">#REF!</definedName>
    <definedName name="grec_hist">#REF!</definedName>
    <definedName name="grec_uss" localSheetId="12">#REF!</definedName>
    <definedName name="grec_uss" localSheetId="30">#REF!</definedName>
    <definedName name="grec_uss" localSheetId="28">#REF!</definedName>
    <definedName name="grec_uss" localSheetId="27">#REF!</definedName>
    <definedName name="grec_uss" localSheetId="18">#REF!</definedName>
    <definedName name="grec_uss" localSheetId="7">#REF!</definedName>
    <definedName name="grec_uss" localSheetId="23">#REF!</definedName>
    <definedName name="grec_uss">#REF!</definedName>
    <definedName name="grua" localSheetId="12">#REF!</definedName>
    <definedName name="grua" localSheetId="30">#REF!</definedName>
    <definedName name="grua" localSheetId="28">#REF!</definedName>
    <definedName name="grua" localSheetId="27">#REF!</definedName>
    <definedName name="grua" localSheetId="18">#REF!</definedName>
    <definedName name="grua" localSheetId="7">#REF!</definedName>
    <definedName name="grua" localSheetId="23">#REF!</definedName>
    <definedName name="grua">#REF!</definedName>
    <definedName name="GSDWJSTG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3" hidden="1">{#N/A,#N/A,FALSE,"Plan1";#N/A,#N/A,FALSE,"Plan2"}</definedName>
    <definedName name="gtuigsdyugsdf" localSheetId="33" hidden="1">{#N/A,#N/A,FALSE,"Plan1";#N/A,#N/A,FALSE,"Plan2"}</definedName>
    <definedName name="gtuigsdyugsdf" localSheetId="35" hidden="1">{#N/A,#N/A,FALSE,"Plan1";#N/A,#N/A,FALSE,"Plan2"}</definedName>
    <definedName name="gtuigsdyugsdf" hidden="1">{#N/A,#N/A,FALSE,"Plan1";#N/A,#N/A,FALSE,"Plan2"}</definedName>
    <definedName name="GUI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33" hidden="1">{#N/A,#N/A,FALSE,"CCTV"}</definedName>
    <definedName name="GV" localSheetId="35" hidden="1">{#N/A,#N/A,FALSE,"CCTV"}</definedName>
    <definedName name="GV" hidden="1">{#N/A,#N/A,FALSE,"CCTV"}</definedName>
    <definedName name="h" localSheetId="12">#REF!</definedName>
    <definedName name="h" localSheetId="30">#REF!</definedName>
    <definedName name="h" localSheetId="28">#REF!</definedName>
    <definedName name="h" localSheetId="27">#REF!</definedName>
    <definedName name="h" localSheetId="18">#REF!</definedName>
    <definedName name="h" localSheetId="7">#REF!</definedName>
    <definedName name="h" localSheetId="23">#REF!</definedName>
    <definedName name="h">#REF!</definedName>
    <definedName name="hbjgjuae" localSheetId="12">#REF!</definedName>
    <definedName name="hbjgjuae" localSheetId="30">#REF!</definedName>
    <definedName name="hbjgjuae" localSheetId="28">#REF!</definedName>
    <definedName name="hbjgjuae" localSheetId="27">#REF!</definedName>
    <definedName name="hbjgjuae" localSheetId="18">#REF!</definedName>
    <definedName name="hbjgjuae" localSheetId="7">#REF!</definedName>
    <definedName name="hbjgjuae" localSheetId="23">#REF!</definedName>
    <definedName name="hbjgjuae">#REF!</definedName>
    <definedName name="hcjfkhdghfktg" localSheetId="3" hidden="1">{#N/A,#N/A,FALSE,"Plan1";#N/A,#N/A,FALSE,"Plan2"}</definedName>
    <definedName name="hcjfkhdghfktg" localSheetId="33" hidden="1">{#N/A,#N/A,FALSE,"Plan1";#N/A,#N/A,FALSE,"Plan2"}</definedName>
    <definedName name="hcjfkhdghfktg" localSheetId="35" hidden="1">{#N/A,#N/A,FALSE,"Plan1";#N/A,#N/A,FALSE,"Plan2"}</definedName>
    <definedName name="hcjfkhdghfktg" hidden="1">{#N/A,#N/A,FALSE,"Plan1";#N/A,#N/A,FALSE,"Plan2"}</definedName>
    <definedName name="hckhjfdkgfdg" localSheetId="3" hidden="1">#REF!</definedName>
    <definedName name="hckhjfdkgfdg" localSheetId="12" hidden="1">#REF!</definedName>
    <definedName name="hckhjfdkgfdg" localSheetId="30" hidden="1">#REF!</definedName>
    <definedName name="hckhjfdkgfdg" localSheetId="28" hidden="1">#REF!</definedName>
    <definedName name="hckhjfdkgfdg" localSheetId="27" hidden="1">#REF!</definedName>
    <definedName name="hckhjfdkgfdg" localSheetId="18" hidden="1">#REF!</definedName>
    <definedName name="hckhjfdkgfdg" localSheetId="7" hidden="1">#REF!</definedName>
    <definedName name="hckhjfdkgfdg" localSheetId="23" hidden="1">#REF!</definedName>
    <definedName name="hckhjfdkgfdg" hidden="1">#REF!</definedName>
    <definedName name="hddfndgdfg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3" hidden="1">{#N/A,#N/A,FALSE,"Plan1";#N/A,#N/A,FALSE,"Plan2"}</definedName>
    <definedName name="HDFGHGST" localSheetId="33" hidden="1">{#N/A,#N/A,FALSE,"Plan1";#N/A,#N/A,FALSE,"Plan2"}</definedName>
    <definedName name="HDFGHGST" localSheetId="35" hidden="1">{#N/A,#N/A,FALSE,"Plan1";#N/A,#N/A,FALSE,"Plan2"}</definedName>
    <definedName name="HDFGHGST" hidden="1">{#N/A,#N/A,FALSE,"Plan1";#N/A,#N/A,FALSE,"Plan2"}</definedName>
    <definedName name="HDFGJKHKFDHTY" localSheetId="3" hidden="1">{#N/A,#N/A,FALSE,"Plan1";#N/A,#N/A,FALSE,"Plan2"}</definedName>
    <definedName name="HDFGJKHKFDHTY" localSheetId="33" hidden="1">{#N/A,#N/A,FALSE,"Plan1";#N/A,#N/A,FALSE,"Plan2"}</definedName>
    <definedName name="HDFGJKHKFDHTY" localSheetId="35" hidden="1">{#N/A,#N/A,FALSE,"Plan1";#N/A,#N/A,FALSE,"Plan2"}</definedName>
    <definedName name="HDFGJKHKFDHTY" hidden="1">{#N/A,#N/A,FALSE,"Plan1";#N/A,#N/A,FALSE,"Plan2"}</definedName>
    <definedName name="hdfhdhrtgd" localSheetId="3" hidden="1">{#N/A,#N/A,FALSE,"Plan1";#N/A,#N/A,FALSE,"Plan2"}</definedName>
    <definedName name="hdfhdhrtgd" localSheetId="33" hidden="1">{#N/A,#N/A,FALSE,"Plan1";#N/A,#N/A,FALSE,"Plan2"}</definedName>
    <definedName name="hdfhdhrtgd" localSheetId="35" hidden="1">{#N/A,#N/A,FALSE,"Plan1";#N/A,#N/A,FALSE,"Plan2"}</definedName>
    <definedName name="hdfhdhrtgd" hidden="1">{#N/A,#N/A,FALSE,"Plan1";#N/A,#N/A,FALSE,"Plan2"}</definedName>
    <definedName name="hdfhftde" localSheetId="3" hidden="1">{#N/A,#N/A,FALSE,"Plan1";#N/A,#N/A,FALSE,"Plan2"}</definedName>
    <definedName name="hdfhftde" localSheetId="33" hidden="1">{#N/A,#N/A,FALSE,"Plan1";#N/A,#N/A,FALSE,"Plan2"}</definedName>
    <definedName name="hdfhftde" localSheetId="35" hidden="1">{#N/A,#N/A,FALSE,"Plan1";#N/A,#N/A,FALSE,"Plan2"}</definedName>
    <definedName name="hdfhftde" hidden="1">{#N/A,#N/A,FALSE,"Plan1";#N/A,#N/A,FALSE,"Plan2"}</definedName>
    <definedName name="hdfhgkdhgtrf" localSheetId="3" hidden="1">{#N/A,#N/A,FALSE,"Plan1";#N/A,#N/A,FALSE,"Plan2"}</definedName>
    <definedName name="hdfhgkdhgtrf" localSheetId="33" hidden="1">{#N/A,#N/A,FALSE,"Plan1";#N/A,#N/A,FALSE,"Plan2"}</definedName>
    <definedName name="hdfhgkdhgtrf" localSheetId="35" hidden="1">{#N/A,#N/A,FALSE,"Plan1";#N/A,#N/A,FALSE,"Plan2"}</definedName>
    <definedName name="hdfhgkdhgtrf" hidden="1">{#N/A,#N/A,FALSE,"Plan1";#N/A,#N/A,FALSE,"Plan2"}</definedName>
    <definedName name="hdfjhdkzhgdr" localSheetId="3" hidden="1">{#N/A,#N/A,FALSE,"Plan1";#N/A,#N/A,FALSE,"Plan2"}</definedName>
    <definedName name="hdfjhdkzhgdr" localSheetId="33" hidden="1">{#N/A,#N/A,FALSE,"Plan1";#N/A,#N/A,FALSE,"Plan2"}</definedName>
    <definedName name="hdfjhdkzhgdr" localSheetId="35" hidden="1">{#N/A,#N/A,FALSE,"Plan1";#N/A,#N/A,FALSE,"Plan2"}</definedName>
    <definedName name="hdfjhdkzhgdr" hidden="1">{#N/A,#N/A,FALSE,"Plan1";#N/A,#N/A,FALSE,"Plan2"}</definedName>
    <definedName name="hdfjkgvjgtd" localSheetId="3" hidden="1">{#N/A,#N/A,FALSE,"Plan1";#N/A,#N/A,FALSE,"Plan2"}</definedName>
    <definedName name="hdfjkgvjgtd" localSheetId="33" hidden="1">{#N/A,#N/A,FALSE,"Plan1";#N/A,#N/A,FALSE,"Plan2"}</definedName>
    <definedName name="hdfjkgvjgtd" localSheetId="35" hidden="1">{#N/A,#N/A,FALSE,"Plan1";#N/A,#N/A,FALSE,"Plan2"}</definedName>
    <definedName name="hdfjkgvjgtd" hidden="1">{#N/A,#N/A,FALSE,"Plan1";#N/A,#N/A,FALSE,"Plan2"}</definedName>
    <definedName name="hdfjkhdhrute" localSheetId="3" hidden="1">{#N/A,#N/A,FALSE,"Plan1";#N/A,#N/A,FALSE,"Plan2"}</definedName>
    <definedName name="hdfjkhdhrute" localSheetId="33" hidden="1">{#N/A,#N/A,FALSE,"Plan1";#N/A,#N/A,FALSE,"Plan2"}</definedName>
    <definedName name="hdfjkhdhrute" localSheetId="35" hidden="1">{#N/A,#N/A,FALSE,"Plan1";#N/A,#N/A,FALSE,"Plan2"}</definedName>
    <definedName name="hdfjkhdhrute" hidden="1">{#N/A,#N/A,FALSE,"Plan1";#N/A,#N/A,FALSE,"Plan2"}</definedName>
    <definedName name="HDFKGVF" localSheetId="3" hidden="1">{#N/A,#N/A,FALSE,"Plan1";#N/A,#N/A,FALSE,"Plan2"}</definedName>
    <definedName name="HDFKGVF" localSheetId="33" hidden="1">{#N/A,#N/A,FALSE,"Plan1";#N/A,#N/A,FALSE,"Plan2"}</definedName>
    <definedName name="HDFKGVF" localSheetId="35" hidden="1">{#N/A,#N/A,FALSE,"Plan1";#N/A,#N/A,FALSE,"Plan2"}</definedName>
    <definedName name="HDFKGVF" hidden="1">{#N/A,#N/A,FALSE,"Plan1";#N/A,#N/A,FALSE,"Plan2"}</definedName>
    <definedName name="hdgfhdgtdrt" localSheetId="3" hidden="1">{#N/A,#N/A,FALSE,"Plan1";#N/A,#N/A,FALSE,"Plan2"}</definedName>
    <definedName name="hdgfhdgtdrt" localSheetId="33" hidden="1">{#N/A,#N/A,FALSE,"Plan1";#N/A,#N/A,FALSE,"Plan2"}</definedName>
    <definedName name="hdgfhdgtdrt" localSheetId="35" hidden="1">{#N/A,#N/A,FALSE,"Plan1";#N/A,#N/A,FALSE,"Plan2"}</definedName>
    <definedName name="hdgfhdgtdrt" hidden="1">{#N/A,#N/A,FALSE,"Plan1";#N/A,#N/A,FALSE,"Plan2"}</definedName>
    <definedName name="hdghgtgtrgd" localSheetId="3" hidden="1">{#N/A,#N/A,FALSE,"Plan1";#N/A,#N/A,FALSE,"Plan2"}</definedName>
    <definedName name="hdghgtgtrgd" localSheetId="33" hidden="1">{#N/A,#N/A,FALSE,"Plan1";#N/A,#N/A,FALSE,"Plan2"}</definedName>
    <definedName name="hdghgtgtrgd" localSheetId="35" hidden="1">{#N/A,#N/A,FALSE,"Plan1";#N/A,#N/A,FALSE,"Plan2"}</definedName>
    <definedName name="hdghgtgtrgd" hidden="1">{#N/A,#N/A,FALSE,"Plan1";#N/A,#N/A,FALSE,"Plan2"}</definedName>
    <definedName name="HDHDGHTUHDTG" localSheetId="3" hidden="1">{#N/A,#N/A,FALSE,"Plan1";#N/A,#N/A,FALSE,"Plan2"}</definedName>
    <definedName name="HDHDGHTUHDTG" localSheetId="33" hidden="1">{#N/A,#N/A,FALSE,"Plan1";#N/A,#N/A,FALSE,"Plan2"}</definedName>
    <definedName name="HDHDGHTUHDTG" localSheetId="35" hidden="1">{#N/A,#N/A,FALSE,"Plan1";#N/A,#N/A,FALSE,"Plan2"}</definedName>
    <definedName name="HDHDGHTUHDTG" hidden="1">{#N/A,#N/A,FALSE,"Plan1";#N/A,#N/A,FALSE,"Plan2"}</definedName>
    <definedName name="hdhghfthrrhy" localSheetId="3" hidden="1">{#N/A,#N/A,FALSE,"Plan1";#N/A,#N/A,FALSE,"Plan2"}</definedName>
    <definedName name="hdhghfthrrhy" localSheetId="33" hidden="1">{#N/A,#N/A,FALSE,"Plan1";#N/A,#N/A,FALSE,"Plan2"}</definedName>
    <definedName name="hdhghfthrrhy" localSheetId="35" hidden="1">{#N/A,#N/A,FALSE,"Plan1";#N/A,#N/A,FALSE,"Plan2"}</definedName>
    <definedName name="hdhghfthrrhy" hidden="1">{#N/A,#N/A,FALSE,"Plan1";#N/A,#N/A,FALSE,"Plan2"}</definedName>
    <definedName name="hdkfjhydjh" localSheetId="3" hidden="1">{#N/A,#N/A,FALSE,"Plan1";#N/A,#N/A,FALSE,"Plan2"}</definedName>
    <definedName name="hdkfjhydjh" localSheetId="33" hidden="1">{#N/A,#N/A,FALSE,"Plan1";#N/A,#N/A,FALSE,"Plan2"}</definedName>
    <definedName name="hdkfjhydjh" localSheetId="35" hidden="1">{#N/A,#N/A,FALSE,"Plan1";#N/A,#N/A,FALSE,"Plan2"}</definedName>
    <definedName name="hdkfjhydjh" hidden="1">{#N/A,#N/A,FALSE,"Plan1";#N/A,#N/A,FALSE,"Plan2"}</definedName>
    <definedName name="hdsgfgrrdgr" localSheetId="3" hidden="1">{#N/A,#N/A,FALSE,"Plan1";#N/A,#N/A,FALSE,"Plan2"}</definedName>
    <definedName name="hdsgfgrrdgr" localSheetId="33" hidden="1">{#N/A,#N/A,FALSE,"Plan1";#N/A,#N/A,FALSE,"Plan2"}</definedName>
    <definedName name="hdsgfgrrdgr" localSheetId="35" hidden="1">{#N/A,#N/A,FALSE,"Plan1";#N/A,#N/A,FALSE,"Plan2"}</definedName>
    <definedName name="hdsgfgrrdgr" hidden="1">{#N/A,#N/A,FALSE,"Plan1";#N/A,#N/A,FALSE,"Plan2"}</definedName>
    <definedName name="hdtertkkdsa" localSheetId="3" hidden="1">{#N/A,#N/A,FALSE,"Plan1";#N/A,#N/A,FALSE,"Plan2"}</definedName>
    <definedName name="hdtertkkdsa" localSheetId="33" hidden="1">{#N/A,#N/A,FALSE,"Plan1";#N/A,#N/A,FALSE,"Plan2"}</definedName>
    <definedName name="hdtertkkdsa" localSheetId="35" hidden="1">{#N/A,#N/A,FALSE,"Plan1";#N/A,#N/A,FALSE,"Plan2"}</definedName>
    <definedName name="hdtertkkdsa" hidden="1">{#N/A,#N/A,FALSE,"Plan1";#N/A,#N/A,FALSE,"Plan2"}</definedName>
    <definedName name="Header" localSheetId="12">#REF!</definedName>
    <definedName name="Header" localSheetId="30">#REF!</definedName>
    <definedName name="Header" localSheetId="28">#REF!</definedName>
    <definedName name="Header" localSheetId="27">#REF!</definedName>
    <definedName name="Header" localSheetId="18">#REF!</definedName>
    <definedName name="Header" localSheetId="7">#REF!</definedName>
    <definedName name="Header" localSheetId="23">#REF!</definedName>
    <definedName name="Header">#REF!</definedName>
    <definedName name="HEDHA" localSheetId="3" hidden="1">{#N/A,#N/A,FALSE,"Plan1";#N/A,#N/A,FALSE,"Plan2"}</definedName>
    <definedName name="HEDHA" localSheetId="33" hidden="1">{#N/A,#N/A,FALSE,"Plan1";#N/A,#N/A,FALSE,"Plan2"}</definedName>
    <definedName name="HEDHA" localSheetId="35" hidden="1">{#N/A,#N/A,FALSE,"Plan1";#N/A,#N/A,FALSE,"Plan2"}</definedName>
    <definedName name="HEDHA" hidden="1">{#N/A,#N/A,FALSE,"Plan1";#N/A,#N/A,FALSE,"Plan2"}</definedName>
    <definedName name="heif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 localSheetId="12">#REF!</definedName>
    <definedName name="HELP" localSheetId="30">#REF!</definedName>
    <definedName name="HELP" localSheetId="28">#REF!</definedName>
    <definedName name="HELP" localSheetId="27">#REF!</definedName>
    <definedName name="HELP" localSheetId="18">#REF!</definedName>
    <definedName name="HELP" localSheetId="7">#REF!</definedName>
    <definedName name="HELP" localSheetId="23">#REF!</definedName>
    <definedName name="HELP">#REF!</definedName>
    <definedName name="herkfdshfker" localSheetId="3" hidden="1">{#N/A,#N/A,FALSE,"Plan1";#N/A,#N/A,FALSE,"Plan2"}</definedName>
    <definedName name="herkfdshfker" localSheetId="33" hidden="1">{#N/A,#N/A,FALSE,"Plan1";#N/A,#N/A,FALSE,"Plan2"}</definedName>
    <definedName name="herkfdshfker" localSheetId="35" hidden="1">{#N/A,#N/A,FALSE,"Plan1";#N/A,#N/A,FALSE,"Plan2"}</definedName>
    <definedName name="herkfdshfker" hidden="1">{#N/A,#N/A,FALSE,"Plan1";#N/A,#N/A,FALSE,"Plan2"}</definedName>
    <definedName name="hersdtretyt" localSheetId="3" hidden="1">{#N/A,#N/A,FALSE,"Plan1";#N/A,#N/A,FALSE,"Plan2"}</definedName>
    <definedName name="hersdtretyt" localSheetId="33" hidden="1">{#N/A,#N/A,FALSE,"Plan1";#N/A,#N/A,FALSE,"Plan2"}</definedName>
    <definedName name="hersdtretyt" localSheetId="35" hidden="1">{#N/A,#N/A,FALSE,"Plan1";#N/A,#N/A,FALSE,"Plan2"}</definedName>
    <definedName name="hersdtretyt" hidden="1">{#N/A,#N/A,FALSE,"Plan1";#N/A,#N/A,FALSE,"Plan2"}</definedName>
    <definedName name="HFDJTHTRS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3" hidden="1">{#N/A,#N/A,FALSE,"Plan1";#N/A,#N/A,FALSE,"Plan2"}</definedName>
    <definedName name="HFDKHGFR" localSheetId="33" hidden="1">{#N/A,#N/A,FALSE,"Plan1";#N/A,#N/A,FALSE,"Plan2"}</definedName>
    <definedName name="HFDKHGFR" localSheetId="35" hidden="1">{#N/A,#N/A,FALSE,"Plan1";#N/A,#N/A,FALSE,"Plan2"}</definedName>
    <definedName name="HFDKHGFR" hidden="1">{#N/A,#N/A,FALSE,"Plan1";#N/A,#N/A,FALSE,"Plan2"}</definedName>
    <definedName name="hfdkhgkfdhtj" localSheetId="3" hidden="1">{#N/A,#N/A,FALSE,"Plan1";#N/A,#N/A,FALSE,"Plan2"}</definedName>
    <definedName name="hfdkhgkfdhtj" localSheetId="33" hidden="1">{#N/A,#N/A,FALSE,"Plan1";#N/A,#N/A,FALSE,"Plan2"}</definedName>
    <definedName name="hfdkhgkfdhtj" localSheetId="35" hidden="1">{#N/A,#N/A,FALSE,"Plan1";#N/A,#N/A,FALSE,"Plan2"}</definedName>
    <definedName name="hfdkhgkfdhtj" hidden="1">{#N/A,#N/A,FALSE,"Plan1";#N/A,#N/A,FALSE,"Plan2"}</definedName>
    <definedName name="hfgfktgkhyt" localSheetId="3" hidden="1">{#N/A,#N/A,FALSE,"Plan1";#N/A,#N/A,FALSE,"Plan2"}</definedName>
    <definedName name="hfgfktgkhyt" localSheetId="33" hidden="1">{#N/A,#N/A,FALSE,"Plan1";#N/A,#N/A,FALSE,"Plan2"}</definedName>
    <definedName name="hfgfktgkhyt" localSheetId="35" hidden="1">{#N/A,#N/A,FALSE,"Plan1";#N/A,#N/A,FALSE,"Plan2"}</definedName>
    <definedName name="hfgfktgkhyt" hidden="1">{#N/A,#N/A,FALSE,"Plan1";#N/A,#N/A,FALSE,"Plan2"}</definedName>
    <definedName name="hfghdkhrgkjg" localSheetId="3" hidden="1">{#N/A,#N/A,FALSE,"Plan1";#N/A,#N/A,FALSE,"Plan2"}</definedName>
    <definedName name="hfghdkhrgkjg" localSheetId="33" hidden="1">{#N/A,#N/A,FALSE,"Plan1";#N/A,#N/A,FALSE,"Plan2"}</definedName>
    <definedName name="hfghdkhrgkjg" localSheetId="35" hidden="1">{#N/A,#N/A,FALSE,"Plan1";#N/A,#N/A,FALSE,"Plan2"}</definedName>
    <definedName name="hfghdkhrgkjg" hidden="1">{#N/A,#N/A,FALSE,"Plan1";#N/A,#N/A,FALSE,"Plan2"}</definedName>
    <definedName name="hfighfth" localSheetId="3" hidden="1">{#N/A,#N/A,FALSE,"Plan1";#N/A,#N/A,FALSE,"Plan2"}</definedName>
    <definedName name="hfighfth" localSheetId="33" hidden="1">{#N/A,#N/A,FALSE,"Plan1";#N/A,#N/A,FALSE,"Plan2"}</definedName>
    <definedName name="hfighfth" localSheetId="35" hidden="1">{#N/A,#N/A,FALSE,"Plan1";#N/A,#N/A,FALSE,"Plan2"}</definedName>
    <definedName name="hfighfth" hidden="1">{#N/A,#N/A,FALSE,"Plan1";#N/A,#N/A,FALSE,"Plan2"}</definedName>
    <definedName name="hfjghtfuyrf" localSheetId="3" hidden="1">{#N/A,#N/A,FALSE,"Plan1";#N/A,#N/A,FALSE,"Plan2"}</definedName>
    <definedName name="hfjghtfuyrf" localSheetId="33" hidden="1">{#N/A,#N/A,FALSE,"Plan1";#N/A,#N/A,FALSE,"Plan2"}</definedName>
    <definedName name="hfjghtfuyrf" localSheetId="35" hidden="1">{#N/A,#N/A,FALSE,"Plan1";#N/A,#N/A,FALSE,"Plan2"}</definedName>
    <definedName name="hfjghtfuyrf" hidden="1">{#N/A,#N/A,FALSE,"Plan1";#N/A,#N/A,FALSE,"Plan2"}</definedName>
    <definedName name="HFKJHDJGHFJ" localSheetId="3" hidden="1">{#N/A,#N/A,FALSE,"Plan1";#N/A,#N/A,FALSE,"Plan2"}</definedName>
    <definedName name="HFKJHDJGHFJ" localSheetId="33" hidden="1">{#N/A,#N/A,FALSE,"Plan1";#N/A,#N/A,FALSE,"Plan2"}</definedName>
    <definedName name="HFKJHDJGHFJ" localSheetId="35" hidden="1">{#N/A,#N/A,FALSE,"Plan1";#N/A,#N/A,FALSE,"Plan2"}</definedName>
    <definedName name="HFKJHDJGHFJ" hidden="1">{#N/A,#N/A,FALSE,"Plan1";#N/A,#N/A,FALSE,"Plan2"}</definedName>
    <definedName name="hgdesgfgsj" localSheetId="3" hidden="1">{#N/A,#N/A,FALSE,"Plan1";#N/A,#N/A,FALSE,"Plan2"}</definedName>
    <definedName name="hgdesgfgsj" localSheetId="33" hidden="1">{#N/A,#N/A,FALSE,"Plan1";#N/A,#N/A,FALSE,"Plan2"}</definedName>
    <definedName name="hgdesgfgsj" localSheetId="35" hidden="1">{#N/A,#N/A,FALSE,"Plan1";#N/A,#N/A,FALSE,"Plan2"}</definedName>
    <definedName name="hgdesgfgsj" hidden="1">{#N/A,#N/A,FALSE,"Plan1";#N/A,#N/A,FALSE,"Plan2"}</definedName>
    <definedName name="hgdgfd" localSheetId="3" hidden="1">{#N/A,#N/A,FALSE,"Plan1";#N/A,#N/A,FALSE,"Plan2"}</definedName>
    <definedName name="hgdgfd" localSheetId="33" hidden="1">{#N/A,#N/A,FALSE,"Plan1";#N/A,#N/A,FALSE,"Plan2"}</definedName>
    <definedName name="hgdgfd" localSheetId="35" hidden="1">{#N/A,#N/A,FALSE,"Plan1";#N/A,#N/A,FALSE,"Plan2"}</definedName>
    <definedName name="hgdgfd" hidden="1">{#N/A,#N/A,FALSE,"Plan1";#N/A,#N/A,FALSE,"Plan2"}</definedName>
    <definedName name="hgfhjkdfhj" localSheetId="3" hidden="1">{#N/A,#N/A,FALSE,"Plan1";#N/A,#N/A,FALSE,"Plan2"}</definedName>
    <definedName name="hgfhjkdfhj" localSheetId="33" hidden="1">{#N/A,#N/A,FALSE,"Plan1";#N/A,#N/A,FALSE,"Plan2"}</definedName>
    <definedName name="hgfhjkdfhj" localSheetId="35" hidden="1">{#N/A,#N/A,FALSE,"Plan1";#N/A,#N/A,FALSE,"Plan2"}</definedName>
    <definedName name="hgfhjkdfhj" hidden="1">{#N/A,#N/A,FALSE,"Plan1";#N/A,#N/A,FALSE,"Plan2"}</definedName>
    <definedName name="hgg" localSheetId="3" hidden="1">{#N/A,#N/A,FALSE,"Plan1";#N/A,#N/A,FALSE,"Plan2"}</definedName>
    <definedName name="hgg" localSheetId="33" hidden="1">{#N/A,#N/A,FALSE,"Plan1";#N/A,#N/A,FALSE,"Plan2"}</definedName>
    <definedName name="hgg" localSheetId="35" hidden="1">{#N/A,#N/A,FALSE,"Plan1";#N/A,#N/A,FALSE,"Plan2"}</definedName>
    <definedName name="hgg" hidden="1">{#N/A,#N/A,FALSE,"Plan1";#N/A,#N/A,FALSE,"Plan2"}</definedName>
    <definedName name="hgjdfgghg" localSheetId="3" hidden="1">{#N/A,#N/A,FALSE,"Plan1";#N/A,#N/A,FALSE,"Plan2"}</definedName>
    <definedName name="hgjdfgghg" localSheetId="33" hidden="1">{#N/A,#N/A,FALSE,"Plan1";#N/A,#N/A,FALSE,"Plan2"}</definedName>
    <definedName name="hgjdfgghg" localSheetId="35" hidden="1">{#N/A,#N/A,FALSE,"Plan1";#N/A,#N/A,FALSE,"Plan2"}</definedName>
    <definedName name="hgjdfgghg" hidden="1">{#N/A,#N/A,FALSE,"Plan1";#N/A,#N/A,FALSE,"Plan2"}</definedName>
    <definedName name="hgjkfdhg" localSheetId="3" hidden="1">{#N/A,#N/A,FALSE,"Plan1";#N/A,#N/A,FALSE,"Plan2"}</definedName>
    <definedName name="hgjkfdhg" localSheetId="33" hidden="1">{#N/A,#N/A,FALSE,"Plan1";#N/A,#N/A,FALSE,"Plan2"}</definedName>
    <definedName name="hgjkfdhg" localSheetId="35" hidden="1">{#N/A,#N/A,FALSE,"Plan1";#N/A,#N/A,FALSE,"Plan2"}</definedName>
    <definedName name="hgjkfdhg" hidden="1">{#N/A,#N/A,FALSE,"Plan1";#N/A,#N/A,FALSE,"Plan2"}</definedName>
    <definedName name="hgkdfhkfk" localSheetId="3" hidden="1">{#N/A,#N/A,FALSE,"Plan1";#N/A,#N/A,FALSE,"Plan2"}</definedName>
    <definedName name="hgkdfhkfk" localSheetId="33" hidden="1">{#N/A,#N/A,FALSE,"Plan1";#N/A,#N/A,FALSE,"Plan2"}</definedName>
    <definedName name="hgkdfhkfk" localSheetId="35" hidden="1">{#N/A,#N/A,FALSE,"Plan1";#N/A,#N/A,FALSE,"Plan2"}</definedName>
    <definedName name="hgkdfhkfk" hidden="1">{#N/A,#N/A,FALSE,"Plan1";#N/A,#N/A,FALSE,"Plan2"}</definedName>
    <definedName name="hgkjhdfhtrdyt" localSheetId="3" hidden="1">{#N/A,#N/A,FALSE,"Plan1";#N/A,#N/A,FALSE,"Plan2"}</definedName>
    <definedName name="hgkjhdfhtrdyt" localSheetId="33" hidden="1">{#N/A,#N/A,FALSE,"Plan1";#N/A,#N/A,FALSE,"Plan2"}</definedName>
    <definedName name="hgkjhdfhtrdyt" localSheetId="35" hidden="1">{#N/A,#N/A,FALSE,"Plan1";#N/A,#N/A,FALSE,"Plan2"}</definedName>
    <definedName name="hgkjhdfhtrdyt" hidden="1">{#N/A,#N/A,FALSE,"Plan1";#N/A,#N/A,FALSE,"Plan2"}</definedName>
    <definedName name="hgkjhdfkhgtfhg" localSheetId="3" hidden="1">{#N/A,#N/A,FALSE,"Plan1";#N/A,#N/A,FALSE,"Plan2"}</definedName>
    <definedName name="hgkjhdfkhgtfhg" localSheetId="33" hidden="1">{#N/A,#N/A,FALSE,"Plan1";#N/A,#N/A,FALSE,"Plan2"}</definedName>
    <definedName name="hgkjhdfkhgtfhg" localSheetId="35" hidden="1">{#N/A,#N/A,FALSE,"Plan1";#N/A,#N/A,FALSE,"Plan2"}</definedName>
    <definedName name="hgkjhdfkhgtfhg" hidden="1">{#N/A,#N/A,FALSE,"Plan1";#N/A,#N/A,FALSE,"Plan2"}</definedName>
    <definedName name="hgkjhkfhsdkdhgk" localSheetId="3" hidden="1">{#N/A,#N/A,FALSE,"Plan1";#N/A,#N/A,FALSE,"Plan2"}</definedName>
    <definedName name="hgkjhkfhsdkdhgk" localSheetId="33" hidden="1">{#N/A,#N/A,FALSE,"Plan1";#N/A,#N/A,FALSE,"Plan2"}</definedName>
    <definedName name="hgkjhkfhsdkdhgk" localSheetId="35" hidden="1">{#N/A,#N/A,FALSE,"Plan1";#N/A,#N/A,FALSE,"Plan2"}</definedName>
    <definedName name="hgkjhkfhsdkdhgk" hidden="1">{#N/A,#N/A,FALSE,"Plan1";#N/A,#N/A,FALSE,"Plan2"}</definedName>
    <definedName name="hgsufgdhghd" localSheetId="3" hidden="1">{#N/A,#N/A,FALSE,"Plan1";#N/A,#N/A,FALSE,"Plan2"}</definedName>
    <definedName name="hgsufgdhghd" localSheetId="33" hidden="1">{#N/A,#N/A,FALSE,"Plan1";#N/A,#N/A,FALSE,"Plan2"}</definedName>
    <definedName name="hgsufgdhghd" localSheetId="35" hidden="1">{#N/A,#N/A,FALSE,"Plan1";#N/A,#N/A,FALSE,"Plan2"}</definedName>
    <definedName name="hgsufgdhghd" hidden="1">{#N/A,#N/A,FALSE,"Plan1";#N/A,#N/A,FALSE,"Plan2"}</definedName>
    <definedName name="HHGFHTYUT" localSheetId="3" hidden="1">{#N/A,#N/A,FALSE,"Plan1";#N/A,#N/A,FALSE,"Plan2"}</definedName>
    <definedName name="HHGFHTYUT" localSheetId="33" hidden="1">{#N/A,#N/A,FALSE,"Plan1";#N/A,#N/A,FALSE,"Plan2"}</definedName>
    <definedName name="HHGFHTYUT" localSheetId="35" hidden="1">{#N/A,#N/A,FALSE,"Plan1";#N/A,#N/A,FALSE,"Plan2"}</definedName>
    <definedName name="HHGFHTYUT" hidden="1">{#N/A,#N/A,FALSE,"Plan1";#N/A,#N/A,FALSE,"Plan2"}</definedName>
    <definedName name="hhh" localSheetId="33" hidden="1">{"'Total'!$A$1","'Total'!$A$3"}</definedName>
    <definedName name="hhh" localSheetId="35" hidden="1">{"'Total'!$A$1","'Total'!$A$3"}</definedName>
    <definedName name="hhh" hidden="1">{"'Total'!$A$1","'Total'!$A$3"}</definedName>
    <definedName name="HHIHLK" localSheetId="3" hidden="1">#REF!</definedName>
    <definedName name="HHIHLK" localSheetId="12" hidden="1">#REF!</definedName>
    <definedName name="HHIHLK" localSheetId="30" hidden="1">#REF!</definedName>
    <definedName name="HHIHLK" localSheetId="28" hidden="1">#REF!</definedName>
    <definedName name="HHIHLK" localSheetId="27" hidden="1">#REF!</definedName>
    <definedName name="HHIHLK" localSheetId="18" hidden="1">#REF!</definedName>
    <definedName name="HHIHLK" localSheetId="7" hidden="1">#REF!</definedName>
    <definedName name="HHIHLK" localSheetId="23" hidden="1">#REF!</definedName>
    <definedName name="HHIHLK" hidden="1">#REF!</definedName>
    <definedName name="hik" localSheetId="33" hidden="1">{#N/A,#N/A,FALSE,"TABLE"}</definedName>
    <definedName name="hik" localSheetId="35" hidden="1">{#N/A,#N/A,FALSE,"TABLE"}</definedName>
    <definedName name="hik" hidden="1">{#N/A,#N/A,FALSE,"TABLE"}</definedName>
    <definedName name="hist" localSheetId="12">#REF!</definedName>
    <definedName name="hist" localSheetId="30">#REF!</definedName>
    <definedName name="hist" localSheetId="28">#REF!</definedName>
    <definedName name="hist" localSheetId="27">#REF!</definedName>
    <definedName name="hist" localSheetId="18">#REF!</definedName>
    <definedName name="hist" localSheetId="7">#REF!</definedName>
    <definedName name="hist" localSheetId="23">#REF!</definedName>
    <definedName name="hist">#REF!</definedName>
    <definedName name="HIST1" localSheetId="12">#REF!</definedName>
    <definedName name="HIST1" localSheetId="30">#REF!</definedName>
    <definedName name="HIST1" localSheetId="28">#REF!</definedName>
    <definedName name="HIST1" localSheetId="27">#REF!</definedName>
    <definedName name="HIST1" localSheetId="18">#REF!</definedName>
    <definedName name="HIST1" localSheetId="7">#REF!</definedName>
    <definedName name="HIST1" localSheetId="23">#REF!</definedName>
    <definedName name="HIST1">#REF!</definedName>
    <definedName name="HISTEQ" localSheetId="12">#REF!</definedName>
    <definedName name="HISTEQ" localSheetId="30">#REF!</definedName>
    <definedName name="HISTEQ" localSheetId="28">#REF!</definedName>
    <definedName name="HISTEQ" localSheetId="27">#REF!</definedName>
    <definedName name="HISTEQ" localSheetId="18">#REF!</definedName>
    <definedName name="HISTEQ" localSheetId="7">#REF!</definedName>
    <definedName name="HISTEQ" localSheetId="23">#REF!</definedName>
    <definedName name="HISTEQ">#REF!</definedName>
    <definedName name="HISTOGRAMA" localSheetId="12">#REF!</definedName>
    <definedName name="HISTOGRAMA" localSheetId="30">#REF!</definedName>
    <definedName name="HISTOGRAMA" localSheetId="28">#REF!</definedName>
    <definedName name="HISTOGRAMA" localSheetId="27">#REF!</definedName>
    <definedName name="HISTOGRAMA" localSheetId="18">#REF!</definedName>
    <definedName name="HISTOGRAMA" localSheetId="7">#REF!</definedName>
    <definedName name="HISTOGRAMA" localSheetId="23">#REF!</definedName>
    <definedName name="HISTOGRAMA">#REF!</definedName>
    <definedName name="hjdgtjdjxrfg" localSheetId="3" hidden="1">{#N/A,#N/A,FALSE,"Plan1";#N/A,#N/A,FALSE,"Plan2"}</definedName>
    <definedName name="hjdgtjdjxrfg" localSheetId="33" hidden="1">{#N/A,#N/A,FALSE,"Plan1";#N/A,#N/A,FALSE,"Plan2"}</definedName>
    <definedName name="hjdgtjdjxrfg" localSheetId="35" hidden="1">{#N/A,#N/A,FALSE,"Plan1";#N/A,#N/A,FALSE,"Plan2"}</definedName>
    <definedName name="hjdgtjdjxrfg" hidden="1">{#N/A,#N/A,FALSE,"Plan1";#N/A,#N/A,FALSE,"Plan2"}</definedName>
    <definedName name="HJFDGD" localSheetId="3" hidden="1">{#N/A,#N/A,FALSE,"Plan1";#N/A,#N/A,FALSE,"Plan2"}</definedName>
    <definedName name="HJFDGD" localSheetId="33" hidden="1">{#N/A,#N/A,FALSE,"Plan1";#N/A,#N/A,FALSE,"Plan2"}</definedName>
    <definedName name="HJFDGD" localSheetId="35" hidden="1">{#N/A,#N/A,FALSE,"Plan1";#N/A,#N/A,FALSE,"Plan2"}</definedName>
    <definedName name="HJFDGD" hidden="1">{#N/A,#N/A,FALSE,"Plan1";#N/A,#N/A,FALSE,"Plan2"}</definedName>
    <definedName name="HJGASD" localSheetId="3" hidden="1">{#N/A,#N/A,FALSE,"Plan1";#N/A,#N/A,FALSE,"Plan2"}</definedName>
    <definedName name="HJGASD" localSheetId="33" hidden="1">{#N/A,#N/A,FALSE,"Plan1";#N/A,#N/A,FALSE,"Plan2"}</definedName>
    <definedName name="HJGASD" localSheetId="35" hidden="1">{#N/A,#N/A,FALSE,"Plan1";#N/A,#N/A,FALSE,"Plan2"}</definedName>
    <definedName name="HJGASD" hidden="1">{#N/A,#N/A,FALSE,"Plan1";#N/A,#N/A,FALSE,"Plan2"}</definedName>
    <definedName name="HJGFGTFDG" localSheetId="3" hidden="1">{#N/A,#N/A,FALSE,"Plan1";#N/A,#N/A,FALSE,"Plan2"}</definedName>
    <definedName name="HJGFGTFDG" localSheetId="33" hidden="1">{#N/A,#N/A,FALSE,"Plan1";#N/A,#N/A,FALSE,"Plan2"}</definedName>
    <definedName name="HJGFGTFDG" localSheetId="35" hidden="1">{#N/A,#N/A,FALSE,"Plan1";#N/A,#N/A,FALSE,"Plan2"}</definedName>
    <definedName name="HJGFGTFDG" hidden="1">{#N/A,#N/A,FALSE,"Plan1";#N/A,#N/A,FALSE,"Plan2"}</definedName>
    <definedName name="hjgfhdsgfhsd" localSheetId="3" hidden="1">{#N/A,#N/A,FALSE,"Plan1";#N/A,#N/A,FALSE,"Plan2"}</definedName>
    <definedName name="hjgfhdsgfhsd" localSheetId="33" hidden="1">{#N/A,#N/A,FALSE,"Plan1";#N/A,#N/A,FALSE,"Plan2"}</definedName>
    <definedName name="hjgfhdsgfhsd" localSheetId="35" hidden="1">{#N/A,#N/A,FALSE,"Plan1";#N/A,#N/A,FALSE,"Plan2"}</definedName>
    <definedName name="hjgfhdsgfhsd" hidden="1">{#N/A,#N/A,FALSE,"Plan1";#N/A,#N/A,FALSE,"Plan2"}</definedName>
    <definedName name="hjgxfjgdjyftr" localSheetId="3" hidden="1">{#N/A,#N/A,FALSE,"Plan1";#N/A,#N/A,FALSE,"Plan2"}</definedName>
    <definedName name="hjgxfjgdjyftr" localSheetId="33" hidden="1">{#N/A,#N/A,FALSE,"Plan1";#N/A,#N/A,FALSE,"Plan2"}</definedName>
    <definedName name="hjgxfjgdjyftr" localSheetId="35" hidden="1">{#N/A,#N/A,FALSE,"Plan1";#N/A,#N/A,FALSE,"Plan2"}</definedName>
    <definedName name="hjgxfjgdjyftr" hidden="1">{#N/A,#N/A,FALSE,"Plan1";#N/A,#N/A,FALSE,"Plan2"}</definedName>
    <definedName name="hjgyugasd" localSheetId="3" hidden="1">{#N/A,#N/A,FALSE,"Plan1";#N/A,#N/A,FALSE,"Plan2"}</definedName>
    <definedName name="hjgyugasd" localSheetId="33" hidden="1">{#N/A,#N/A,FALSE,"Plan1";#N/A,#N/A,FALSE,"Plan2"}</definedName>
    <definedName name="hjgyugasd" localSheetId="35" hidden="1">{#N/A,#N/A,FALSE,"Plan1";#N/A,#N/A,FALSE,"Plan2"}</definedName>
    <definedName name="hjgyugasd" hidden="1">{#N/A,#N/A,FALSE,"Plan1";#N/A,#N/A,FALSE,"Plan2"}</definedName>
    <definedName name="hjjfyfy" localSheetId="3" hidden="1">{#N/A,#N/A,FALSE,"Plan1";#N/A,#N/A,FALSE,"Plan2"}</definedName>
    <definedName name="hjjfyfy" localSheetId="33" hidden="1">{#N/A,#N/A,FALSE,"Plan1";#N/A,#N/A,FALSE,"Plan2"}</definedName>
    <definedName name="hjjfyfy" localSheetId="35" hidden="1">{#N/A,#N/A,FALSE,"Plan1";#N/A,#N/A,FALSE,"Plan2"}</definedName>
    <definedName name="hjjfyfy" hidden="1">{#N/A,#N/A,FALSE,"Plan1";#N/A,#N/A,FALSE,"Plan2"}</definedName>
    <definedName name="hjkchkvjhdjkgh" localSheetId="3" hidden="1">{#N/A,#N/A,FALSE,"Plan1";#N/A,#N/A,FALSE,"Plan2"}</definedName>
    <definedName name="hjkchkvjhdjkgh" localSheetId="33" hidden="1">{#N/A,#N/A,FALSE,"Plan1";#N/A,#N/A,FALSE,"Plan2"}</definedName>
    <definedName name="hjkchkvjhdjkgh" localSheetId="35" hidden="1">{#N/A,#N/A,FALSE,"Plan1";#N/A,#N/A,FALSE,"Plan2"}</definedName>
    <definedName name="hjkchkvjhdjkgh" hidden="1">{#N/A,#N/A,FALSE,"Plan1";#N/A,#N/A,FALSE,"Plan2"}</definedName>
    <definedName name="hjkfjdyht" localSheetId="3" hidden="1">{#N/A,#N/A,FALSE,"Plan1";#N/A,#N/A,FALSE,"Plan2"}</definedName>
    <definedName name="hjkfjdyht" localSheetId="33" hidden="1">{#N/A,#N/A,FALSE,"Plan1";#N/A,#N/A,FALSE,"Plan2"}</definedName>
    <definedName name="hjkfjdyht" localSheetId="35" hidden="1">{#N/A,#N/A,FALSE,"Plan1";#N/A,#N/A,FALSE,"Plan2"}</definedName>
    <definedName name="hjkfjdyht" hidden="1">{#N/A,#N/A,FALSE,"Plan1";#N/A,#N/A,FALSE,"Plan2"}</definedName>
    <definedName name="hjsdff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3" hidden="1">{#N/A,#N/A,FALSE,"Plan1";#N/A,#N/A,FALSE,"Plan2"}</definedName>
    <definedName name="hjsdkhk" localSheetId="33" hidden="1">{#N/A,#N/A,FALSE,"Plan1";#N/A,#N/A,FALSE,"Plan2"}</definedName>
    <definedName name="hjsdkhk" localSheetId="35" hidden="1">{#N/A,#N/A,FALSE,"Plan1";#N/A,#N/A,FALSE,"Plan2"}</definedName>
    <definedName name="hjsdkhk" hidden="1">{#N/A,#N/A,FALSE,"Plan1";#N/A,#N/A,FALSE,"Plan2"}</definedName>
    <definedName name="hjsdsdrjfrh" hidden="1">2</definedName>
    <definedName name="hjsrdfre" localSheetId="3" hidden="1">{"Econ Consolidado",#N/A,FALSE,"Econ Consol";"Fluxo de Caixa",#N/A,FALSE,"Fluxo Caixa";"Investimentos",#N/A,FALSE,"Investimentos"}</definedName>
    <definedName name="hjsrdfre" localSheetId="33" hidden="1">{"Econ Consolidado",#N/A,FALSE,"Econ Consol";"Fluxo de Caixa",#N/A,FALSE,"Fluxo Caixa";"Investimentos",#N/A,FALSE,"Investimentos"}</definedName>
    <definedName name="hjsrdfre" localSheetId="35" hidden="1">{"Econ Consolidado",#N/A,FALSE,"Econ Consol";"Fluxo de Caixa",#N/A,FALSE,"Fluxo Caixa";"Investimentos",#N/A,FALSE,"Investimentos"}</definedName>
    <definedName name="hjsrdfre" hidden="1">{"Econ Consolidado",#N/A,FALSE,"Econ Consol";"Fluxo de Caixa",#N/A,FALSE,"Fluxo Caixa";"Investimentos",#N/A,FALSE,"Investimentos"}</definedName>
    <definedName name="HKewewsr" localSheetId="3" hidden="1">{#N/A,#N/A,FALSE,"Plan1";#N/A,#N/A,FALSE,"Plan2"}</definedName>
    <definedName name="HKewewsr" localSheetId="33" hidden="1">{#N/A,#N/A,FALSE,"Plan1";#N/A,#N/A,FALSE,"Plan2"}</definedName>
    <definedName name="HKewewsr" localSheetId="35" hidden="1">{#N/A,#N/A,FALSE,"Plan1";#N/A,#N/A,FALSE,"Plan2"}</definedName>
    <definedName name="HKewewsr" hidden="1">{#N/A,#N/A,FALSE,"Plan1";#N/A,#N/A,FALSE,"Plan2"}</definedName>
    <definedName name="hkhdskacd" localSheetId="3" hidden="1">{#N/A,#N/A,FALSE,"Plan1";#N/A,#N/A,FALSE,"Plan2"}</definedName>
    <definedName name="hkhdskacd" localSheetId="33" hidden="1">{#N/A,#N/A,FALSE,"Plan1";#N/A,#N/A,FALSE,"Plan2"}</definedName>
    <definedName name="hkhdskacd" localSheetId="35" hidden="1">{#N/A,#N/A,FALSE,"Plan1";#N/A,#N/A,FALSE,"Plan2"}</definedName>
    <definedName name="hkhdskacd" hidden="1">{#N/A,#N/A,FALSE,"Plan1";#N/A,#N/A,FALSE,"Plan2"}</definedName>
    <definedName name="hkjfgfhgfh" localSheetId="3" hidden="1">{#N/A,#N/A,FALSE,"Plan1";#N/A,#N/A,FALSE,"Plan2"}</definedName>
    <definedName name="hkjfgfhgfh" localSheetId="33" hidden="1">{#N/A,#N/A,FALSE,"Plan1";#N/A,#N/A,FALSE,"Plan2"}</definedName>
    <definedName name="hkjfgfhgfh" localSheetId="35" hidden="1">{#N/A,#N/A,FALSE,"Plan1";#N/A,#N/A,FALSE,"Plan2"}</definedName>
    <definedName name="hkjfgfhgfh" hidden="1">{#N/A,#N/A,FALSE,"Plan1";#N/A,#N/A,FALSE,"Plan2"}</definedName>
    <definedName name="hkjfhgjkfhghfg" localSheetId="3" hidden="1">{#N/A,#N/A,FALSE,"Plan1";#N/A,#N/A,FALSE,"Plan2"}</definedName>
    <definedName name="hkjfhgjkfhghfg" localSheetId="33" hidden="1">{#N/A,#N/A,FALSE,"Plan1";#N/A,#N/A,FALSE,"Plan2"}</definedName>
    <definedName name="hkjfhgjkfhghfg" localSheetId="35" hidden="1">{#N/A,#N/A,FALSE,"Plan1";#N/A,#N/A,FALSE,"Plan2"}</definedName>
    <definedName name="hkjfhgjkfhghfg" hidden="1">{#N/A,#N/A,FALSE,"Plan1";#N/A,#N/A,FALSE,"Plan2"}</definedName>
    <definedName name="HKLZHFRH" localSheetId="3" hidden="1">{#N/A,#N/A,FALSE,"Plan1";#N/A,#N/A,FALSE,"Plan2"}</definedName>
    <definedName name="HKLZHFRH" localSheetId="33" hidden="1">{#N/A,#N/A,FALSE,"Plan1";#N/A,#N/A,FALSE,"Plan2"}</definedName>
    <definedName name="HKLZHFRH" localSheetId="35" hidden="1">{#N/A,#N/A,FALSE,"Plan1";#N/A,#N/A,FALSE,"Plan2"}</definedName>
    <definedName name="HKLZHFRH" hidden="1">{#N/A,#N/A,FALSE,"Plan1";#N/A,#N/A,FALSE,"Plan2"}</definedName>
    <definedName name="ho" localSheetId="33" hidden="1">{#N/A,#N/A,FALSE,"TABLE"}</definedName>
    <definedName name="ho" localSheetId="35" hidden="1">{#N/A,#N/A,FALSE,"TABLE"}</definedName>
    <definedName name="ho" hidden="1">{#N/A,#N/A,FALSE,"TABLE"}</definedName>
    <definedName name="HOJE" localSheetId="12">#REF!</definedName>
    <definedName name="HOJE" localSheetId="30">#REF!</definedName>
    <definedName name="HOJE" localSheetId="28">#REF!</definedName>
    <definedName name="HOJE" localSheetId="27">#REF!</definedName>
    <definedName name="HOJE" localSheetId="18">#REF!</definedName>
    <definedName name="HOJE" localSheetId="7">#REF!</definedName>
    <definedName name="HOJE" localSheetId="23">#REF!</definedName>
    <definedName name="HOJE">#REF!</definedName>
    <definedName name="HONORARIOS" localSheetId="12">#REF!</definedName>
    <definedName name="HONORARIOS" localSheetId="30">#REF!</definedName>
    <definedName name="HONORARIOS" localSheetId="28">#REF!</definedName>
    <definedName name="HONORARIOS" localSheetId="27">#REF!</definedName>
    <definedName name="HONORARIOS" localSheetId="18">#REF!</definedName>
    <definedName name="HONORARIOS" localSheetId="7">#REF!</definedName>
    <definedName name="HONORARIOS" localSheetId="23">#REF!</definedName>
    <definedName name="HONORARIOS">#REF!</definedName>
    <definedName name="HOSPEDES" localSheetId="12">#REF!</definedName>
    <definedName name="HOSPEDES" localSheetId="30">#REF!</definedName>
    <definedName name="HOSPEDES" localSheetId="28">#REF!</definedName>
    <definedName name="HOSPEDES" localSheetId="27">#REF!</definedName>
    <definedName name="HOSPEDES" localSheetId="18">#REF!</definedName>
    <definedName name="HOSPEDES" localSheetId="7">#REF!</definedName>
    <definedName name="HOSPEDES" localSheetId="23">#REF!</definedName>
    <definedName name="HOSPEDES">#REF!</definedName>
    <definedName name="HOTEL" localSheetId="12">#REF!</definedName>
    <definedName name="HOTEL" localSheetId="30">#REF!</definedName>
    <definedName name="HOTEL" localSheetId="28">#REF!</definedName>
    <definedName name="HOTEL" localSheetId="27">#REF!</definedName>
    <definedName name="HOTEL" localSheetId="18">#REF!</definedName>
    <definedName name="HOTEL" localSheetId="7">#REF!</definedName>
    <definedName name="HOTEL" localSheetId="23">#REF!</definedName>
    <definedName name="HOTEL">#REF!</definedName>
    <definedName name="hrterte" localSheetId="3" hidden="1">{#N/A,#N/A,FALSE,"Plan1";#N/A,#N/A,FALSE,"Plan2"}</definedName>
    <definedName name="hrterte" localSheetId="33" hidden="1">{#N/A,#N/A,FALSE,"Plan1";#N/A,#N/A,FALSE,"Plan2"}</definedName>
    <definedName name="hrterte" localSheetId="35" hidden="1">{#N/A,#N/A,FALSE,"Plan1";#N/A,#N/A,FALSE,"Plan2"}</definedName>
    <definedName name="hrterte" hidden="1">{#N/A,#N/A,FALSE,"Plan1";#N/A,#N/A,FALSE,"Plan2"}</definedName>
    <definedName name="hsdf" localSheetId="3" hidden="1">{#N/A,#N/A,FALSE,"Plan1";#N/A,#N/A,FALSE,"Plan2"}</definedName>
    <definedName name="hsdf" localSheetId="33" hidden="1">{#N/A,#N/A,FALSE,"Plan1";#N/A,#N/A,FALSE,"Plan2"}</definedName>
    <definedName name="hsdf" localSheetId="35" hidden="1">{#N/A,#N/A,FALSE,"Plan1";#N/A,#N/A,FALSE,"Plan2"}</definedName>
    <definedName name="hsdf" hidden="1">{#N/A,#N/A,FALSE,"Plan1";#N/A,#N/A,FALSE,"Plan2"}</definedName>
    <definedName name="hsdfgdgudrt" localSheetId="3" hidden="1">{#N/A,#N/A,FALSE,"Plan1";#N/A,#N/A,FALSE,"Plan2"}</definedName>
    <definedName name="hsdfgdgudrt" localSheetId="33" hidden="1">{#N/A,#N/A,FALSE,"Plan1";#N/A,#N/A,FALSE,"Plan2"}</definedName>
    <definedName name="hsdfgdgudrt" localSheetId="35" hidden="1">{#N/A,#N/A,FALSE,"Plan1";#N/A,#N/A,FALSE,"Plan2"}</definedName>
    <definedName name="hsdfgdgudrt" hidden="1">{#N/A,#N/A,FALSE,"Plan1";#N/A,#N/A,FALSE,"Plan2"}</definedName>
    <definedName name="hsdfjkdhur" localSheetId="3" hidden="1">{#N/A,#N/A,FALSE,"Plan1";#N/A,#N/A,FALSE,"Plan2"}</definedName>
    <definedName name="hsdfjkdhur" localSheetId="33" hidden="1">{#N/A,#N/A,FALSE,"Plan1";#N/A,#N/A,FALSE,"Plan2"}</definedName>
    <definedName name="hsdfjkdhur" localSheetId="35" hidden="1">{#N/A,#N/A,FALSE,"Plan1";#N/A,#N/A,FALSE,"Plan2"}</definedName>
    <definedName name="hsdfjkdhur" hidden="1">{#N/A,#N/A,FALSE,"Plan1";#N/A,#N/A,FALSE,"Plan2"}</definedName>
    <definedName name="hsdgftdht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3" hidden="1">{#N/A,#N/A,FALSE,"Plan1";#N/A,#N/A,FALSE,"Plan2"}</definedName>
    <definedName name="hsdjffd" localSheetId="33" hidden="1">{#N/A,#N/A,FALSE,"Plan1";#N/A,#N/A,FALSE,"Plan2"}</definedName>
    <definedName name="hsdjffd" localSheetId="35" hidden="1">{#N/A,#N/A,FALSE,"Plan1";#N/A,#N/A,FALSE,"Plan2"}</definedName>
    <definedName name="hsdjffd" hidden="1">{#N/A,#N/A,FALSE,"Plan1";#N/A,#N/A,FALSE,"Plan2"}</definedName>
    <definedName name="hsdjffe" localSheetId="3" hidden="1">{#N/A,#N/A,FALSE,"Plan1";#N/A,#N/A,FALSE,"Plan2"}</definedName>
    <definedName name="hsdjffe" localSheetId="33" hidden="1">{#N/A,#N/A,FALSE,"Plan1";#N/A,#N/A,FALSE,"Plan2"}</definedName>
    <definedName name="hsdjffe" localSheetId="35" hidden="1">{#N/A,#N/A,FALSE,"Plan1";#N/A,#N/A,FALSE,"Plan2"}</definedName>
    <definedName name="hsdjffe" hidden="1">{#N/A,#N/A,FALSE,"Plan1";#N/A,#N/A,FALSE,"Plan2"}</definedName>
    <definedName name="HSFIHDTR" localSheetId="3" hidden="1">{"Econ Consolidado",#N/A,FALSE,"Econ Consol";"Fluxo de Caixa",#N/A,FALSE,"Fluxo Caixa";"Investimentos",#N/A,FALSE,"Investimentos"}</definedName>
    <definedName name="HSFIHDTR" localSheetId="33" hidden="1">{"Econ Consolidado",#N/A,FALSE,"Econ Consol";"Fluxo de Caixa",#N/A,FALSE,"Fluxo Caixa";"Investimentos",#N/A,FALSE,"Investimentos"}</definedName>
    <definedName name="HSFIHDTR" localSheetId="35" hidden="1">{"Econ Consolidado",#N/A,FALSE,"Econ Consol";"Fluxo de Caixa",#N/A,FALSE,"Fluxo Caixa";"Investimentos",#N/A,FALSE,"Investimentos"}</definedName>
    <definedName name="HSFIHDTR" hidden="1">{"Econ Consolidado",#N/A,FALSE,"Econ Consol";"Fluxo de Caixa",#N/A,FALSE,"Fluxo Caixa";"Investimentos",#N/A,FALSE,"Investimentos"}</definedName>
    <definedName name="hsfjkdshrgf" localSheetId="3" hidden="1">{#N/A,#N/A,FALSE,"Plan1";#N/A,#N/A,FALSE,"Plan2"}</definedName>
    <definedName name="hsfjkdshrgf" localSheetId="33" hidden="1">{#N/A,#N/A,FALSE,"Plan1";#N/A,#N/A,FALSE,"Plan2"}</definedName>
    <definedName name="hsfjkdshrgf" localSheetId="35" hidden="1">{#N/A,#N/A,FALSE,"Plan1";#N/A,#N/A,FALSE,"Plan2"}</definedName>
    <definedName name="hsfjkdshrgf" hidden="1">{#N/A,#N/A,FALSE,"Plan1";#N/A,#N/A,FALSE,"Plan2"}</definedName>
    <definedName name="hthhrtetdre" localSheetId="3" hidden="1">{#N/A,#N/A,FALSE,"Plan1";#N/A,#N/A,FALSE,"Plan2"}</definedName>
    <definedName name="hthhrtetdre" localSheetId="33" hidden="1">{#N/A,#N/A,FALSE,"Plan1";#N/A,#N/A,FALSE,"Plan2"}</definedName>
    <definedName name="hthhrtetdre" localSheetId="35" hidden="1">{#N/A,#N/A,FALSE,"Plan1";#N/A,#N/A,FALSE,"Plan2"}</definedName>
    <definedName name="hthhrtetdre" hidden="1">{#N/A,#N/A,FALSE,"Plan1";#N/A,#N/A,FALSE,"Plan2"}</definedName>
    <definedName name="HTM" localSheetId="12">#REF!</definedName>
    <definedName name="HTM" localSheetId="30">#REF!</definedName>
    <definedName name="HTM" localSheetId="28">#REF!</definedName>
    <definedName name="HTM" localSheetId="27">#REF!</definedName>
    <definedName name="HTM" localSheetId="18">#REF!</definedName>
    <definedName name="HTM" localSheetId="7">#REF!</definedName>
    <definedName name="HTM" localSheetId="23">#REF!</definedName>
    <definedName name="HTM">#REF!</definedName>
    <definedName name="HTML_CodePage" hidden="1">949</definedName>
    <definedName name="HTML_Control" localSheetId="33" hidden="1">{"'장비'!$A$3:$M$12"}</definedName>
    <definedName name="HTML_Control" localSheetId="35" hidden="1">{"'장비'!$A$3:$M$12"}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localSheetId="33" hidden="1">{"'Estimativa de Lançamento-JAN'!$A$1:$AI$85"}</definedName>
    <definedName name="HTML2_CONTROL" localSheetId="35" hidden="1">{"'Estimativa de Lançamento-JAN'!$A$1:$AI$85"}</definedName>
    <definedName name="HTML2_CONTROL" hidden="1">{"'Estimativa de Lançamento-JAN'!$A$1:$AI$85"}</definedName>
    <definedName name="HTML3_CONTROL" localSheetId="33" hidden="1">{"'Estimativa de Lançamento-JAN'!$A$1:$AI$85"}</definedName>
    <definedName name="HTML3_CONTROL" localSheetId="35" hidden="1">{"'Estimativa de Lançamento-JAN'!$A$1:$AI$85"}</definedName>
    <definedName name="HTML3_CONTROL" hidden="1">{"'Estimativa de Lançamento-JAN'!$A$1:$AI$85"}</definedName>
    <definedName name="HTMLControl" localSheetId="33" hidden="1">{"'Edit'!$A$1:$V$2277"}</definedName>
    <definedName name="HTMLControl" localSheetId="35" hidden="1">{"'Edit'!$A$1:$V$2277"}</definedName>
    <definedName name="HTMLControl" hidden="1">{"'Edit'!$A$1:$V$2277"}</definedName>
    <definedName name="HTN" localSheetId="12">#REF!</definedName>
    <definedName name="HTN" localSheetId="30">#REF!</definedName>
    <definedName name="HTN" localSheetId="28">#REF!</definedName>
    <definedName name="HTN" localSheetId="27">#REF!</definedName>
    <definedName name="HTN" localSheetId="18">#REF!</definedName>
    <definedName name="HTN" localSheetId="7">#REF!</definedName>
    <definedName name="HTN" localSheetId="23">#REF!</definedName>
    <definedName name="HTN">#REF!</definedName>
    <definedName name="HVJKHGKFXHFD" localSheetId="3" hidden="1">{#N/A,#N/A,FALSE,"Plan1";#N/A,#N/A,FALSE,"Plan2"}</definedName>
    <definedName name="HVJKHGKFXHFD" localSheetId="33" hidden="1">{#N/A,#N/A,FALSE,"Plan1";#N/A,#N/A,FALSE,"Plan2"}</definedName>
    <definedName name="HVJKHGKFXHFD" localSheetId="35" hidden="1">{#N/A,#N/A,FALSE,"Plan1";#N/A,#N/A,FALSE,"Plan2"}</definedName>
    <definedName name="HVJKHGKFXHFD" hidden="1">{#N/A,#N/A,FALSE,"Plan1";#N/A,#N/A,FALSE,"Plan2"}</definedName>
    <definedName name="hwekjhekhf" localSheetId="3" hidden="1">{#N/A,#N/A,FALSE,"Plan1";#N/A,#N/A,FALSE,"Plan2"}</definedName>
    <definedName name="hwekjhekhf" localSheetId="33" hidden="1">{#N/A,#N/A,FALSE,"Plan1";#N/A,#N/A,FALSE,"Plan2"}</definedName>
    <definedName name="hwekjhekhf" localSheetId="35" hidden="1">{#N/A,#N/A,FALSE,"Plan1";#N/A,#N/A,FALSE,"Plan2"}</definedName>
    <definedName name="hwekjhekhf" hidden="1">{#N/A,#N/A,FALSE,"Plan1";#N/A,#N/A,FALSE,"Plan2"}</definedName>
    <definedName name="HXFRE" localSheetId="3" hidden="1">{#N/A,#N/A,FALSE,"Plan1";#N/A,#N/A,FALSE,"Plan2"}</definedName>
    <definedName name="HXFRE" localSheetId="33" hidden="1">{#N/A,#N/A,FALSE,"Plan1";#N/A,#N/A,FALSE,"Plan2"}</definedName>
    <definedName name="HXFRE" localSheetId="35" hidden="1">{#N/A,#N/A,FALSE,"Plan1";#N/A,#N/A,FALSE,"Plan2"}</definedName>
    <definedName name="HXFRE" hidden="1">{#N/A,#N/A,FALSE,"Plan1";#N/A,#N/A,FALSE,"Plan2"}</definedName>
    <definedName name="HXKJFGDKHG" localSheetId="3" hidden="1">{#N/A,#N/A,FALSE,"Plan1";#N/A,#N/A,FALSE,"Plan2"}</definedName>
    <definedName name="HXKJFGDKHG" localSheetId="33" hidden="1">{#N/A,#N/A,FALSE,"Plan1";#N/A,#N/A,FALSE,"Plan2"}</definedName>
    <definedName name="HXKJFGDKHG" localSheetId="35" hidden="1">{#N/A,#N/A,FALSE,"Plan1";#N/A,#N/A,FALSE,"Plan2"}</definedName>
    <definedName name="HXKJFGDKHG" hidden="1">{#N/A,#N/A,FALSE,"Plan1";#N/A,#N/A,FALSE,"Plan2"}</definedName>
    <definedName name="I" localSheetId="12">#REF!</definedName>
    <definedName name="I" localSheetId="30">#REF!</definedName>
    <definedName name="I" localSheetId="28">#REF!</definedName>
    <definedName name="I" localSheetId="27">#REF!</definedName>
    <definedName name="I" localSheetId="21">#REF!</definedName>
    <definedName name="I" localSheetId="18">#REF!</definedName>
    <definedName name="I" localSheetId="7">#REF!</definedName>
    <definedName name="I" localSheetId="23">#REF!</definedName>
    <definedName name="I">#REF!</definedName>
    <definedName name="ibir_cdi" localSheetId="12">#REF!</definedName>
    <definedName name="ibir_cdi" localSheetId="30">#REF!</definedName>
    <definedName name="ibir_cdi" localSheetId="28">#REF!</definedName>
    <definedName name="ibir_cdi" localSheetId="27">#REF!</definedName>
    <definedName name="ibir_cdi" localSheetId="18">#REF!</definedName>
    <definedName name="ibir_cdi" localSheetId="7">#REF!</definedName>
    <definedName name="ibir_cdi" localSheetId="23">#REF!</definedName>
    <definedName name="ibir_cdi">#REF!</definedName>
    <definedName name="ibir_hist" localSheetId="12">#REF!</definedName>
    <definedName name="ibir_hist" localSheetId="30">#REF!</definedName>
    <definedName name="ibir_hist" localSheetId="28">#REF!</definedName>
    <definedName name="ibir_hist" localSheetId="27">#REF!</definedName>
    <definedName name="ibir_hist" localSheetId="18">#REF!</definedName>
    <definedName name="ibir_hist" localSheetId="7">#REF!</definedName>
    <definedName name="ibir_hist" localSheetId="23">#REF!</definedName>
    <definedName name="ibir_hist">#REF!</definedName>
    <definedName name="ibir_uss" localSheetId="12">#REF!</definedName>
    <definedName name="ibir_uss" localSheetId="30">#REF!</definedName>
    <definedName name="ibir_uss" localSheetId="28">#REF!</definedName>
    <definedName name="ibir_uss" localSheetId="27">#REF!</definedName>
    <definedName name="ibir_uss" localSheetId="18">#REF!</definedName>
    <definedName name="ibir_uss" localSheetId="7">#REF!</definedName>
    <definedName name="ibir_uss" localSheetId="23">#REF!</definedName>
    <definedName name="ibir_uss">#REF!</definedName>
    <definedName name="IC" localSheetId="12" hidden="1">#REF!</definedName>
    <definedName name="IC" localSheetId="30" hidden="1">#REF!</definedName>
    <definedName name="IC" localSheetId="28" hidden="1">#REF!</definedName>
    <definedName name="IC" localSheetId="27" hidden="1">#REF!</definedName>
    <definedName name="IC" localSheetId="18" hidden="1">#REF!</definedName>
    <definedName name="IC" localSheetId="7" hidden="1">#REF!</definedName>
    <definedName name="IC" localSheetId="23" hidden="1">#REF!</definedName>
    <definedName name="IC" hidden="1">#REF!</definedName>
    <definedName name="icoa_cdi" localSheetId="12">#REF!</definedName>
    <definedName name="icoa_cdi" localSheetId="30">#REF!</definedName>
    <definedName name="icoa_cdi" localSheetId="28">#REF!</definedName>
    <definedName name="icoa_cdi" localSheetId="27">#REF!</definedName>
    <definedName name="icoa_cdi" localSheetId="18">#REF!</definedName>
    <definedName name="icoa_cdi" localSheetId="7">#REF!</definedName>
    <definedName name="icoa_cdi" localSheetId="23">#REF!</definedName>
    <definedName name="icoa_cdi">#REF!</definedName>
    <definedName name="icoa_hist" localSheetId="12">#REF!</definedName>
    <definedName name="icoa_hist" localSheetId="30">#REF!</definedName>
    <definedName name="icoa_hist" localSheetId="28">#REF!</definedName>
    <definedName name="icoa_hist" localSheetId="27">#REF!</definedName>
    <definedName name="icoa_hist" localSheetId="18">#REF!</definedName>
    <definedName name="icoa_hist" localSheetId="7">#REF!</definedName>
    <definedName name="icoa_hist" localSheetId="23">#REF!</definedName>
    <definedName name="icoa_hist">#REF!</definedName>
    <definedName name="icoa_uss" localSheetId="12">#REF!</definedName>
    <definedName name="icoa_uss" localSheetId="30">#REF!</definedName>
    <definedName name="icoa_uss" localSheetId="28">#REF!</definedName>
    <definedName name="icoa_uss" localSheetId="27">#REF!</definedName>
    <definedName name="icoa_uss" localSheetId="18">#REF!</definedName>
    <definedName name="icoa_uss" localSheetId="7">#REF!</definedName>
    <definedName name="icoa_uss" localSheetId="23">#REF!</definedName>
    <definedName name="icoa_uss">#REF!</definedName>
    <definedName name="Identificação" localSheetId="12">#REF!</definedName>
    <definedName name="Identificação" localSheetId="30">#REF!</definedName>
    <definedName name="Identificação" localSheetId="28">#REF!</definedName>
    <definedName name="Identificação" localSheetId="27">#REF!</definedName>
    <definedName name="Identificação" localSheetId="18">#REF!</definedName>
    <definedName name="Identificação" localSheetId="7">#REF!</definedName>
    <definedName name="Identificação" localSheetId="23">#REF!</definedName>
    <definedName name="Identificação">#REF!</definedName>
    <definedName name="idfhgkjhfkthy" localSheetId="3" hidden="1">{#N/A,#N/A,FALSE,"Plan1";#N/A,#N/A,FALSE,"Plan2"}</definedName>
    <definedName name="idfhgkjhfkthy" localSheetId="33" hidden="1">{#N/A,#N/A,FALSE,"Plan1";#N/A,#N/A,FALSE,"Plan2"}</definedName>
    <definedName name="idfhgkjhfkthy" localSheetId="35" hidden="1">{#N/A,#N/A,FALSE,"Plan1";#N/A,#N/A,FALSE,"Plan2"}</definedName>
    <definedName name="idfhgkjhfkthy" hidden="1">{#N/A,#N/A,FALSE,"Plan1";#N/A,#N/A,FALSE,"Plan2"}</definedName>
    <definedName name="ieroweft" localSheetId="3" hidden="1">{#N/A,#N/A,FALSE,"Plan1";#N/A,#N/A,FALSE,"Plan2"}</definedName>
    <definedName name="ieroweft" localSheetId="33" hidden="1">{#N/A,#N/A,FALSE,"Plan1";#N/A,#N/A,FALSE,"Plan2"}</definedName>
    <definedName name="ieroweft" localSheetId="35" hidden="1">{#N/A,#N/A,FALSE,"Plan1";#N/A,#N/A,FALSE,"Plan2"}</definedName>
    <definedName name="ieroweft" hidden="1">{#N/A,#N/A,FALSE,"Plan1";#N/A,#N/A,FALSE,"Plan2"}</definedName>
    <definedName name="iewpotqi5poejy" localSheetId="3" hidden="1">{#N/A,#N/A,FALSE,"Plan1";#N/A,#N/A,FALSE,"Plan2"}</definedName>
    <definedName name="iewpotqi5poejy" localSheetId="33" hidden="1">{#N/A,#N/A,FALSE,"Plan1";#N/A,#N/A,FALSE,"Plan2"}</definedName>
    <definedName name="iewpotqi5poejy" localSheetId="35" hidden="1">{#N/A,#N/A,FALSE,"Plan1";#N/A,#N/A,FALSE,"Plan2"}</definedName>
    <definedName name="iewpotqi5poejy" hidden="1">{#N/A,#N/A,FALSE,"Plan1";#N/A,#N/A,FALSE,"Plan2"}</definedName>
    <definedName name="ihdfifguhgfuiyh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3" hidden="1">#REF!</definedName>
    <definedName name="iheidhgufr" localSheetId="12" hidden="1">#REF!</definedName>
    <definedName name="iheidhgufr" localSheetId="30" hidden="1">#REF!</definedName>
    <definedName name="iheidhgufr" localSheetId="28" hidden="1">#REF!</definedName>
    <definedName name="iheidhgufr" localSheetId="27" hidden="1">#REF!</definedName>
    <definedName name="iheidhgufr" localSheetId="18" hidden="1">#REF!</definedName>
    <definedName name="iheidhgufr" localSheetId="7" hidden="1">#REF!</definedName>
    <definedName name="iheidhgufr" localSheetId="23" hidden="1">#REF!</definedName>
    <definedName name="iheidhgufr" hidden="1">#REF!</definedName>
    <definedName name="ihfdkjhktgrd" localSheetId="3" hidden="1">{#N/A,#N/A,FALSE,"Plan1";#N/A,#N/A,FALSE,"Plan2"}</definedName>
    <definedName name="ihfdkjhktgrd" localSheetId="33" hidden="1">{#N/A,#N/A,FALSE,"Plan1";#N/A,#N/A,FALSE,"Plan2"}</definedName>
    <definedName name="ihfdkjhktgrd" localSheetId="35" hidden="1">{#N/A,#N/A,FALSE,"Plan1";#N/A,#N/A,FALSE,"Plan2"}</definedName>
    <definedName name="ihfdkjhktgrd" hidden="1">{#N/A,#N/A,FALSE,"Plan1";#N/A,#N/A,FALSE,"Plan2"}</definedName>
    <definedName name="ihrtetw4r" localSheetId="3" hidden="1">{#N/A,#N/A,FALSE,"Plan1";#N/A,#N/A,FALSE,"Plan2"}</definedName>
    <definedName name="ihrtetw4r" localSheetId="33" hidden="1">{#N/A,#N/A,FALSE,"Plan1";#N/A,#N/A,FALSE,"Plan2"}</definedName>
    <definedName name="ihrtetw4r" localSheetId="35" hidden="1">{#N/A,#N/A,FALSE,"Plan1";#N/A,#N/A,FALSE,"Plan2"}</definedName>
    <definedName name="ihrtetw4r" hidden="1">{#N/A,#N/A,FALSE,"Plan1";#N/A,#N/A,FALSE,"Plan2"}</definedName>
    <definedName name="II" localSheetId="12">#REF!</definedName>
    <definedName name="II" localSheetId="30">#REF!</definedName>
    <definedName name="II" localSheetId="28">#REF!</definedName>
    <definedName name="II" localSheetId="27">#REF!</definedName>
    <definedName name="II" localSheetId="21">#REF!</definedName>
    <definedName name="II" localSheetId="18">#REF!</definedName>
    <definedName name="II" localSheetId="7">#REF!</definedName>
    <definedName name="II" localSheetId="23">#REF!</definedName>
    <definedName name="II">#REF!</definedName>
    <definedName name="IIASDSAWE" localSheetId="3" hidden="1">{"Econ Consolidado",#N/A,FALSE,"Econ Consol";"Fluxo de Caixa",#N/A,FALSE,"Fluxo Caixa";"Investimentos",#N/A,FALSE,"Investimentos"}</definedName>
    <definedName name="IIASDSAWE" localSheetId="33" hidden="1">{"Econ Consolidado",#N/A,FALSE,"Econ Consol";"Fluxo de Caixa",#N/A,FALSE,"Fluxo Caixa";"Investimentos",#N/A,FALSE,"Investimentos"}</definedName>
    <definedName name="IIASDSAWE" localSheetId="35" hidden="1">{"Econ Consolidado",#N/A,FALSE,"Econ Consol";"Fluxo de Caixa",#N/A,FALSE,"Fluxo Caixa";"Investimentos",#N/A,FALSE,"Investimentos"}</definedName>
    <definedName name="IIASDSAWE" hidden="1">{"Econ Consolidado",#N/A,FALSE,"Econ Consol";"Fluxo de Caixa",#N/A,FALSE,"Fluxo Caixa";"Investimentos",#N/A,FALSE,"Investimentos"}</definedName>
    <definedName name="III" localSheetId="12">#REF!</definedName>
    <definedName name="III" localSheetId="30">#REF!</definedName>
    <definedName name="III" localSheetId="28">#REF!</definedName>
    <definedName name="III" localSheetId="27">#REF!</definedName>
    <definedName name="III" localSheetId="21">#REF!</definedName>
    <definedName name="III" localSheetId="18">#REF!</definedName>
    <definedName name="III" localSheetId="7">#REF!</definedName>
    <definedName name="III" localSheetId="23">#REF!</definedName>
    <definedName name="III">#REF!</definedName>
    <definedName name="iinstalaçõe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3" hidden="1">{#N/A,#N/A,FALSE,"Plan1";#N/A,#N/A,FALSE,"Plan2"}</definedName>
    <definedName name="ilhweilrji4e" localSheetId="33" hidden="1">{#N/A,#N/A,FALSE,"Plan1";#N/A,#N/A,FALSE,"Plan2"}</definedName>
    <definedName name="ilhweilrji4e" localSheetId="35" hidden="1">{#N/A,#N/A,FALSE,"Plan1";#N/A,#N/A,FALSE,"Plan2"}</definedName>
    <definedName name="ilhweilrji4e" hidden="1">{#N/A,#N/A,FALSE,"Plan1";#N/A,#N/A,FALSE,"Plan2"}</definedName>
    <definedName name="ilsdr4wf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 localSheetId="12">#REF!</definedName>
    <definedName name="IM" localSheetId="30">#REF!</definedName>
    <definedName name="IM" localSheetId="28">#REF!</definedName>
    <definedName name="IM" localSheetId="27">#REF!</definedName>
    <definedName name="IM" localSheetId="18">#REF!</definedName>
    <definedName name="IM" localSheetId="7">#REF!</definedName>
    <definedName name="IM" localSheetId="23">#REF!</definedName>
    <definedName name="IM">#REF!</definedName>
    <definedName name="IMP" localSheetId="12" hidden="1">#REF!</definedName>
    <definedName name="IMP" localSheetId="30" hidden="1">#REF!</definedName>
    <definedName name="IMP" localSheetId="28" hidden="1">#REF!</definedName>
    <definedName name="IMP" localSheetId="27" hidden="1">#REF!</definedName>
    <definedName name="IMP" localSheetId="18" hidden="1">#REF!</definedName>
    <definedName name="IMP" localSheetId="7" hidden="1">#REF!</definedName>
    <definedName name="IMP" localSheetId="23" hidden="1">#REF!</definedName>
    <definedName name="IMP" hidden="1">#REF!</definedName>
    <definedName name="IMPERMEABILIZ." localSheetId="12">#REF!</definedName>
    <definedName name="IMPERMEABILIZ." localSheetId="30">#REF!</definedName>
    <definedName name="IMPERMEABILIZ." localSheetId="28">#REF!</definedName>
    <definedName name="IMPERMEABILIZ." localSheetId="27">#REF!</definedName>
    <definedName name="IMPERMEABILIZ." localSheetId="18">#REF!</definedName>
    <definedName name="IMPERMEABILIZ." localSheetId="7">#REF!</definedName>
    <definedName name="IMPERMEABILIZ." localSheetId="23">#REF!</definedName>
    <definedName name="IMPERMEABILIZ.">#REF!</definedName>
    <definedName name="IMPF" localSheetId="12">#REF!</definedName>
    <definedName name="IMPF" localSheetId="30">#REF!</definedName>
    <definedName name="IMPF" localSheetId="28">#REF!</definedName>
    <definedName name="IMPF" localSheetId="27">#REF!</definedName>
    <definedName name="IMPF" localSheetId="18">#REF!</definedName>
    <definedName name="IMPF" localSheetId="7">#REF!</definedName>
    <definedName name="IMPF" localSheetId="23">#REF!</definedName>
    <definedName name="IMPF">#REF!</definedName>
    <definedName name="IMPI" localSheetId="12">#REF!</definedName>
    <definedName name="IMPI" localSheetId="30">#REF!</definedName>
    <definedName name="IMPI" localSheetId="28">#REF!</definedName>
    <definedName name="IMPI" localSheetId="27">#REF!</definedName>
    <definedName name="IMPI" localSheetId="18">#REF!</definedName>
    <definedName name="IMPI" localSheetId="7">#REF!</definedName>
    <definedName name="IMPI" localSheetId="23">#REF!</definedName>
    <definedName name="IMPI">#REF!</definedName>
    <definedName name="IMPOSTO" localSheetId="12">#REF!</definedName>
    <definedName name="IMPOSTO" localSheetId="30">#REF!</definedName>
    <definedName name="IMPOSTO" localSheetId="28">#REF!</definedName>
    <definedName name="IMPOSTO" localSheetId="27">#REF!</definedName>
    <definedName name="IMPOSTO" localSheetId="18">#REF!</definedName>
    <definedName name="IMPOSTO" localSheetId="7">#REF!</definedName>
    <definedName name="IMPOSTO" localSheetId="23">#REF!</definedName>
    <definedName name="IMPOSTO">#REF!</definedName>
    <definedName name="INCC" localSheetId="12">#REF!</definedName>
    <definedName name="INCC" localSheetId="30">#REF!</definedName>
    <definedName name="INCC" localSheetId="28">#REF!</definedName>
    <definedName name="INCC" localSheetId="27">#REF!</definedName>
    <definedName name="INCC" localSheetId="18">#REF!</definedName>
    <definedName name="INCC" localSheetId="7">#REF!</definedName>
    <definedName name="INCC" localSheetId="23">#REF!</definedName>
    <definedName name="INCC">#REF!</definedName>
    <definedName name="Incorido_Aplicado_X_Físico" localSheetId="12">#REF!</definedName>
    <definedName name="Incorido_Aplicado_X_Físico" localSheetId="30">#REF!</definedName>
    <definedName name="Incorido_Aplicado_X_Físico" localSheetId="28">#REF!</definedName>
    <definedName name="Incorido_Aplicado_X_Físico" localSheetId="27">#REF!</definedName>
    <definedName name="Incorido_Aplicado_X_Físico" localSheetId="18">#REF!</definedName>
    <definedName name="Incorido_Aplicado_X_Físico" localSheetId="7">#REF!</definedName>
    <definedName name="Incorido_Aplicado_X_Físico" localSheetId="23">#REF!</definedName>
    <definedName name="Incorido_Aplicado_X_Físico">#REF!</definedName>
    <definedName name="INCORPORAÇÃO" localSheetId="12">#REF!</definedName>
    <definedName name="INCORPORAÇÃO" localSheetId="30">#REF!</definedName>
    <definedName name="INCORPORAÇÃO" localSheetId="28">#REF!</definedName>
    <definedName name="INCORPORAÇÃO" localSheetId="27">#REF!</definedName>
    <definedName name="INCORPORAÇÃO" localSheetId="18">#REF!</definedName>
    <definedName name="INCORPORAÇÃO" localSheetId="7">#REF!</definedName>
    <definedName name="INCORPORAÇÃO" localSheetId="23">#REF!</definedName>
    <definedName name="INCORPORAÇÃO">#REF!</definedName>
    <definedName name="Index" localSheetId="12" hidden="1">#REF!</definedName>
    <definedName name="Index" localSheetId="30" hidden="1">#REF!</definedName>
    <definedName name="Index" localSheetId="28" hidden="1">#REF!</definedName>
    <definedName name="Index" localSheetId="27" hidden="1">#REF!</definedName>
    <definedName name="Index" localSheetId="18" hidden="1">#REF!</definedName>
    <definedName name="Index" localSheetId="7" hidden="1">#REF!</definedName>
    <definedName name="Index" localSheetId="23" hidden="1">#REF!</definedName>
    <definedName name="Index" hidden="1">#REF!</definedName>
    <definedName name="Indice" localSheetId="12">#REF!</definedName>
    <definedName name="Indice" localSheetId="30">#REF!</definedName>
    <definedName name="Indice" localSheetId="28">#REF!</definedName>
    <definedName name="Indice" localSheetId="27">#REF!</definedName>
    <definedName name="Indice" localSheetId="18">#REF!</definedName>
    <definedName name="Indice" localSheetId="7">#REF!</definedName>
    <definedName name="Indice" localSheetId="23">#REF!</definedName>
    <definedName name="Indice">#REF!</definedName>
    <definedName name="indice_correcao_proj" localSheetId="12">#REF!</definedName>
    <definedName name="indice_correcao_proj" localSheetId="30">#REF!</definedName>
    <definedName name="indice_correcao_proj" localSheetId="28">#REF!</definedName>
    <definedName name="indice_correcao_proj" localSheetId="27">#REF!</definedName>
    <definedName name="indice_correcao_proj" localSheetId="18">#REF!</definedName>
    <definedName name="indice_correcao_proj" localSheetId="7">#REF!</definedName>
    <definedName name="indice_correcao_proj" localSheetId="23">#REF!</definedName>
    <definedName name="indice_correcao_proj">#REF!</definedName>
    <definedName name="infra" localSheetId="12">#REF!</definedName>
    <definedName name="infra" localSheetId="30">#REF!</definedName>
    <definedName name="infra" localSheetId="28">#REF!</definedName>
    <definedName name="infra" localSheetId="27">#REF!</definedName>
    <definedName name="infra" localSheetId="18">#REF!</definedName>
    <definedName name="infra" localSheetId="7">#REF!</definedName>
    <definedName name="infra" localSheetId="23">#REF!</definedName>
    <definedName name="infra">#REF!</definedName>
    <definedName name="Infra_OBra_Sienge" localSheetId="12">#REF!</definedName>
    <definedName name="Infra_OBra_Sienge" localSheetId="30">#REF!</definedName>
    <definedName name="Infra_OBra_Sienge" localSheetId="28">#REF!</definedName>
    <definedName name="Infra_OBra_Sienge" localSheetId="27">#REF!</definedName>
    <definedName name="Infra_OBra_Sienge" localSheetId="18">#REF!</definedName>
    <definedName name="Infra_OBra_Sienge" localSheetId="7">#REF!</definedName>
    <definedName name="Infra_OBra_Sienge" localSheetId="23">#REF!</definedName>
    <definedName name="Infra_OBra_Sienge">#REF!</definedName>
    <definedName name="Infra_Projetos_Sienge" localSheetId="12">#REF!</definedName>
    <definedName name="Infra_Projetos_Sienge" localSheetId="30">#REF!</definedName>
    <definedName name="Infra_Projetos_Sienge" localSheetId="28">#REF!</definedName>
    <definedName name="Infra_Projetos_Sienge" localSheetId="27">#REF!</definedName>
    <definedName name="Infra_Projetos_Sienge" localSheetId="18">#REF!</definedName>
    <definedName name="Infra_Projetos_Sienge" localSheetId="7">#REF!</definedName>
    <definedName name="Infra_Projetos_Sienge" localSheetId="23">#REF!</definedName>
    <definedName name="Infra_Projetos_Sienge">#REF!</definedName>
    <definedName name="INFRA2" localSheetId="12">#REF!</definedName>
    <definedName name="INFRA2" localSheetId="30">#REF!</definedName>
    <definedName name="INFRA2" localSheetId="28">#REF!</definedName>
    <definedName name="INFRA2" localSheetId="27">#REF!</definedName>
    <definedName name="INFRA2" localSheetId="18">#REF!</definedName>
    <definedName name="INFRA2" localSheetId="7">#REF!</definedName>
    <definedName name="INFRA2" localSheetId="23">#REF!</definedName>
    <definedName name="INFRA2">#REF!</definedName>
    <definedName name="Insatalaçõe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 localSheetId="12">#REF!</definedName>
    <definedName name="INSS_Bloqueado_Fin_Medição" localSheetId="30">#REF!</definedName>
    <definedName name="INSS_Bloqueado_Fin_Medição" localSheetId="28">#REF!</definedName>
    <definedName name="INSS_Bloqueado_Fin_Medição" localSheetId="27">#REF!</definedName>
    <definedName name="INSS_Bloqueado_Fin_Medição" localSheetId="18">#REF!</definedName>
    <definedName name="INSS_Bloqueado_Fin_Medição" localSheetId="7">#REF!</definedName>
    <definedName name="INSS_Bloqueado_Fin_Medição" localSheetId="23">#REF!</definedName>
    <definedName name="INSS_Bloqueado_Fin_Medição">#REF!</definedName>
    <definedName name="Inss_Bloqueado_Previsão_Fin_Medições" localSheetId="12">#REF!</definedName>
    <definedName name="Inss_Bloqueado_Previsão_Fin_Medições" localSheetId="30">#REF!</definedName>
    <definedName name="Inss_Bloqueado_Previsão_Fin_Medições" localSheetId="28">#REF!</definedName>
    <definedName name="Inss_Bloqueado_Previsão_Fin_Medições" localSheetId="27">#REF!</definedName>
    <definedName name="Inss_Bloqueado_Previsão_Fin_Medições" localSheetId="18">#REF!</definedName>
    <definedName name="Inss_Bloqueado_Previsão_Fin_Medições" localSheetId="7">#REF!</definedName>
    <definedName name="Inss_Bloqueado_Previsão_Fin_Medições" localSheetId="23">#REF!</definedName>
    <definedName name="Inss_Bloqueado_Previsão_Fin_Medições">#REF!</definedName>
    <definedName name="instalaçoes2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 localSheetId="12">OFFSET(#REF!,0,0,COUNTA(#REF!),1)</definedName>
    <definedName name="INSU" localSheetId="30">OFFSET(#REF!,0,0,COUNTA(#REF!),1)</definedName>
    <definedName name="INSU" localSheetId="28">OFFSET(#REF!,0,0,COUNTA(#REF!),1)</definedName>
    <definedName name="INSU" localSheetId="27">OFFSET(#REF!,0,0,COUNTA(#REF!),1)</definedName>
    <definedName name="INSU" localSheetId="18">OFFSET(#REF!,0,0,COUNTA(#REF!),1)</definedName>
    <definedName name="INSU" localSheetId="7">OFFSET(#REF!,0,0,COUNTA(#REF!),1)</definedName>
    <definedName name="INSU" localSheetId="23">OFFSET(#REF!,0,0,COUNTA(#REF!),1)</definedName>
    <definedName name="INSU">OFFSET(#REF!,0,0,COUNTA(#REF!),1)</definedName>
    <definedName name="INSUMOS" localSheetId="12">#REF!</definedName>
    <definedName name="INSUMOS" localSheetId="30">#REF!</definedName>
    <definedName name="INSUMOS" localSheetId="28">#REF!</definedName>
    <definedName name="INSUMOS" localSheetId="27">#REF!</definedName>
    <definedName name="INSUMOS" localSheetId="18">#REF!</definedName>
    <definedName name="INSUMOS" localSheetId="7">#REF!</definedName>
    <definedName name="INSUMOS" localSheetId="23">#REF!</definedName>
    <definedName name="INSUMOS">#REF!</definedName>
    <definedName name="INT.FILTRO.NBASE" localSheetId="12">#REF!</definedName>
    <definedName name="INT.FILTRO.NBASE" localSheetId="30">#REF!</definedName>
    <definedName name="INT.FILTRO.NBASE" localSheetId="28">#REF!</definedName>
    <definedName name="INT.FILTRO.NBASE" localSheetId="27">#REF!</definedName>
    <definedName name="INT.FILTRO.NBASE" localSheetId="18">#REF!</definedName>
    <definedName name="INT.FILTRO.NBASE" localSheetId="7">#REF!</definedName>
    <definedName name="INT.FILTRO.NBASE" localSheetId="23">#REF!</definedName>
    <definedName name="INT.FILTRO.NBASE">#REF!</definedName>
    <definedName name="INTEGRA" localSheetId="33" hidden="1">{"'Edit'!$A$1:$V$2277"}</definedName>
    <definedName name="INTEGRA" localSheetId="35" hidden="1">{"'Edit'!$A$1:$V$2277"}</definedName>
    <definedName name="INTEGRA" hidden="1">{"'Edit'!$A$1:$V$2277"}</definedName>
    <definedName name="IO">196.003</definedName>
    <definedName name="ioeriotyt" localSheetId="3" hidden="1">{#N/A,#N/A,FALSE,"Plan1";#N/A,#N/A,FALSE,"Plan2"}</definedName>
    <definedName name="ioeriotyt" localSheetId="33" hidden="1">{#N/A,#N/A,FALSE,"Plan1";#N/A,#N/A,FALSE,"Plan2"}</definedName>
    <definedName name="ioeriotyt" localSheetId="35" hidden="1">{#N/A,#N/A,FALSE,"Plan1";#N/A,#N/A,FALSE,"Plan2"}</definedName>
    <definedName name="ioeriotyt" hidden="1">{#N/A,#N/A,FALSE,"Plan1";#N/A,#N/A,FALSE,"Plan2"}</definedName>
    <definedName name="iohudtorh" localSheetId="3" hidden="1">{#N/A,#N/A,FALSE,"Plan1";#N/A,#N/A,FALSE,"Plan2"}</definedName>
    <definedName name="iohudtorh" localSheetId="33" hidden="1">{#N/A,#N/A,FALSE,"Plan1";#N/A,#N/A,FALSE,"Plan2"}</definedName>
    <definedName name="iohudtorh" localSheetId="35" hidden="1">{#N/A,#N/A,FALSE,"Plan1";#N/A,#N/A,FALSE,"Plan2"}</definedName>
    <definedName name="iohudtorh" hidden="1">{#N/A,#N/A,FALSE,"Plan1";#N/A,#N/A,FALSE,"Plan2"}</definedName>
    <definedName name="iojtkheayed" localSheetId="3" hidden="1">{#N/A,#N/A,FALSE,"Plan1";#N/A,#N/A,FALSE,"Plan2"}</definedName>
    <definedName name="iojtkheayed" localSheetId="33" hidden="1">{#N/A,#N/A,FALSE,"Plan1";#N/A,#N/A,FALSE,"Plan2"}</definedName>
    <definedName name="iojtkheayed" localSheetId="35" hidden="1">{#N/A,#N/A,FALSE,"Plan1";#N/A,#N/A,FALSE,"Plan2"}</definedName>
    <definedName name="iojtkheayed" hidden="1">{#N/A,#N/A,FALSE,"Plan1";#N/A,#N/A,FALSE,"Plan2"}</definedName>
    <definedName name="iouweroieuw4" localSheetId="3" hidden="1">{#N/A,#N/A,FALSE,"Plan1";#N/A,#N/A,FALSE,"Plan2"}</definedName>
    <definedName name="iouweroieuw4" localSheetId="33" hidden="1">{#N/A,#N/A,FALSE,"Plan1";#N/A,#N/A,FALSE,"Plan2"}</definedName>
    <definedName name="iouweroieuw4" localSheetId="35" hidden="1">{#N/A,#N/A,FALSE,"Plan1";#N/A,#N/A,FALSE,"Plan2"}</definedName>
    <definedName name="iouweroieuw4" hidden="1">{#N/A,#N/A,FALSE,"Plan1";#N/A,#N/A,FALSE,"Plan2"}</definedName>
    <definedName name="iphifpgh" localSheetId="3" hidden="1">{#N/A,#N/A,FALSE,"Plan1";#N/A,#N/A,FALSE,"Plan2"}</definedName>
    <definedName name="iphifpgh" localSheetId="33" hidden="1">{#N/A,#N/A,FALSE,"Plan1";#N/A,#N/A,FALSE,"Plan2"}</definedName>
    <definedName name="iphifpgh" localSheetId="35" hidden="1">{#N/A,#N/A,FALSE,"Plan1";#N/A,#N/A,FALSE,"Plan2"}</definedName>
    <definedName name="iphifpgh" hidden="1">{#N/A,#N/A,FALSE,"Plan1";#N/A,#N/A,FALSE,"Plan2"}</definedName>
    <definedName name="IPMF" localSheetId="12">#REF!</definedName>
    <definedName name="IPMF" localSheetId="30">#REF!</definedName>
    <definedName name="IPMF" localSheetId="28">#REF!</definedName>
    <definedName name="IPMF" localSheetId="27">#REF!</definedName>
    <definedName name="IPMF" localSheetId="18">#REF!</definedName>
    <definedName name="IPMF" localSheetId="7">#REF!</definedName>
    <definedName name="IPMF" localSheetId="23">#REF!</definedName>
    <definedName name="IPMF">#REF!</definedName>
    <definedName name="ipodsifgpds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3" hidden="1">{#N/A,#N/A,FALSE,"Plan1";#N/A,#N/A,FALSE,"Plan2"}</definedName>
    <definedName name="ipotjrjketjr" localSheetId="33" hidden="1">{#N/A,#N/A,FALSE,"Plan1";#N/A,#N/A,FALSE,"Plan2"}</definedName>
    <definedName name="ipotjrjketjr" localSheetId="35" hidden="1">{#N/A,#N/A,FALSE,"Plan1";#N/A,#N/A,FALSE,"Plan2"}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 localSheetId="12">#REF!</definedName>
    <definedName name="IR_diferido" localSheetId="30">#REF!</definedName>
    <definedName name="IR_diferido" localSheetId="28">#REF!</definedName>
    <definedName name="IR_diferido" localSheetId="27">#REF!</definedName>
    <definedName name="IR_diferido" localSheetId="18">#REF!</definedName>
    <definedName name="IR_diferido" localSheetId="7">#REF!</definedName>
    <definedName name="IR_diferido" localSheetId="23">#REF!</definedName>
    <definedName name="IR_diferido">#REF!</definedName>
    <definedName name="ISOPOR" localSheetId="12">#REF!</definedName>
    <definedName name="ISOPOR" localSheetId="30">#REF!</definedName>
    <definedName name="ISOPOR" localSheetId="28">#REF!</definedName>
    <definedName name="ISOPOR" localSheetId="27">#REF!</definedName>
    <definedName name="ISOPOR" localSheetId="21">#REF!</definedName>
    <definedName name="ISOPOR" localSheetId="18">#REF!</definedName>
    <definedName name="ISOPOR" localSheetId="7">#REF!</definedName>
    <definedName name="ISOPOR" localSheetId="23">#REF!</definedName>
    <definedName name="ISOPOR">#REF!</definedName>
    <definedName name="ISS" localSheetId="12">#REF!</definedName>
    <definedName name="ISS" localSheetId="30">#REF!</definedName>
    <definedName name="ISS" localSheetId="28">#REF!</definedName>
    <definedName name="ISS" localSheetId="27">#REF!</definedName>
    <definedName name="ISS" localSheetId="18">#REF!</definedName>
    <definedName name="ISS" localSheetId="7">#REF!</definedName>
    <definedName name="ISS" localSheetId="23">#REF!</definedName>
    <definedName name="ISS">#REF!</definedName>
    <definedName name="ItalieNS" localSheetId="12">#REF!</definedName>
    <definedName name="ItalieNS" localSheetId="30">#REF!</definedName>
    <definedName name="ItalieNS" localSheetId="28">#REF!</definedName>
    <definedName name="ItalieNS" localSheetId="27">#REF!</definedName>
    <definedName name="ItalieNS" localSheetId="18">#REF!</definedName>
    <definedName name="ItalieNS" localSheetId="7">#REF!</definedName>
    <definedName name="ItalieNS" localSheetId="23">#REF!</definedName>
    <definedName name="ItalieNS">#REF!</definedName>
    <definedName name="ItalieNT" localSheetId="12">#REF!</definedName>
    <definedName name="ItalieNT" localSheetId="30">#REF!</definedName>
    <definedName name="ItalieNT" localSheetId="28">#REF!</definedName>
    <definedName name="ItalieNT" localSheetId="27">#REF!</definedName>
    <definedName name="ItalieNT" localSheetId="18">#REF!</definedName>
    <definedName name="ItalieNT" localSheetId="7">#REF!</definedName>
    <definedName name="ItalieNT" localSheetId="23">#REF!</definedName>
    <definedName name="ItalieNT">#REF!</definedName>
    <definedName name="itc_cdi" localSheetId="12">#REF!</definedName>
    <definedName name="itc_cdi" localSheetId="30">#REF!</definedName>
    <definedName name="itc_cdi" localSheetId="28">#REF!</definedName>
    <definedName name="itc_cdi" localSheetId="27">#REF!</definedName>
    <definedName name="itc_cdi" localSheetId="18">#REF!</definedName>
    <definedName name="itc_cdi" localSheetId="7">#REF!</definedName>
    <definedName name="itc_cdi" localSheetId="23">#REF!</definedName>
    <definedName name="itc_cdi">#REF!</definedName>
    <definedName name="itc_hist" localSheetId="12">#REF!</definedName>
    <definedName name="itc_hist" localSheetId="30">#REF!</definedName>
    <definedName name="itc_hist" localSheetId="28">#REF!</definedName>
    <definedName name="itc_hist" localSheetId="27">#REF!</definedName>
    <definedName name="itc_hist" localSheetId="18">#REF!</definedName>
    <definedName name="itc_hist" localSheetId="7">#REF!</definedName>
    <definedName name="itc_hist" localSheetId="23">#REF!</definedName>
    <definedName name="itc_hist">#REF!</definedName>
    <definedName name="itc_uss" localSheetId="12">#REF!</definedName>
    <definedName name="itc_uss" localSheetId="30">#REF!</definedName>
    <definedName name="itc_uss" localSheetId="28">#REF!</definedName>
    <definedName name="itc_uss" localSheetId="27">#REF!</definedName>
    <definedName name="itc_uss" localSheetId="18">#REF!</definedName>
    <definedName name="itc_uss" localSheetId="7">#REF!</definedName>
    <definedName name="itc_uss" localSheetId="23">#REF!</definedName>
    <definedName name="itc_uss">#REF!</definedName>
    <definedName name="item_1" localSheetId="3">#REF!</definedName>
    <definedName name="item_1" localSheetId="12">#REF!</definedName>
    <definedName name="item_1" localSheetId="30">#REF!</definedName>
    <definedName name="item_1" localSheetId="28">#REF!</definedName>
    <definedName name="item_1" localSheetId="27">#REF!</definedName>
    <definedName name="item_1" localSheetId="18">#REF!</definedName>
    <definedName name="item_1" localSheetId="7">#REF!</definedName>
    <definedName name="item_1" localSheetId="23">#REF!</definedName>
    <definedName name="item_1">#REF!</definedName>
    <definedName name="ITEMCONT" localSheetId="12">#REF!</definedName>
    <definedName name="ITEMCONT" localSheetId="30">#REF!</definedName>
    <definedName name="ITEMCONT" localSheetId="28">#REF!</definedName>
    <definedName name="ITEMCONT" localSheetId="27">#REF!</definedName>
    <definedName name="ITEMCONT" localSheetId="18">#REF!</definedName>
    <definedName name="ITEMCONT" localSheetId="7">#REF!</definedName>
    <definedName name="ITEMCONT" localSheetId="23">#REF!</definedName>
    <definedName name="ITEMCONT">#REF!</definedName>
    <definedName name="ITEMDER" localSheetId="12">#REF!</definedName>
    <definedName name="ITEMDER" localSheetId="30">#REF!</definedName>
    <definedName name="ITEMDER" localSheetId="28">#REF!</definedName>
    <definedName name="ITEMDER" localSheetId="27">#REF!</definedName>
    <definedName name="ITEMDER" localSheetId="18">#REF!</definedName>
    <definedName name="ITEMDER" localSheetId="7">#REF!</definedName>
    <definedName name="ITEMDER" localSheetId="23">#REF!</definedName>
    <definedName name="ITEMDER">#REF!</definedName>
    <definedName name="ITEMIZAÇÃO" localSheetId="12">#REF!</definedName>
    <definedName name="ITEMIZAÇÃO" localSheetId="30">#REF!</definedName>
    <definedName name="ITEMIZAÇÃO" localSheetId="28">#REF!</definedName>
    <definedName name="ITEMIZAÇÃO" localSheetId="27">#REF!</definedName>
    <definedName name="ITEMIZAÇÃO" localSheetId="18">#REF!</definedName>
    <definedName name="ITEMIZAÇÃO" localSheetId="7">#REF!</definedName>
    <definedName name="ITEMIZAÇÃO" localSheetId="23">#REF!</definedName>
    <definedName name="ITEMIZAÇÃO">#REF!</definedName>
    <definedName name="ITEMIZAÇÃO_2" localSheetId="12">#REF!</definedName>
    <definedName name="ITEMIZAÇÃO_2" localSheetId="30">#REF!</definedName>
    <definedName name="ITEMIZAÇÃO_2" localSheetId="28">#REF!</definedName>
    <definedName name="ITEMIZAÇÃO_2" localSheetId="27">#REF!</definedName>
    <definedName name="ITEMIZAÇÃO_2" localSheetId="18">#REF!</definedName>
    <definedName name="ITEMIZAÇÃO_2" localSheetId="7">#REF!</definedName>
    <definedName name="ITEMIZAÇÃO_2" localSheetId="23">#REF!</definedName>
    <definedName name="ITEMIZAÇÃO_2">#REF!</definedName>
    <definedName name="ITEMIZAÇÃO_3" localSheetId="12">#REF!</definedName>
    <definedName name="ITEMIZAÇÃO_3" localSheetId="30">#REF!</definedName>
    <definedName name="ITEMIZAÇÃO_3" localSheetId="28">#REF!</definedName>
    <definedName name="ITEMIZAÇÃO_3" localSheetId="27">#REF!</definedName>
    <definedName name="ITEMIZAÇÃO_3" localSheetId="18">#REF!</definedName>
    <definedName name="ITEMIZAÇÃO_3" localSheetId="7">#REF!</definedName>
    <definedName name="ITEMIZAÇÃO_3" localSheetId="23">#REF!</definedName>
    <definedName name="ITEMIZAÇÃO_3">#REF!</definedName>
    <definedName name="ITEMIZAÇÃO_4" localSheetId="12">#REF!</definedName>
    <definedName name="ITEMIZAÇÃO_4" localSheetId="30">#REF!</definedName>
    <definedName name="ITEMIZAÇÃO_4" localSheetId="28">#REF!</definedName>
    <definedName name="ITEMIZAÇÃO_4" localSheetId="27">#REF!</definedName>
    <definedName name="ITEMIZAÇÃO_4" localSheetId="18">#REF!</definedName>
    <definedName name="ITEMIZAÇÃO_4" localSheetId="7">#REF!</definedName>
    <definedName name="ITEMIZAÇÃO_4" localSheetId="23">#REF!</definedName>
    <definedName name="ITEMIZAÇÃO_4">#REF!</definedName>
    <definedName name="ITEMIZAÇÃO_5" localSheetId="12">#REF!</definedName>
    <definedName name="ITEMIZAÇÃO_5" localSheetId="30">#REF!</definedName>
    <definedName name="ITEMIZAÇÃO_5" localSheetId="28">#REF!</definedName>
    <definedName name="ITEMIZAÇÃO_5" localSheetId="27">#REF!</definedName>
    <definedName name="ITEMIZAÇÃO_5" localSheetId="18">#REF!</definedName>
    <definedName name="ITEMIZAÇÃO_5" localSheetId="7">#REF!</definedName>
    <definedName name="ITEMIZAÇÃO_5" localSheetId="23">#REF!</definedName>
    <definedName name="ITEMIZAÇÃO_5">#REF!</definedName>
    <definedName name="ITEMIZAÇÃO_7" localSheetId="12">#REF!</definedName>
    <definedName name="ITEMIZAÇÃO_7" localSheetId="30">#REF!</definedName>
    <definedName name="ITEMIZAÇÃO_7" localSheetId="28">#REF!</definedName>
    <definedName name="ITEMIZAÇÃO_7" localSheetId="27">#REF!</definedName>
    <definedName name="ITEMIZAÇÃO_7" localSheetId="18">#REF!</definedName>
    <definedName name="ITEMIZAÇÃO_7" localSheetId="7">#REF!</definedName>
    <definedName name="ITEMIZAÇÃO_7" localSheetId="23">#REF!</definedName>
    <definedName name="ITEMIZAÇÃO_7">#REF!</definedName>
    <definedName name="ITEMIZAÇÃO_8" localSheetId="12">#REF!</definedName>
    <definedName name="ITEMIZAÇÃO_8" localSheetId="30">#REF!</definedName>
    <definedName name="ITEMIZAÇÃO_8" localSheetId="28">#REF!</definedName>
    <definedName name="ITEMIZAÇÃO_8" localSheetId="27">#REF!</definedName>
    <definedName name="ITEMIZAÇÃO_8" localSheetId="18">#REF!</definedName>
    <definedName name="ITEMIZAÇÃO_8" localSheetId="7">#REF!</definedName>
    <definedName name="ITEMIZAÇÃO_8" localSheetId="23">#REF!</definedName>
    <definedName name="ITEMIZAÇÃO_8">#REF!</definedName>
    <definedName name="ITEMR20" localSheetId="12">#REF!</definedName>
    <definedName name="ITEMR20" localSheetId="30">#REF!</definedName>
    <definedName name="ITEMR20" localSheetId="28">#REF!</definedName>
    <definedName name="ITEMR20" localSheetId="27">#REF!</definedName>
    <definedName name="ITEMR20" localSheetId="18">#REF!</definedName>
    <definedName name="ITEMR20" localSheetId="7">#REF!</definedName>
    <definedName name="ITEMR20" localSheetId="23">#REF!</definedName>
    <definedName name="ITEMR20">#REF!</definedName>
    <definedName name="ITEM별상세업무분장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 localSheetId="12">#REF!</definedName>
    <definedName name="ITENS" localSheetId="30">#REF!</definedName>
    <definedName name="ITENS" localSheetId="28">#REF!</definedName>
    <definedName name="ITENS" localSheetId="27">#REF!</definedName>
    <definedName name="ITENS" localSheetId="18">#REF!</definedName>
    <definedName name="ITENS" localSheetId="7">#REF!</definedName>
    <definedName name="ITENS" localSheetId="23">#REF!</definedName>
    <definedName name="ITENS">#REF!</definedName>
    <definedName name="ITENS0" localSheetId="12">#REF!</definedName>
    <definedName name="ITENS0" localSheetId="30">#REF!</definedName>
    <definedName name="ITENS0" localSheetId="28">#REF!</definedName>
    <definedName name="ITENS0" localSheetId="27">#REF!</definedName>
    <definedName name="ITENS0" localSheetId="18">#REF!</definedName>
    <definedName name="ITENS0" localSheetId="7">#REF!</definedName>
    <definedName name="ITENS0" localSheetId="23">#REF!</definedName>
    <definedName name="ITENS0">#REF!</definedName>
    <definedName name="ITENS1" localSheetId="12">#REF!</definedName>
    <definedName name="ITENS1" localSheetId="30">#REF!</definedName>
    <definedName name="ITENS1" localSheetId="28">#REF!</definedName>
    <definedName name="ITENS1" localSheetId="27">#REF!</definedName>
    <definedName name="ITENS1" localSheetId="18">#REF!</definedName>
    <definedName name="ITENS1" localSheetId="7">#REF!</definedName>
    <definedName name="ITENS1" localSheetId="23">#REF!</definedName>
    <definedName name="ITENS1">#REF!</definedName>
    <definedName name="ITENSP" localSheetId="12">#REF!</definedName>
    <definedName name="ITENSP" localSheetId="30">#REF!</definedName>
    <definedName name="ITENSP" localSheetId="28">#REF!</definedName>
    <definedName name="ITENSP" localSheetId="27">#REF!</definedName>
    <definedName name="ITENSP" localSheetId="18">#REF!</definedName>
    <definedName name="ITENSP" localSheetId="7">#REF!</definedName>
    <definedName name="ITENSP" localSheetId="23">#REF!</definedName>
    <definedName name="ITENSP">#REF!</definedName>
    <definedName name="ITENSPMED" localSheetId="12">#REF!</definedName>
    <definedName name="ITENSPMED" localSheetId="30">#REF!</definedName>
    <definedName name="ITENSPMED" localSheetId="28">#REF!</definedName>
    <definedName name="ITENSPMED" localSheetId="27">#REF!</definedName>
    <definedName name="ITENSPMED" localSheetId="18">#REF!</definedName>
    <definedName name="ITENSPMED" localSheetId="7">#REF!</definedName>
    <definedName name="ITENSPMED" localSheetId="23">#REF!</definedName>
    <definedName name="ITENSPMED">#REF!</definedName>
    <definedName name="IUGFGDFUY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 localSheetId="12">#REF!</definedName>
    <definedName name="IV" localSheetId="30">#REF!</definedName>
    <definedName name="IV" localSheetId="28">#REF!</definedName>
    <definedName name="IV" localSheetId="27">#REF!</definedName>
    <definedName name="IV" localSheetId="21">#REF!</definedName>
    <definedName name="IV" localSheetId="18">#REF!</definedName>
    <definedName name="IV" localSheetId="7">#REF!</definedName>
    <definedName name="IV" localSheetId="23">#REF!</definedName>
    <definedName name="IV">#REF!</definedName>
    <definedName name="iyguygiyt" localSheetId="3" hidden="1">{#N/A,#N/A,FALSE,"Plan1";#N/A,#N/A,FALSE,"Plan2"}</definedName>
    <definedName name="iyguygiyt" localSheetId="33" hidden="1">{#N/A,#N/A,FALSE,"Plan1";#N/A,#N/A,FALSE,"Plan2"}</definedName>
    <definedName name="iyguygiyt" localSheetId="35" hidden="1">{#N/A,#N/A,FALSE,"Plan1";#N/A,#N/A,FALSE,"Plan2"}</definedName>
    <definedName name="iyguygiyt" hidden="1">{#N/A,#N/A,FALSE,"Plan1";#N/A,#N/A,FALSE,"Plan2"}</definedName>
    <definedName name="iyuyheturtd" localSheetId="3" hidden="1">{#N/A,#N/A,FALSE,"Plan1";#N/A,#N/A,FALSE,"Plan2"}</definedName>
    <definedName name="iyuyheturtd" localSheetId="33" hidden="1">{#N/A,#N/A,FALSE,"Plan1";#N/A,#N/A,FALSE,"Plan2"}</definedName>
    <definedName name="iyuyheturtd" localSheetId="35" hidden="1">{#N/A,#N/A,FALSE,"Plan1";#N/A,#N/A,FALSE,"Plan2"}</definedName>
    <definedName name="iyuyheturtd" hidden="1">{#N/A,#N/A,FALSE,"Plan1";#N/A,#N/A,FALSE,"Plan2"}</definedName>
    <definedName name="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3" hidden="1">{#N/A,#N/A,FALSE,"Plan1";#N/A,#N/A,FALSE,"Plan2"}</definedName>
    <definedName name="jalejdasjf" localSheetId="33" hidden="1">{#N/A,#N/A,FALSE,"Plan1";#N/A,#N/A,FALSE,"Plan2"}</definedName>
    <definedName name="jalejdasjf" localSheetId="35" hidden="1">{#N/A,#N/A,FALSE,"Plan1";#N/A,#N/A,FALSE,"Plan2"}</definedName>
    <definedName name="jalejdasjf" hidden="1">{#N/A,#N/A,FALSE,"Plan1";#N/A,#N/A,FALSE,"Plan2"}</definedName>
    <definedName name="jan_05" localSheetId="12">#REF!</definedName>
    <definedName name="jan_05" localSheetId="30">#REF!</definedName>
    <definedName name="jan_05" localSheetId="28">#REF!</definedName>
    <definedName name="jan_05" localSheetId="27">#REF!</definedName>
    <definedName name="jan_05" localSheetId="18">#REF!</definedName>
    <definedName name="jan_05" localSheetId="7">#REF!</definedName>
    <definedName name="jan_05" localSheetId="23">#REF!</definedName>
    <definedName name="jan_05">#REF!</definedName>
    <definedName name="jan17RJ" localSheetId="12">#REF!</definedName>
    <definedName name="jan17RJ" localSheetId="30">#REF!</definedName>
    <definedName name="jan17RJ" localSheetId="28">#REF!</definedName>
    <definedName name="jan17RJ" localSheetId="27">#REF!</definedName>
    <definedName name="jan17RJ" localSheetId="18">#REF!</definedName>
    <definedName name="jan17RJ" localSheetId="7">#REF!</definedName>
    <definedName name="jan17RJ" localSheetId="23">#REF!</definedName>
    <definedName name="jan17RJ">#REF!</definedName>
    <definedName name="JANEIRO2001" localSheetId="12">#REF!</definedName>
    <definedName name="JANEIRO2001" localSheetId="30">#REF!</definedName>
    <definedName name="JANEIRO2001" localSheetId="28">#REF!</definedName>
    <definedName name="JANEIRO2001" localSheetId="27">#REF!</definedName>
    <definedName name="JANEIRO2001" localSheetId="18">#REF!</definedName>
    <definedName name="JANEIRO2001" localSheetId="7">#REF!</definedName>
    <definedName name="JANEIRO2001" localSheetId="23">#REF!</definedName>
    <definedName name="JANEIRO2001">#REF!</definedName>
    <definedName name="JASDJS" localSheetId="3" hidden="1">{#N/A,#N/A,FALSE,"Plan1";#N/A,#N/A,FALSE,"Plan2"}</definedName>
    <definedName name="JASDJS" localSheetId="33" hidden="1">{#N/A,#N/A,FALSE,"Plan1";#N/A,#N/A,FALSE,"Plan2"}</definedName>
    <definedName name="JASDJS" localSheetId="35" hidden="1">{#N/A,#N/A,FALSE,"Plan1";#N/A,#N/A,FALSE,"Plan2"}</definedName>
    <definedName name="JASDJS" hidden="1">{#N/A,#N/A,FALSE,"Plan1";#N/A,#N/A,FALSE,"Plan2"}</definedName>
    <definedName name="jaskldjlse" localSheetId="3" hidden="1">{#N/A,#N/A,FALSE,"Plan1";#N/A,#N/A,FALSE,"Plan2"}</definedName>
    <definedName name="jaskldjlse" localSheetId="33" hidden="1">{#N/A,#N/A,FALSE,"Plan1";#N/A,#N/A,FALSE,"Plan2"}</definedName>
    <definedName name="jaskldjlse" localSheetId="35" hidden="1">{#N/A,#N/A,FALSE,"Plan1";#N/A,#N/A,FALSE,"Plan2"}</definedName>
    <definedName name="jaskldjlse" hidden="1">{#N/A,#N/A,FALSE,"Plan1";#N/A,#N/A,FALSE,"Plan2"}</definedName>
    <definedName name="JASLDKLD" localSheetId="3" hidden="1">{#N/A,#N/A,FALSE,"Plan1";#N/A,#N/A,FALSE,"Plan2"}</definedName>
    <definedName name="JASLDKLD" localSheetId="33" hidden="1">{#N/A,#N/A,FALSE,"Plan1";#N/A,#N/A,FALSE,"Plan2"}</definedName>
    <definedName name="JASLDKLD" localSheetId="35" hidden="1">{#N/A,#N/A,FALSE,"Plan1";#N/A,#N/A,FALSE,"Plan2"}</definedName>
    <definedName name="JASLDKLD" hidden="1">{#N/A,#N/A,FALSE,"Plan1";#N/A,#N/A,FALSE,"Plan2"}</definedName>
    <definedName name="jasoe" localSheetId="3" hidden="1">#REF!</definedName>
    <definedName name="jasoe" localSheetId="12" hidden="1">#REF!</definedName>
    <definedName name="jasoe" localSheetId="30" hidden="1">#REF!</definedName>
    <definedName name="jasoe" localSheetId="28" hidden="1">#REF!</definedName>
    <definedName name="jasoe" localSheetId="27" hidden="1">#REF!</definedName>
    <definedName name="jasoe" localSheetId="18" hidden="1">#REF!</definedName>
    <definedName name="jasoe" localSheetId="7" hidden="1">#REF!</definedName>
    <definedName name="jasoe" localSheetId="23" hidden="1">#REF!</definedName>
    <definedName name="jasoe" hidden="1">#REF!</definedName>
    <definedName name="jbzxffcbgdhgft" localSheetId="12" hidden="1">#REF!</definedName>
    <definedName name="jbzxffcbgdhgft" localSheetId="30" hidden="1">#REF!</definedName>
    <definedName name="jbzxffcbgdhgft" localSheetId="28" hidden="1">#REF!</definedName>
    <definedName name="jbzxffcbgdhgft" localSheetId="27" hidden="1">#REF!</definedName>
    <definedName name="jbzxffcbgdhgft" localSheetId="18" hidden="1">#REF!</definedName>
    <definedName name="jbzxffcbgdhgft" localSheetId="7" hidden="1">#REF!</definedName>
    <definedName name="jbzxffcbgdhgft" localSheetId="23" hidden="1">#REF!</definedName>
    <definedName name="jbzxffcbgdhgft" hidden="1">#REF!</definedName>
    <definedName name="JÇDFHDF" localSheetId="3" hidden="1">{"Econ Consolidado",#N/A,FALSE,"Econ Consol";"Fluxo de Caixa",#N/A,FALSE,"Fluxo Caixa";"Investimentos",#N/A,FALSE,"Investimentos"}</definedName>
    <definedName name="JÇDFHDF" localSheetId="33" hidden="1">{"Econ Consolidado",#N/A,FALSE,"Econ Consol";"Fluxo de Caixa",#N/A,FALSE,"Fluxo Caixa";"Investimentos",#N/A,FALSE,"Investimentos"}</definedName>
    <definedName name="JÇDFHDF" localSheetId="35" hidden="1">{"Econ Consolidado",#N/A,FALSE,"Econ Consol";"Fluxo de Caixa",#N/A,FALSE,"Fluxo Caixa";"Investimentos",#N/A,FALSE,"Investimentos"}</definedName>
    <definedName name="JÇDFHDF" hidden="1">{"Econ Consolidado",#N/A,FALSE,"Econ Consol";"Fluxo de Caixa",#N/A,FALSE,"Fluxo Caixa";"Investimentos",#N/A,FALSE,"Investimentos"}</definedName>
    <definedName name="jdbgftbhr" localSheetId="3" hidden="1">{#N/A,#N/A,FALSE,"Plan1";#N/A,#N/A,FALSE,"Plan2"}</definedName>
    <definedName name="jdbgftbhr" localSheetId="33" hidden="1">{#N/A,#N/A,FALSE,"Plan1";#N/A,#N/A,FALSE,"Plan2"}</definedName>
    <definedName name="jdbgftbhr" localSheetId="35" hidden="1">{#N/A,#N/A,FALSE,"Plan1";#N/A,#N/A,FALSE,"Plan2"}</definedName>
    <definedName name="jdbgftbhr" hidden="1">{#N/A,#N/A,FALSE,"Plan1";#N/A,#N/A,FALSE,"Plan2"}</definedName>
    <definedName name="jdfgkrhgft" localSheetId="3" hidden="1">#REF!</definedName>
    <definedName name="jdfgkrhgft" localSheetId="12" hidden="1">#REF!</definedName>
    <definedName name="jdfgkrhgft" localSheetId="30" hidden="1">#REF!</definedName>
    <definedName name="jdfgkrhgft" localSheetId="28" hidden="1">#REF!</definedName>
    <definedName name="jdfgkrhgft" localSheetId="27" hidden="1">#REF!</definedName>
    <definedName name="jdfgkrhgft" localSheetId="18" hidden="1">#REF!</definedName>
    <definedName name="jdfgkrhgft" localSheetId="7" hidden="1">#REF!</definedName>
    <definedName name="jdfgkrhgft" localSheetId="23" hidden="1">#REF!</definedName>
    <definedName name="jdfgkrhgft" hidden="1">#REF!</definedName>
    <definedName name="jdfgldfjgklh" localSheetId="3" hidden="1">{#N/A,#N/A,FALSE,"Plan1";#N/A,#N/A,FALSE,"Plan2"}</definedName>
    <definedName name="jdfgldfjgklh" localSheetId="33" hidden="1">{#N/A,#N/A,FALSE,"Plan1";#N/A,#N/A,FALSE,"Plan2"}</definedName>
    <definedName name="jdfgldfjgklh" localSheetId="35" hidden="1">{#N/A,#N/A,FALSE,"Plan1";#N/A,#N/A,FALSE,"Plan2"}</definedName>
    <definedName name="jdfgldfjgklh" hidden="1">{#N/A,#N/A,FALSE,"Plan1";#N/A,#N/A,FALSE,"Plan2"}</definedName>
    <definedName name="jdfhjkdrhjtkg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3" hidden="1">{#N/A,#N/A,FALSE,"Plan1";#N/A,#N/A,FALSE,"Plan2"}</definedName>
    <definedName name="jdfjdtrgt" localSheetId="33" hidden="1">{#N/A,#N/A,FALSE,"Plan1";#N/A,#N/A,FALSE,"Plan2"}</definedName>
    <definedName name="jdfjdtrgt" localSheetId="35" hidden="1">{#N/A,#N/A,FALSE,"Plan1";#N/A,#N/A,FALSE,"Plan2"}</definedName>
    <definedName name="jdfjdtrgt" hidden="1">{#N/A,#N/A,FALSE,"Plan1";#N/A,#N/A,FALSE,"Plan2"}</definedName>
    <definedName name="JDFJLDJR" localSheetId="3" hidden="1">{#N/A,#N/A,FALSE,"Plan1";#N/A,#N/A,FALSE,"Plan2"}</definedName>
    <definedName name="JDFJLDJR" localSheetId="33" hidden="1">{#N/A,#N/A,FALSE,"Plan1";#N/A,#N/A,FALSE,"Plan2"}</definedName>
    <definedName name="JDFJLDJR" localSheetId="35" hidden="1">{#N/A,#N/A,FALSE,"Plan1";#N/A,#N/A,FALSE,"Plan2"}</definedName>
    <definedName name="JDFJLDJR" hidden="1">{#N/A,#N/A,FALSE,"Plan1";#N/A,#N/A,FALSE,"Plan2"}</definedName>
    <definedName name="jdfkgitfgdrtt" localSheetId="3" hidden="1">{#N/A,#N/A,FALSE,"Plan1";#N/A,#N/A,FALSE,"Plan2"}</definedName>
    <definedName name="jdfkgitfgdrtt" localSheetId="33" hidden="1">{#N/A,#N/A,FALSE,"Plan1";#N/A,#N/A,FALSE,"Plan2"}</definedName>
    <definedName name="jdfkgitfgdrtt" localSheetId="35" hidden="1">{#N/A,#N/A,FALSE,"Plan1";#N/A,#N/A,FALSE,"Plan2"}</definedName>
    <definedName name="jdfkgitfgdrtt" hidden="1">{#N/A,#N/A,FALSE,"Plan1";#N/A,#N/A,FALSE,"Plan2"}</definedName>
    <definedName name="JDFKHFKJ" localSheetId="3" hidden="1">{#N/A,#N/A,FALSE,"Plan1";#N/A,#N/A,FALSE,"Plan2"}</definedName>
    <definedName name="JDFKHFKJ" localSheetId="33" hidden="1">{#N/A,#N/A,FALSE,"Plan1";#N/A,#N/A,FALSE,"Plan2"}</definedName>
    <definedName name="JDFKHFKJ" localSheetId="35" hidden="1">{#N/A,#N/A,FALSE,"Plan1";#N/A,#N/A,FALSE,"Plan2"}</definedName>
    <definedName name="JDFKHFKJ" hidden="1">{#N/A,#N/A,FALSE,"Plan1";#N/A,#N/A,FALSE,"Plan2"}</definedName>
    <definedName name="jdfklgtdtr" localSheetId="3" hidden="1">{#N/A,#N/A,FALSE,"Plan1";#N/A,#N/A,FALSE,"Plan2"}</definedName>
    <definedName name="jdfklgtdtr" localSheetId="33" hidden="1">{#N/A,#N/A,FALSE,"Plan1";#N/A,#N/A,FALSE,"Plan2"}</definedName>
    <definedName name="jdfklgtdtr" localSheetId="35" hidden="1">{#N/A,#N/A,FALSE,"Plan1";#N/A,#N/A,FALSE,"Plan2"}</definedName>
    <definedName name="jdfklgtdtr" hidden="1">{#N/A,#N/A,FALSE,"Plan1";#N/A,#N/A,FALSE,"Plan2"}</definedName>
    <definedName name="JDFKTHRT" localSheetId="3" hidden="1">{#N/A,#N/A,FALSE,"Plan1";#N/A,#N/A,FALSE,"Plan2"}</definedName>
    <definedName name="JDFKTHRT" localSheetId="33" hidden="1">{#N/A,#N/A,FALSE,"Plan1";#N/A,#N/A,FALSE,"Plan2"}</definedName>
    <definedName name="JDFKTHRT" localSheetId="35" hidden="1">{#N/A,#N/A,FALSE,"Plan1";#N/A,#N/A,FALSE,"Plan2"}</definedName>
    <definedName name="JDFKTHRT" hidden="1">{#N/A,#N/A,FALSE,"Plan1";#N/A,#N/A,FALSE,"Plan2"}</definedName>
    <definedName name="JDFLKJDRF" localSheetId="3" hidden="1">{#N/A,#N/A,FALSE,"Plan1";#N/A,#N/A,FALSE,"Plan2"}</definedName>
    <definedName name="JDFLKJDRF" localSheetId="33" hidden="1">{#N/A,#N/A,FALSE,"Plan1";#N/A,#N/A,FALSE,"Plan2"}</definedName>
    <definedName name="JDFLKJDRF" localSheetId="35" hidden="1">{#N/A,#N/A,FALSE,"Plan1";#N/A,#N/A,FALSE,"Plan2"}</definedName>
    <definedName name="JDFLKJDRF" hidden="1">{#N/A,#N/A,FALSE,"Plan1";#N/A,#N/A,FALSE,"Plan2"}</definedName>
    <definedName name="jdfzlkjgfdht" localSheetId="3" hidden="1">{#N/A,#N/A,FALSE,"Plan1";#N/A,#N/A,FALSE,"Plan2"}</definedName>
    <definedName name="jdfzlkjgfdht" localSheetId="33" hidden="1">{#N/A,#N/A,FALSE,"Plan1";#N/A,#N/A,FALSE,"Plan2"}</definedName>
    <definedName name="jdfzlkjgfdht" localSheetId="35" hidden="1">{#N/A,#N/A,FALSE,"Plan1";#N/A,#N/A,FALSE,"Plan2"}</definedName>
    <definedName name="jdfzlkjgfdht" hidden="1">{#N/A,#N/A,FALSE,"Plan1";#N/A,#N/A,FALSE,"Plan2"}</definedName>
    <definedName name="jdglhfghkt" localSheetId="3" hidden="1">{#N/A,#N/A,FALSE,"Plan1";#N/A,#N/A,FALSE,"Plan2"}</definedName>
    <definedName name="jdglhfghkt" localSheetId="33" hidden="1">{#N/A,#N/A,FALSE,"Plan1";#N/A,#N/A,FALSE,"Plan2"}</definedName>
    <definedName name="jdglhfghkt" localSheetId="35" hidden="1">{#N/A,#N/A,FALSE,"Plan1";#N/A,#N/A,FALSE,"Plan2"}</definedName>
    <definedName name="jdglhfghkt" hidden="1">{#N/A,#N/A,FALSE,"Plan1";#N/A,#N/A,FALSE,"Plan2"}</definedName>
    <definedName name="jdhfjdhgfd" localSheetId="3" hidden="1">{#N/A,#N/A,FALSE,"Plan1";#N/A,#N/A,FALSE,"Plan2"}</definedName>
    <definedName name="jdhfjdhgfd" localSheetId="33" hidden="1">{#N/A,#N/A,FALSE,"Plan1";#N/A,#N/A,FALSE,"Plan2"}</definedName>
    <definedName name="jdhfjdhgfd" localSheetId="35" hidden="1">{#N/A,#N/A,FALSE,"Plan1";#N/A,#N/A,FALSE,"Plan2"}</definedName>
    <definedName name="jdhfjdhgfd" hidden="1">{#N/A,#N/A,FALSE,"Plan1";#N/A,#N/A,FALSE,"Plan2"}</definedName>
    <definedName name="jdjdjdjd" localSheetId="33" hidden="1">{#N/A,#N/A,FALSE,"명세표"}</definedName>
    <definedName name="jdjdjdjd" localSheetId="35" hidden="1">{#N/A,#N/A,FALSE,"명세표"}</definedName>
    <definedName name="jdjdjdjd" hidden="1">{#N/A,#N/A,FALSE,"명세표"}</definedName>
    <definedName name="jdkfhgjhf" localSheetId="3" hidden="1">{#N/A,#N/A,FALSE,"Plan1";#N/A,#N/A,FALSE,"Plan2"}</definedName>
    <definedName name="jdkfhgjhf" localSheetId="33" hidden="1">{#N/A,#N/A,FALSE,"Plan1";#N/A,#N/A,FALSE,"Plan2"}</definedName>
    <definedName name="jdkfhgjhf" localSheetId="35" hidden="1">{#N/A,#N/A,FALSE,"Plan1";#N/A,#N/A,FALSE,"Plan2"}</definedName>
    <definedName name="jdkfhgjhf" hidden="1">{#N/A,#N/A,FALSE,"Plan1";#N/A,#N/A,FALSE,"Plan2"}</definedName>
    <definedName name="jdkfjdtr" localSheetId="3" hidden="1">{#N/A,#N/A,FALSE,"Plan1";#N/A,#N/A,FALSE,"Plan2"}</definedName>
    <definedName name="jdkfjdtr" localSheetId="33" hidden="1">{#N/A,#N/A,FALSE,"Plan1";#N/A,#N/A,FALSE,"Plan2"}</definedName>
    <definedName name="jdkfjdtr" localSheetId="35" hidden="1">{#N/A,#N/A,FALSE,"Plan1";#N/A,#N/A,FALSE,"Plan2"}</definedName>
    <definedName name="jdkfjdtr" hidden="1">{#N/A,#N/A,FALSE,"Plan1";#N/A,#N/A,FALSE,"Plan2"}</definedName>
    <definedName name="jdljgftldjti5r" localSheetId="3" hidden="1">{#N/A,#N/A,FALSE,"Plan1";#N/A,#N/A,FALSE,"Plan2"}</definedName>
    <definedName name="jdljgftldjti5r" localSheetId="33" hidden="1">{#N/A,#N/A,FALSE,"Plan1";#N/A,#N/A,FALSE,"Plan2"}</definedName>
    <definedName name="jdljgftldjti5r" localSheetId="35" hidden="1">{#N/A,#N/A,FALSE,"Plan1";#N/A,#N/A,FALSE,"Plan2"}</definedName>
    <definedName name="jdljgftldjti5r" hidden="1">{#N/A,#N/A,FALSE,"Plan1";#N/A,#N/A,FALSE,"Plan2"}</definedName>
    <definedName name="JDLKJDASGF" localSheetId="3" hidden="1">{#N/A,#N/A,FALSE,"Plan1";#N/A,#N/A,FALSE,"Plan2"}</definedName>
    <definedName name="JDLKJDASGF" localSheetId="33" hidden="1">{#N/A,#N/A,FALSE,"Plan1";#N/A,#N/A,FALSE,"Plan2"}</definedName>
    <definedName name="JDLKJDASGF" localSheetId="35" hidden="1">{#N/A,#N/A,FALSE,"Plan1";#N/A,#N/A,FALSE,"Plan2"}</definedName>
    <definedName name="JDLKJDASGF" hidden="1">{#N/A,#N/A,FALSE,"Plan1";#N/A,#N/A,FALSE,"Plan2"}</definedName>
    <definedName name="jdrfkdjfghrtfjg" localSheetId="3" hidden="1">{#N/A,#N/A,FALSE,"Plan1";#N/A,#N/A,FALSE,"Plan2"}</definedName>
    <definedName name="jdrfkdjfghrtfjg" localSheetId="33" hidden="1">{#N/A,#N/A,FALSE,"Plan1";#N/A,#N/A,FALSE,"Plan2"}</definedName>
    <definedName name="jdrfkdjfghrtfjg" localSheetId="35" hidden="1">{#N/A,#N/A,FALSE,"Plan1";#N/A,#N/A,FALSE,"Plan2"}</definedName>
    <definedName name="jdrfkdjfghrtfjg" hidden="1">{#N/A,#N/A,FALSE,"Plan1";#N/A,#N/A,FALSE,"Plan2"}</definedName>
    <definedName name="jdskfhdk" localSheetId="3" hidden="1">{#N/A,#N/A,FALSE,"Plan1";#N/A,#N/A,FALSE,"Plan2"}</definedName>
    <definedName name="jdskfhdk" localSheetId="33" hidden="1">{#N/A,#N/A,FALSE,"Plan1";#N/A,#N/A,FALSE,"Plan2"}</definedName>
    <definedName name="jdskfhdk" localSheetId="35" hidden="1">{#N/A,#N/A,FALSE,"Plan1";#N/A,#N/A,FALSE,"Plan2"}</definedName>
    <definedName name="jdskfhdk" hidden="1">{#N/A,#N/A,FALSE,"Plan1";#N/A,#N/A,FALSE,"Plan2"}</definedName>
    <definedName name="JDSKLGKDRHGGF" localSheetId="3" hidden="1">{#N/A,#N/A,FALSE,"Plan1";#N/A,#N/A,FALSE,"Plan2"}</definedName>
    <definedName name="JDSKLGKDRHGGF" localSheetId="33" hidden="1">{#N/A,#N/A,FALSE,"Plan1";#N/A,#N/A,FALSE,"Plan2"}</definedName>
    <definedName name="JDSKLGKDRHGGF" localSheetId="35" hidden="1">{#N/A,#N/A,FALSE,"Plan1";#N/A,#N/A,FALSE,"Plan2"}</definedName>
    <definedName name="JDSKLGKDRHGGF" hidden="1">{#N/A,#N/A,FALSE,"Plan1";#N/A,#N/A,FALSE,"Plan2"}</definedName>
    <definedName name="jefsgfr" localSheetId="3" hidden="1">{#N/A,#N/A,FALSE,"Plan1";#N/A,#N/A,FALSE,"Plan2"}</definedName>
    <definedName name="jefsgfr" localSheetId="33" hidden="1">{#N/A,#N/A,FALSE,"Plan1";#N/A,#N/A,FALSE,"Plan2"}</definedName>
    <definedName name="jefsgfr" localSheetId="35" hidden="1">{#N/A,#N/A,FALSE,"Plan1";#N/A,#N/A,FALSE,"Plan2"}</definedName>
    <definedName name="jefsgfr" hidden="1">{#N/A,#N/A,FALSE,"Plan1";#N/A,#N/A,FALSE,"Plan2"}</definedName>
    <definedName name="JERHIEHYURE" localSheetId="3" hidden="1">{#N/A,#N/A,FALSE,"Plan1";#N/A,#N/A,FALSE,"Plan2"}</definedName>
    <definedName name="JERHIEHYURE" localSheetId="33" hidden="1">{#N/A,#N/A,FALSE,"Plan1";#N/A,#N/A,FALSE,"Plan2"}</definedName>
    <definedName name="JERHIEHYURE" localSheetId="35" hidden="1">{#N/A,#N/A,FALSE,"Plan1";#N/A,#N/A,FALSE,"Plan2"}</definedName>
    <definedName name="JERHIEHYURE" hidden="1">{#N/A,#N/A,FALSE,"Plan1";#N/A,#N/A,FALSE,"Plan2"}</definedName>
    <definedName name="jfddlsrtyty" localSheetId="3" hidden="1">{#N/A,#N/A,FALSE,"Plan1";#N/A,#N/A,FALSE,"Plan2"}</definedName>
    <definedName name="jfddlsrtyty" localSheetId="33" hidden="1">{#N/A,#N/A,FALSE,"Plan1";#N/A,#N/A,FALSE,"Plan2"}</definedName>
    <definedName name="jfddlsrtyty" localSheetId="35" hidden="1">{#N/A,#N/A,FALSE,"Plan1";#N/A,#N/A,FALSE,"Plan2"}</definedName>
    <definedName name="jfddlsrtyty" hidden="1">{#N/A,#N/A,FALSE,"Plan1";#N/A,#N/A,FALSE,"Plan2"}</definedName>
    <definedName name="jfdjtgdjghitfyh" localSheetId="3" hidden="1">{#N/A,#N/A,FALSE,"Plan1";#N/A,#N/A,FALSE,"Plan2"}</definedName>
    <definedName name="jfdjtgdjghitfyh" localSheetId="33" hidden="1">{#N/A,#N/A,FALSE,"Plan1";#N/A,#N/A,FALSE,"Plan2"}</definedName>
    <definedName name="jfdjtgdjghitfyh" localSheetId="35" hidden="1">{#N/A,#N/A,FALSE,"Plan1";#N/A,#N/A,FALSE,"Plan2"}</definedName>
    <definedName name="jfdjtgdjghitfyh" hidden="1">{#N/A,#N/A,FALSE,"Plan1";#N/A,#N/A,FALSE,"Plan2"}</definedName>
    <definedName name="jfdkgkftftg" localSheetId="3" hidden="1">{#N/A,#N/A,FALSE,"Plan1";#N/A,#N/A,FALSE,"Plan2"}</definedName>
    <definedName name="jfdkgkftftg" localSheetId="33" hidden="1">{#N/A,#N/A,FALSE,"Plan1";#N/A,#N/A,FALSE,"Plan2"}</definedName>
    <definedName name="jfdkgkftftg" localSheetId="35" hidden="1">{#N/A,#N/A,FALSE,"Plan1";#N/A,#N/A,FALSE,"Plan2"}</definedName>
    <definedName name="jfdkgkftftg" hidden="1">{#N/A,#N/A,FALSE,"Plan1";#N/A,#N/A,FALSE,"Plan2"}</definedName>
    <definedName name="jfghjkfdhtkyru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3" hidden="1">{#N/A,#N/A,FALSE,"Plan1";#N/A,#N/A,FALSE,"Plan2"}</definedName>
    <definedName name="JFGJYHTY" localSheetId="33" hidden="1">{#N/A,#N/A,FALSE,"Plan1";#N/A,#N/A,FALSE,"Plan2"}</definedName>
    <definedName name="JFGJYHTY" localSheetId="35" hidden="1">{#N/A,#N/A,FALSE,"Plan1";#N/A,#N/A,FALSE,"Plan2"}</definedName>
    <definedName name="JFGJYHTY" hidden="1">{#N/A,#N/A,FALSE,"Plan1";#N/A,#N/A,FALSE,"Plan2"}</definedName>
    <definedName name="jfgkflcnjkglc" localSheetId="3" hidden="1">{#N/A,#N/A,FALSE,"Plan1";#N/A,#N/A,FALSE,"Plan2"}</definedName>
    <definedName name="jfgkflcnjkglc" localSheetId="33" hidden="1">{#N/A,#N/A,FALSE,"Plan1";#N/A,#N/A,FALSE,"Plan2"}</definedName>
    <definedName name="jfgkflcnjkglc" localSheetId="35" hidden="1">{#N/A,#N/A,FALSE,"Plan1";#N/A,#N/A,FALSE,"Plan2"}</definedName>
    <definedName name="jfgkflcnjkglc" hidden="1">{#N/A,#N/A,FALSE,"Plan1";#N/A,#N/A,FALSE,"Plan2"}</definedName>
    <definedName name="JFHRE" localSheetId="3" hidden="1">{#N/A,#N/A,FALSE,"Plan1";#N/A,#N/A,FALSE,"Plan2"}</definedName>
    <definedName name="JFHRE" localSheetId="33" hidden="1">{#N/A,#N/A,FALSE,"Plan1";#N/A,#N/A,FALSE,"Plan2"}</definedName>
    <definedName name="JFHRE" localSheetId="35" hidden="1">{#N/A,#N/A,FALSE,"Plan1";#N/A,#N/A,FALSE,"Plan2"}</definedName>
    <definedName name="JFHRE" hidden="1">{#N/A,#N/A,FALSE,"Plan1";#N/A,#N/A,FALSE,"Plan2"}</definedName>
    <definedName name="jfkdls5jtirjd" localSheetId="3" hidden="1">{#N/A,#N/A,FALSE,"Plan1";#N/A,#N/A,FALSE,"Plan2"}</definedName>
    <definedName name="jfkdls5jtirjd" localSheetId="33" hidden="1">{#N/A,#N/A,FALSE,"Plan1";#N/A,#N/A,FALSE,"Plan2"}</definedName>
    <definedName name="jfkdls5jtirjd" localSheetId="35" hidden="1">{#N/A,#N/A,FALSE,"Plan1";#N/A,#N/A,FALSE,"Plan2"}</definedName>
    <definedName name="jfkdls5jtirjd" hidden="1">{#N/A,#N/A,FALSE,"Plan1";#N/A,#N/A,FALSE,"Plan2"}</definedName>
    <definedName name="jfkljdkfcj" localSheetId="3" hidden="1">{#N/A,#N/A,FALSE,"Plan1";#N/A,#N/A,FALSE,"Plan2"}</definedName>
    <definedName name="jfkljdkfcj" localSheetId="33" hidden="1">{#N/A,#N/A,FALSE,"Plan1";#N/A,#N/A,FALSE,"Plan2"}</definedName>
    <definedName name="jfkljdkfcj" localSheetId="35" hidden="1">{#N/A,#N/A,FALSE,"Plan1";#N/A,#N/A,FALSE,"Plan2"}</definedName>
    <definedName name="jfkljdkfcj" hidden="1">{#N/A,#N/A,FALSE,"Plan1";#N/A,#N/A,FALSE,"Plan2"}</definedName>
    <definedName name="jfkrhdtghdut" localSheetId="3" hidden="1">{#N/A,#N/A,FALSE,"Plan1";#N/A,#N/A,FALSE,"Plan2"}</definedName>
    <definedName name="jfkrhdtghdut" localSheetId="33" hidden="1">{#N/A,#N/A,FALSE,"Plan1";#N/A,#N/A,FALSE,"Plan2"}</definedName>
    <definedName name="jfkrhdtghdut" localSheetId="35" hidden="1">{#N/A,#N/A,FALSE,"Plan1";#N/A,#N/A,FALSE,"Plan2"}</definedName>
    <definedName name="jfkrhdtghdut" hidden="1">{#N/A,#N/A,FALSE,"Plan1";#N/A,#N/A,FALSE,"Plan2"}</definedName>
    <definedName name="JFRESR" localSheetId="3" hidden="1">{#N/A,#N/A,FALSE,"Plan1";#N/A,#N/A,FALSE,"Plan2"}</definedName>
    <definedName name="JFRESR" localSheetId="33" hidden="1">{#N/A,#N/A,FALSE,"Plan1";#N/A,#N/A,FALSE,"Plan2"}</definedName>
    <definedName name="JFRESR" localSheetId="35" hidden="1">{#N/A,#N/A,FALSE,"Plan1";#N/A,#N/A,FALSE,"Plan2"}</definedName>
    <definedName name="JFRESR" hidden="1">{#N/A,#N/A,FALSE,"Plan1";#N/A,#N/A,FALSE,"Plan2"}</definedName>
    <definedName name="jgdfdgfjgdj" localSheetId="3" hidden="1">{#N/A,#N/A,FALSE,"Plan1";#N/A,#N/A,FALSE,"Plan2"}</definedName>
    <definedName name="jgdfdgfjgdj" localSheetId="33" hidden="1">{#N/A,#N/A,FALSE,"Plan1";#N/A,#N/A,FALSE,"Plan2"}</definedName>
    <definedName name="jgdfdgfjgdj" localSheetId="35" hidden="1">{#N/A,#N/A,FALSE,"Plan1";#N/A,#N/A,FALSE,"Plan2"}</definedName>
    <definedName name="jgdfdgfjgdj" hidden="1">{#N/A,#N/A,FALSE,"Plan1";#N/A,#N/A,FALSE,"Plan2"}</definedName>
    <definedName name="jgdfght" localSheetId="3" hidden="1">{#N/A,#N/A,FALSE,"Plan1";#N/A,#N/A,FALSE,"Plan2"}</definedName>
    <definedName name="jgdfght" localSheetId="33" hidden="1">{#N/A,#N/A,FALSE,"Plan1";#N/A,#N/A,FALSE,"Plan2"}</definedName>
    <definedName name="jgdfght" localSheetId="35" hidden="1">{#N/A,#N/A,FALSE,"Plan1";#N/A,#N/A,FALSE,"Plan2"}</definedName>
    <definedName name="jgdfght" hidden="1">{#N/A,#N/A,FALSE,"Plan1";#N/A,#N/A,FALSE,"Plan2"}</definedName>
    <definedName name="jgfgdsgfdhrf" localSheetId="3" hidden="1">{#N/A,#N/A,FALSE,"Plan1";#N/A,#N/A,FALSE,"Plan2"}</definedName>
    <definedName name="jgfgdsgfdhrf" localSheetId="33" hidden="1">{#N/A,#N/A,FALSE,"Plan1";#N/A,#N/A,FALSE,"Plan2"}</definedName>
    <definedName name="jgfgdsgfdhrf" localSheetId="35" hidden="1">{#N/A,#N/A,FALSE,"Plan1";#N/A,#N/A,FALSE,"Plan2"}</definedName>
    <definedName name="jgfgdsgfdhrf" hidden="1">{#N/A,#N/A,FALSE,"Plan1";#N/A,#N/A,FALSE,"Plan2"}</definedName>
    <definedName name="JGFJGTFT" localSheetId="3" hidden="1">{#N/A,#N/A,FALSE,"Plan1";#N/A,#N/A,FALSE,"Plan2"}</definedName>
    <definedName name="JGFJGTFT" localSheetId="33" hidden="1">{#N/A,#N/A,FALSE,"Plan1";#N/A,#N/A,FALSE,"Plan2"}</definedName>
    <definedName name="JGFJGTFT" localSheetId="35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localSheetId="3" hidden="1">{#N/A,#N/A,FALSE,"Plan1";#N/A,#N/A,FALSE,"Plan2"}</definedName>
    <definedName name="jgkjkhjuftgi" localSheetId="33" hidden="1">{#N/A,#N/A,FALSE,"Plan1";#N/A,#N/A,FALSE,"Plan2"}</definedName>
    <definedName name="jgkjkhjuftgi" localSheetId="35" hidden="1">{#N/A,#N/A,FALSE,"Plan1";#N/A,#N/A,FALSE,"Plan2"}</definedName>
    <definedName name="jgkjkhjuftgi" hidden="1">{#N/A,#N/A,FALSE,"Plan1";#N/A,#N/A,FALSE,"Plan2"}</definedName>
    <definedName name="jh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3" hidden="1">{#N/A,#N/A,FALSE,"Plan1";#N/A,#N/A,FALSE,"Plan2"}</definedName>
    <definedName name="jhdfjjhirft" localSheetId="33" hidden="1">{#N/A,#N/A,FALSE,"Plan1";#N/A,#N/A,FALSE,"Plan2"}</definedName>
    <definedName name="jhdfjjhirft" localSheetId="35" hidden="1">{#N/A,#N/A,FALSE,"Plan1";#N/A,#N/A,FALSE,"Plan2"}</definedName>
    <definedName name="jhdfjjhirft" hidden="1">{#N/A,#N/A,FALSE,"Plan1";#N/A,#N/A,FALSE,"Plan2"}</definedName>
    <definedName name="jhdfjkhtrdhf" localSheetId="3" hidden="1">{#N/A,#N/A,FALSE,"Plan1";#N/A,#N/A,FALSE,"Plan2"}</definedName>
    <definedName name="jhdfjkhtrdhf" localSheetId="33" hidden="1">{#N/A,#N/A,FALSE,"Plan1";#N/A,#N/A,FALSE,"Plan2"}</definedName>
    <definedName name="jhdfjkhtrdhf" localSheetId="35" hidden="1">{#N/A,#N/A,FALSE,"Plan1";#N/A,#N/A,FALSE,"Plan2"}</definedName>
    <definedName name="jhdfjkhtrdhf" hidden="1">{#N/A,#N/A,FALSE,"Plan1";#N/A,#N/A,FALSE,"Plan2"}</definedName>
    <definedName name="jhdfuthr" localSheetId="3" hidden="1">{#N/A,#N/A,FALSE,"Plan1";#N/A,#N/A,FALSE,"Plan2"}</definedName>
    <definedName name="jhdfuthr" localSheetId="33" hidden="1">{#N/A,#N/A,FALSE,"Plan1";#N/A,#N/A,FALSE,"Plan2"}</definedName>
    <definedName name="jhdfuthr" localSheetId="35" hidden="1">{#N/A,#N/A,FALSE,"Plan1";#N/A,#N/A,FALSE,"Plan2"}</definedName>
    <definedName name="jhdfuthr" hidden="1">{#N/A,#N/A,FALSE,"Plan1";#N/A,#N/A,FALSE,"Plan2"}</definedName>
    <definedName name="JHDFZGRDHF" localSheetId="3" hidden="1">{"Econ Consolidado",#N/A,FALSE,"Econ Consol";"Fluxo de Caixa",#N/A,FALSE,"Fluxo Caixa";"Investimentos",#N/A,FALSE,"Investimentos"}</definedName>
    <definedName name="JHDFZGRDHF" localSheetId="33" hidden="1">{"Econ Consolidado",#N/A,FALSE,"Econ Consol";"Fluxo de Caixa",#N/A,FALSE,"Fluxo Caixa";"Investimentos",#N/A,FALSE,"Investimentos"}</definedName>
    <definedName name="JHDFZGRDHF" localSheetId="35" hidden="1">{"Econ Consolidado",#N/A,FALSE,"Econ Consol";"Fluxo de Caixa",#N/A,FALSE,"Fluxo Caixa";"Investimentos",#N/A,FALSE,"Investimentos"}</definedName>
    <definedName name="JHDFZGRDHF" hidden="1">{"Econ Consolidado",#N/A,FALSE,"Econ Consol";"Fluxo de Caixa",#N/A,FALSE,"Fluxo Caixa";"Investimentos",#N/A,FALSE,"Investimentos"}</definedName>
    <definedName name="JHERKHKFGH" localSheetId="3" hidden="1">{#N/A,#N/A,FALSE,"Plan1";#N/A,#N/A,FALSE,"Plan2"}</definedName>
    <definedName name="JHERKHKFGH" localSheetId="33" hidden="1">{#N/A,#N/A,FALSE,"Plan1";#N/A,#N/A,FALSE,"Plan2"}</definedName>
    <definedName name="JHERKHKFGH" localSheetId="35" hidden="1">{#N/A,#N/A,FALSE,"Plan1";#N/A,#N/A,FALSE,"Plan2"}</definedName>
    <definedName name="JHERKHKFGH" hidden="1">{#N/A,#N/A,FALSE,"Plan1";#N/A,#N/A,FALSE,"Plan2"}</definedName>
    <definedName name="jhfhhztfhe" localSheetId="3" hidden="1">#REF!</definedName>
    <definedName name="jhfhhztfhe" localSheetId="12" hidden="1">#REF!</definedName>
    <definedName name="jhfhhztfhe" localSheetId="30" hidden="1">#REF!</definedName>
    <definedName name="jhfhhztfhe" localSheetId="28" hidden="1">#REF!</definedName>
    <definedName name="jhfhhztfhe" localSheetId="27" hidden="1">#REF!</definedName>
    <definedName name="jhfhhztfhe" localSheetId="18" hidden="1">#REF!</definedName>
    <definedName name="jhfhhztfhe" localSheetId="7" hidden="1">#REF!</definedName>
    <definedName name="jhfhhztfhe" localSheetId="23" hidden="1">#REF!</definedName>
    <definedName name="jhfhhztfhe" hidden="1">#REF!</definedName>
    <definedName name="JHGKJFJFJGL" localSheetId="3" hidden="1">{#N/A,#N/A,FALSE,"Plan1";#N/A,#N/A,FALSE,"Plan2"}</definedName>
    <definedName name="JHGKJFJFJGL" localSheetId="33" hidden="1">{#N/A,#N/A,FALSE,"Plan1";#N/A,#N/A,FALSE,"Plan2"}</definedName>
    <definedName name="JHGKJFJFJGL" localSheetId="35" hidden="1">{#N/A,#N/A,FALSE,"Plan1";#N/A,#N/A,FALSE,"Plan2"}</definedName>
    <definedName name="JHGKJFJFJGL" hidden="1">{#N/A,#N/A,FALSE,"Plan1";#N/A,#N/A,FALSE,"Plan2"}</definedName>
    <definedName name="jhsdjkhfuks" localSheetId="3" hidden="1">{#N/A,#N/A,FALSE,"Plan1";#N/A,#N/A,FALSE,"Plan2"}</definedName>
    <definedName name="jhsdjkhfuks" localSheetId="33" hidden="1">{#N/A,#N/A,FALSE,"Plan1";#N/A,#N/A,FALSE,"Plan2"}</definedName>
    <definedName name="jhsdjkhfuks" localSheetId="35" hidden="1">{#N/A,#N/A,FALSE,"Plan1";#N/A,#N/A,FALSE,"Plan2"}</definedName>
    <definedName name="jhsdjkhfuks" hidden="1">{#N/A,#N/A,FALSE,"Plan1";#N/A,#N/A,FALSE,"Plan2"}</definedName>
    <definedName name="jisdrkje" localSheetId="3" hidden="1">{#N/A,#N/A,FALSE,"Plan1";#N/A,#N/A,FALSE,"Plan2"}</definedName>
    <definedName name="jisdrkje" localSheetId="33" hidden="1">{#N/A,#N/A,FALSE,"Plan1";#N/A,#N/A,FALSE,"Plan2"}</definedName>
    <definedName name="jisdrkje" localSheetId="35" hidden="1">{#N/A,#N/A,FALSE,"Plan1";#N/A,#N/A,FALSE,"Plan2"}</definedName>
    <definedName name="jisdrkje" hidden="1">{#N/A,#N/A,FALSE,"Plan1";#N/A,#N/A,FALSE,"Plan2"}</definedName>
    <definedName name="jishfrieyhtau" localSheetId="3" hidden="1">{#N/A,#N/A,FALSE,"Plan1";#N/A,#N/A,FALSE,"Plan2"}</definedName>
    <definedName name="jishfrieyhtau" localSheetId="33" hidden="1">{#N/A,#N/A,FALSE,"Plan1";#N/A,#N/A,FALSE,"Plan2"}</definedName>
    <definedName name="jishfrieyhtau" localSheetId="35" hidden="1">{#N/A,#N/A,FALSE,"Plan1";#N/A,#N/A,FALSE,"Plan2"}</definedName>
    <definedName name="jishfrieyhtau" hidden="1">{#N/A,#N/A,FALSE,"Plan1";#N/A,#N/A,FALSE,"Plan2"}</definedName>
    <definedName name="jiu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33" hidden="1">{"'Apr-00'!$B$4:$AD$44"}</definedName>
    <definedName name="jj" localSheetId="35" hidden="1">{"'Apr-00'!$B$4:$AD$44"}</definedName>
    <definedName name="jj" hidden="1">{"'Apr-00'!$B$4:$AD$44"}</definedName>
    <definedName name="jjfdsktyhhy" localSheetId="3" hidden="1">{#N/A,#N/A,FALSE,"Plan1";#N/A,#N/A,FALSE,"Plan2"}</definedName>
    <definedName name="jjfdsktyhhy" localSheetId="33" hidden="1">{#N/A,#N/A,FALSE,"Plan1";#N/A,#N/A,FALSE,"Plan2"}</definedName>
    <definedName name="jjfdsktyhhy" localSheetId="35" hidden="1">{#N/A,#N/A,FALSE,"Plan1";#N/A,#N/A,FALSE,"Plan2"}</definedName>
    <definedName name="jjfdsktyhhy" hidden="1">{#N/A,#N/A,FALSE,"Plan1";#N/A,#N/A,FALSE,"Plan2"}</definedName>
    <definedName name="jjjjjjjjjjjjjjjjjjjj" localSheetId="12">#REF!</definedName>
    <definedName name="jjjjjjjjjjjjjjjjjjjj" localSheetId="30">#REF!</definedName>
    <definedName name="jjjjjjjjjjjjjjjjjjjj" localSheetId="28">#REF!</definedName>
    <definedName name="jjjjjjjjjjjjjjjjjjjj" localSheetId="27">#REF!</definedName>
    <definedName name="jjjjjjjjjjjjjjjjjjjj" localSheetId="18">#REF!</definedName>
    <definedName name="jjjjjjjjjjjjjjjjjjjj" localSheetId="7">#REF!</definedName>
    <definedName name="jjjjjjjjjjjjjjjjjjjj" localSheetId="23">#REF!</definedName>
    <definedName name="jjjjjjjjjjjjjjjjjjjj">#REF!</definedName>
    <definedName name="jjkjkjk" localSheetId="3" hidden="1">{#N/A,#N/A,FALSE,"Plan1";#N/A,#N/A,FALSE,"Plan2"}</definedName>
    <definedName name="jjkjkjk" localSheetId="33" hidden="1">{#N/A,#N/A,FALSE,"Plan1";#N/A,#N/A,FALSE,"Plan2"}</definedName>
    <definedName name="jjkjkjk" localSheetId="35" hidden="1">{#N/A,#N/A,FALSE,"Plan1";#N/A,#N/A,FALSE,"Plan2"}</definedName>
    <definedName name="jjkjkjk" hidden="1">{#N/A,#N/A,FALSE,"Plan1";#N/A,#N/A,FALSE,"Plan2"}</definedName>
    <definedName name="JKDCK" localSheetId="3" hidden="1">{#N/A,#N/A,FALSE,"Plan1";#N/A,#N/A,FALSE,"Plan2"}</definedName>
    <definedName name="JKDCK" localSheetId="33" hidden="1">{#N/A,#N/A,FALSE,"Plan1";#N/A,#N/A,FALSE,"Plan2"}</definedName>
    <definedName name="JKDCK" localSheetId="35" hidden="1">{#N/A,#N/A,FALSE,"Plan1";#N/A,#N/A,FALSE,"Plan2"}</definedName>
    <definedName name="JKDCK" hidden="1">{#N/A,#N/A,FALSE,"Plan1";#N/A,#N/A,FALSE,"Plan2"}</definedName>
    <definedName name="JKDFHKHFR" localSheetId="3" hidden="1">{#N/A,#N/A,FALSE,"Plan1";#N/A,#N/A,FALSE,"Plan2"}</definedName>
    <definedName name="JKDFHKHFR" localSheetId="33" hidden="1">{#N/A,#N/A,FALSE,"Plan1";#N/A,#N/A,FALSE,"Plan2"}</definedName>
    <definedName name="JKDFHKHFR" localSheetId="35" hidden="1">{#N/A,#N/A,FALSE,"Plan1";#N/A,#N/A,FALSE,"Plan2"}</definedName>
    <definedName name="JKDFHKHFR" hidden="1">{#N/A,#N/A,FALSE,"Plan1";#N/A,#N/A,FALSE,"Plan2"}</definedName>
    <definedName name="JKDFTRDRJ" localSheetId="3" hidden="1">{#N/A,#N/A,FALSE,"Plan1";#N/A,#N/A,FALSE,"Plan2"}</definedName>
    <definedName name="JKDFTRDRJ" localSheetId="33" hidden="1">{#N/A,#N/A,FALSE,"Plan1";#N/A,#N/A,FALSE,"Plan2"}</definedName>
    <definedName name="JKDFTRDRJ" localSheetId="35" hidden="1">{#N/A,#N/A,FALSE,"Plan1";#N/A,#N/A,FALSE,"Plan2"}</definedName>
    <definedName name="JKDFTRDRJ" hidden="1">{#N/A,#N/A,FALSE,"Plan1";#N/A,#N/A,FALSE,"Plan2"}</definedName>
    <definedName name="jkdhfukhddf" localSheetId="3" hidden="1">{#N/A,#N/A,FALSE,"Plan1";#N/A,#N/A,FALSE,"Plan2"}</definedName>
    <definedName name="jkdhfukhddf" localSheetId="33" hidden="1">{#N/A,#N/A,FALSE,"Plan1";#N/A,#N/A,FALSE,"Plan2"}</definedName>
    <definedName name="jkdhfukhddf" localSheetId="35" hidden="1">{#N/A,#N/A,FALSE,"Plan1";#N/A,#N/A,FALSE,"Plan2"}</definedName>
    <definedName name="jkdhfukhddf" hidden="1">{#N/A,#N/A,FALSE,"Plan1";#N/A,#N/A,FALSE,"Plan2"}</definedName>
    <definedName name="JKDRKGJHTDR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3" hidden="1">{#N/A,#N/A,FALSE,"Plan1";#N/A,#N/A,FALSE,"Plan2"}</definedName>
    <definedName name="jkelsjreja" localSheetId="33" hidden="1">{#N/A,#N/A,FALSE,"Plan1";#N/A,#N/A,FALSE,"Plan2"}</definedName>
    <definedName name="jkelsjreja" localSheetId="35" hidden="1">{#N/A,#N/A,FALSE,"Plan1";#N/A,#N/A,FALSE,"Plan2"}</definedName>
    <definedName name="jkelsjreja" hidden="1">{#N/A,#N/A,FALSE,"Plan1";#N/A,#N/A,FALSE,"Plan2"}</definedName>
    <definedName name="jkfhjgkfhghh" localSheetId="3" hidden="1">{#N/A,#N/A,FALSE,"Plan1";#N/A,#N/A,FALSE,"Plan2"}</definedName>
    <definedName name="jkfhjgkfhghh" localSheetId="33" hidden="1">{#N/A,#N/A,FALSE,"Plan1";#N/A,#N/A,FALSE,"Plan2"}</definedName>
    <definedName name="jkfhjgkfhghh" localSheetId="35" hidden="1">{#N/A,#N/A,FALSE,"Plan1";#N/A,#N/A,FALSE,"Plan2"}</definedName>
    <definedName name="jkfhjgkfhghh" hidden="1">{#N/A,#N/A,FALSE,"Plan1";#N/A,#N/A,FALSE,"Plan2"}</definedName>
    <definedName name="jkhderjkhes" localSheetId="3" hidden="1">{#N/A,#N/A,FALSE,"Plan1";#N/A,#N/A,FALSE,"Plan2"}</definedName>
    <definedName name="jkhderjkhes" localSheetId="33" hidden="1">{#N/A,#N/A,FALSE,"Plan1";#N/A,#N/A,FALSE,"Plan2"}</definedName>
    <definedName name="jkhderjkhes" localSheetId="35" hidden="1">{#N/A,#N/A,FALSE,"Plan1";#N/A,#N/A,FALSE,"Plan2"}</definedName>
    <definedName name="jkhderjkhes" hidden="1">{#N/A,#N/A,FALSE,"Plan1";#N/A,#N/A,FALSE,"Plan2"}</definedName>
    <definedName name="jkhdfhfd" localSheetId="3" hidden="1">{#N/A,#N/A,FALSE,"Plan1";#N/A,#N/A,FALSE,"Plan2"}</definedName>
    <definedName name="jkhdfhfd" localSheetId="33" hidden="1">{#N/A,#N/A,FALSE,"Plan1";#N/A,#N/A,FALSE,"Plan2"}</definedName>
    <definedName name="jkhdfhfd" localSheetId="35" hidden="1">{#N/A,#N/A,FALSE,"Plan1";#N/A,#N/A,FALSE,"Plan2"}</definedName>
    <definedName name="jkhdfhfd" hidden="1">{#N/A,#N/A,FALSE,"Plan1";#N/A,#N/A,FALSE,"Plan2"}</definedName>
    <definedName name="jkhfhest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3" hidden="1">{#N/A,#N/A,FALSE,"Plan1";#N/A,#N/A,FALSE,"Plan2"}</definedName>
    <definedName name="JKHFKJHGKFTHUDET" localSheetId="33" hidden="1">{#N/A,#N/A,FALSE,"Plan1";#N/A,#N/A,FALSE,"Plan2"}</definedName>
    <definedName name="JKHFKJHGKFTHUDET" localSheetId="35" hidden="1">{#N/A,#N/A,FALSE,"Plan1";#N/A,#N/A,FALSE,"Plan2"}</definedName>
    <definedName name="JKHFKJHGKFTHUDET" hidden="1">{#N/A,#N/A,FALSE,"Plan1";#N/A,#N/A,FALSE,"Plan2"}</definedName>
    <definedName name="JKHGDHFUHTG" localSheetId="3" hidden="1">{#N/A,#N/A,FALSE,"Plan1";#N/A,#N/A,FALSE,"Plan2"}</definedName>
    <definedName name="JKHGDHFUHTG" localSheetId="33" hidden="1">{#N/A,#N/A,FALSE,"Plan1";#N/A,#N/A,FALSE,"Plan2"}</definedName>
    <definedName name="JKHGDHFUHTG" localSheetId="35" hidden="1">{#N/A,#N/A,FALSE,"Plan1";#N/A,#N/A,FALSE,"Plan2"}</definedName>
    <definedName name="JKHGDHFUHTG" hidden="1">{#N/A,#N/A,FALSE,"Plan1";#N/A,#N/A,FALSE,"Plan2"}</definedName>
    <definedName name="jkhsdzjkfyiu" localSheetId="3" hidden="1">{#N/A,#N/A,FALSE,"Plan1";#N/A,#N/A,FALSE,"Plan2"}</definedName>
    <definedName name="jkhsdzjkfyiu" localSheetId="33" hidden="1">{#N/A,#N/A,FALSE,"Plan1";#N/A,#N/A,FALSE,"Plan2"}</definedName>
    <definedName name="jkhsdzjkfyiu" localSheetId="35" hidden="1">{#N/A,#N/A,FALSE,"Plan1";#N/A,#N/A,FALSE,"Plan2"}</definedName>
    <definedName name="jkhsdzjkfyiu" hidden="1">{#N/A,#N/A,FALSE,"Plan1";#N/A,#N/A,FALSE,"Plan2"}</definedName>
    <definedName name="jkjsdkhfdhrf" localSheetId="3" hidden="1">{#N/A,#N/A,FALSE,"Plan1";#N/A,#N/A,FALSE,"Plan2"}</definedName>
    <definedName name="jkjsdkhfdhrf" localSheetId="33" hidden="1">{#N/A,#N/A,FALSE,"Plan1";#N/A,#N/A,FALSE,"Plan2"}</definedName>
    <definedName name="jkjsdkhfdhrf" localSheetId="35" hidden="1">{#N/A,#N/A,FALSE,"Plan1";#N/A,#N/A,FALSE,"Plan2"}</definedName>
    <definedName name="jkjsdkhfdhrf" hidden="1">{#N/A,#N/A,FALSE,"Plan1";#N/A,#N/A,FALSE,"Plan2"}</definedName>
    <definedName name="jklgfsjgtjtg" localSheetId="3" hidden="1">{#N/A,#N/A,FALSE,"Plan1";#N/A,#N/A,FALSE,"Plan2"}</definedName>
    <definedName name="jklgfsjgtjtg" localSheetId="33" hidden="1">{#N/A,#N/A,FALSE,"Plan1";#N/A,#N/A,FALSE,"Plan2"}</definedName>
    <definedName name="jklgfsjgtjtg" localSheetId="35" hidden="1">{#N/A,#N/A,FALSE,"Plan1";#N/A,#N/A,FALSE,"Plan2"}</definedName>
    <definedName name="jklgfsjgtjtg" hidden="1">{#N/A,#N/A,FALSE,"Plan1";#N/A,#N/A,FALSE,"Plan2"}</definedName>
    <definedName name="jksldfjsdhf" localSheetId="3" hidden="1">{#N/A,#N/A,FALSE,"Plan1";#N/A,#N/A,FALSE,"Plan2"}</definedName>
    <definedName name="jksldfjsdhf" localSheetId="33" hidden="1">{#N/A,#N/A,FALSE,"Plan1";#N/A,#N/A,FALSE,"Plan2"}</definedName>
    <definedName name="jksldfjsdhf" localSheetId="35" hidden="1">{#N/A,#N/A,FALSE,"Plan1";#N/A,#N/A,FALSE,"Plan2"}</definedName>
    <definedName name="jksldfjsdhf" hidden="1">{#N/A,#N/A,FALSE,"Plan1";#N/A,#N/A,FALSE,"Plan2"}</definedName>
    <definedName name="jkxhcjkhfr" localSheetId="3" hidden="1">{#N/A,#N/A,FALSE,"Plan1";#N/A,#N/A,FALSE,"Plan2"}</definedName>
    <definedName name="jkxhcjkhfr" localSheetId="33" hidden="1">{#N/A,#N/A,FALSE,"Plan1";#N/A,#N/A,FALSE,"Plan2"}</definedName>
    <definedName name="jkxhcjkhfr" localSheetId="35" hidden="1">{#N/A,#N/A,FALSE,"Plan1";#N/A,#N/A,FALSE,"Plan2"}</definedName>
    <definedName name="jkxhcjkhfr" hidden="1">{#N/A,#N/A,FALSE,"Plan1";#N/A,#N/A,FALSE,"Plan2"}</definedName>
    <definedName name="JNGCKFKJFGH" localSheetId="3" hidden="1">{#N/A,#N/A,FALSE,"Plan1";#N/A,#N/A,FALSE,"Plan2"}</definedName>
    <definedName name="JNGCKFKJFGH" localSheetId="33" hidden="1">{#N/A,#N/A,FALSE,"Plan1";#N/A,#N/A,FALSE,"Plan2"}</definedName>
    <definedName name="JNGCKFKJFGH" localSheetId="35" hidden="1">{#N/A,#N/A,FALSE,"Plan1";#N/A,#N/A,FALSE,"Plan2"}</definedName>
    <definedName name="JNGCKFKJFGH" hidden="1">{#N/A,#N/A,FALSE,"Plan1";#N/A,#N/A,FALSE,"Plan2"}</definedName>
    <definedName name="JOALDO" localSheetId="12">#REF!</definedName>
    <definedName name="JOALDO" localSheetId="30">#REF!</definedName>
    <definedName name="JOALDO" localSheetId="28">#REF!</definedName>
    <definedName name="JOALDO" localSheetId="27">#REF!</definedName>
    <definedName name="JOALDO" localSheetId="18">#REF!</definedName>
    <definedName name="JOALDO" localSheetId="7">#REF!</definedName>
    <definedName name="JOALDO" localSheetId="23">#REF!</definedName>
    <definedName name="JOALDO">#REF!</definedName>
    <definedName name="joao_cdi" localSheetId="12">#REF!</definedName>
    <definedName name="joao_cdi" localSheetId="30">#REF!</definedName>
    <definedName name="joao_cdi" localSheetId="28">#REF!</definedName>
    <definedName name="joao_cdi" localSheetId="27">#REF!</definedName>
    <definedName name="joao_cdi" localSheetId="18">#REF!</definedName>
    <definedName name="joao_cdi" localSheetId="7">#REF!</definedName>
    <definedName name="joao_cdi" localSheetId="23">#REF!</definedName>
    <definedName name="joao_cdi">#REF!</definedName>
    <definedName name="joao_hist" localSheetId="12">#REF!</definedName>
    <definedName name="joao_hist" localSheetId="30">#REF!</definedName>
    <definedName name="joao_hist" localSheetId="28">#REF!</definedName>
    <definedName name="joao_hist" localSheetId="27">#REF!</definedName>
    <definedName name="joao_hist" localSheetId="18">#REF!</definedName>
    <definedName name="joao_hist" localSheetId="7">#REF!</definedName>
    <definedName name="joao_hist" localSheetId="23">#REF!</definedName>
    <definedName name="joao_hist">#REF!</definedName>
    <definedName name="joao_uss" localSheetId="12">#REF!</definedName>
    <definedName name="joao_uss" localSheetId="30">#REF!</definedName>
    <definedName name="joao_uss" localSheetId="28">#REF!</definedName>
    <definedName name="joao_uss" localSheetId="27">#REF!</definedName>
    <definedName name="joao_uss" localSheetId="18">#REF!</definedName>
    <definedName name="joao_uss" localSheetId="7">#REF!</definedName>
    <definedName name="joao_uss" localSheetId="23">#REF!</definedName>
    <definedName name="joao_uss">#REF!</definedName>
    <definedName name="JREJRW" localSheetId="3" hidden="1">{#N/A,#N/A,FALSE,"Plan1";#N/A,#N/A,FALSE,"Plan2"}</definedName>
    <definedName name="JREJRW" localSheetId="33" hidden="1">{#N/A,#N/A,FALSE,"Plan1";#N/A,#N/A,FALSE,"Plan2"}</definedName>
    <definedName name="JREJRW" localSheetId="35" hidden="1">{#N/A,#N/A,FALSE,"Plan1";#N/A,#N/A,FALSE,"Plan2"}</definedName>
    <definedName name="JREJRW" hidden="1">{#N/A,#N/A,FALSE,"Plan1";#N/A,#N/A,FALSE,"Plan2"}</definedName>
    <definedName name="JSADKAH" localSheetId="3" hidden="1">{"Econ Consolidado",#N/A,FALSE,"Econ Consol";"Fluxo de Caixa",#N/A,FALSE,"Fluxo Caixa";"Investimentos",#N/A,FALSE,"Investimentos"}</definedName>
    <definedName name="JSADKAH" localSheetId="33" hidden="1">{"Econ Consolidado",#N/A,FALSE,"Econ Consol";"Fluxo de Caixa",#N/A,FALSE,"Fluxo Caixa";"Investimentos",#N/A,FALSE,"Investimentos"}</definedName>
    <definedName name="JSADKAH" localSheetId="35" hidden="1">{"Econ Consolidado",#N/A,FALSE,"Econ Consol";"Fluxo de Caixa",#N/A,FALSE,"Fluxo Caixa";"Investimentos",#N/A,FALSE,"Investimentos"}</definedName>
    <definedName name="JSADKAH" hidden="1">{"Econ Consolidado",#N/A,FALSE,"Econ Consol";"Fluxo de Caixa",#N/A,FALSE,"Fluxo Caixa";"Investimentos",#N/A,FALSE,"Investimentos"}</definedName>
    <definedName name="JSDAJRE" localSheetId="3" hidden="1">{#N/A,#N/A,FALSE,"Plan1";#N/A,#N/A,FALSE,"Plan2"}</definedName>
    <definedName name="JSDAJRE" localSheetId="33" hidden="1">{#N/A,#N/A,FALSE,"Plan1";#N/A,#N/A,FALSE,"Plan2"}</definedName>
    <definedName name="JSDAJRE" localSheetId="35" hidden="1">{#N/A,#N/A,FALSE,"Plan1";#N/A,#N/A,FALSE,"Plan2"}</definedName>
    <definedName name="JSDAJRE" hidden="1">{#N/A,#N/A,FALSE,"Plan1";#N/A,#N/A,FALSE,"Plan2"}</definedName>
    <definedName name="jsdffse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3" hidden="1">{#N/A,#N/A,FALSE,"Plan1";#N/A,#N/A,FALSE,"Plan2"}</definedName>
    <definedName name="jsdfjgx" localSheetId="33" hidden="1">{#N/A,#N/A,FALSE,"Plan1";#N/A,#N/A,FALSE,"Plan2"}</definedName>
    <definedName name="jsdfjgx" localSheetId="35" hidden="1">{#N/A,#N/A,FALSE,"Plan1";#N/A,#N/A,FALSE,"Plan2"}</definedName>
    <definedName name="jsdfjgx" hidden="1">{#N/A,#N/A,FALSE,"Plan1";#N/A,#N/A,FALSE,"Plan2"}</definedName>
    <definedName name="jsdfkgnfr" localSheetId="3" hidden="1">#REF!</definedName>
    <definedName name="jsdfkgnfr" localSheetId="12" hidden="1">#REF!</definedName>
    <definedName name="jsdfkgnfr" localSheetId="30" hidden="1">#REF!</definedName>
    <definedName name="jsdfkgnfr" localSheetId="28" hidden="1">#REF!</definedName>
    <definedName name="jsdfkgnfr" localSheetId="27" hidden="1">#REF!</definedName>
    <definedName name="jsdfkgnfr" localSheetId="18" hidden="1">#REF!</definedName>
    <definedName name="jsdfkgnfr" localSheetId="7" hidden="1">#REF!</definedName>
    <definedName name="jsdfkgnfr" localSheetId="23" hidden="1">#REF!</definedName>
    <definedName name="jsdfkgnfr" hidden="1">#REF!</definedName>
    <definedName name="jsdfsdfd" localSheetId="3" hidden="1">{#N/A,#N/A,FALSE,"Plan1";#N/A,#N/A,FALSE,"Plan2"}</definedName>
    <definedName name="jsdfsdfd" localSheetId="33" hidden="1">{#N/A,#N/A,FALSE,"Plan1";#N/A,#N/A,FALSE,"Plan2"}</definedName>
    <definedName name="jsdfsdfd" localSheetId="35" hidden="1">{#N/A,#N/A,FALSE,"Plan1";#N/A,#N/A,FALSE,"Plan2"}</definedName>
    <definedName name="jsdfsdfd" hidden="1">{#N/A,#N/A,FALSE,"Plan1";#N/A,#N/A,FALSE,"Plan2"}</definedName>
    <definedName name="jsdljficd" localSheetId="3" hidden="1">{#N/A,#N/A,FALSE,"Plan1";#N/A,#N/A,FALSE,"Plan2"}</definedName>
    <definedName name="jsdljficd" localSheetId="33" hidden="1">{#N/A,#N/A,FALSE,"Plan1";#N/A,#N/A,FALSE,"Plan2"}</definedName>
    <definedName name="jsdljficd" localSheetId="35" hidden="1">{#N/A,#N/A,FALSE,"Plan1";#N/A,#N/A,FALSE,"Plan2"}</definedName>
    <definedName name="jsdljficd" hidden="1">{#N/A,#N/A,FALSE,"Plan1";#N/A,#N/A,FALSE,"Plan2"}</definedName>
    <definedName name="JSDTLFJDRG" localSheetId="3" hidden="1">{#N/A,#N/A,FALSE,"Plan1";#N/A,#N/A,FALSE,"Plan2"}</definedName>
    <definedName name="JSDTLFJDRG" localSheetId="33" hidden="1">{#N/A,#N/A,FALSE,"Plan1";#N/A,#N/A,FALSE,"Plan2"}</definedName>
    <definedName name="JSDTLFJDRG" localSheetId="35" hidden="1">{#N/A,#N/A,FALSE,"Plan1";#N/A,#N/A,FALSE,"Plan2"}</definedName>
    <definedName name="JSDTLFJDRG" hidden="1">{#N/A,#N/A,FALSE,"Plan1";#N/A,#N/A,FALSE,"Plan2"}</definedName>
    <definedName name="jsfjsjferwea" localSheetId="3" hidden="1">{#N/A,#N/A,FALSE,"Plan1";#N/A,#N/A,FALSE,"Plan2"}</definedName>
    <definedName name="jsfjsjferwea" localSheetId="33" hidden="1">{#N/A,#N/A,FALSE,"Plan1";#N/A,#N/A,FALSE,"Plan2"}</definedName>
    <definedName name="jsfjsjferwea" localSheetId="35" hidden="1">{#N/A,#N/A,FALSE,"Plan1";#N/A,#N/A,FALSE,"Plan2"}</definedName>
    <definedName name="jsfjsjferwea" hidden="1">{#N/A,#N/A,FALSE,"Plan1";#N/A,#N/A,FALSE,"Plan2"}</definedName>
    <definedName name="jslrjer" localSheetId="3" hidden="1">{#N/A,#N/A,FALSE,"Plan1";#N/A,#N/A,FALSE,"Plan2"}</definedName>
    <definedName name="jslrjer" localSheetId="33" hidden="1">{#N/A,#N/A,FALSE,"Plan1";#N/A,#N/A,FALSE,"Plan2"}</definedName>
    <definedName name="jslrjer" localSheetId="35" hidden="1">{#N/A,#N/A,FALSE,"Plan1";#N/A,#N/A,FALSE,"Plan2"}</definedName>
    <definedName name="jslrjer" hidden="1">{#N/A,#N/A,FALSE,"Plan1";#N/A,#N/A,FALSE,"Plan2"}</definedName>
    <definedName name="juklhkhdf" localSheetId="3" hidden="1">{#N/A,#N/A,FALSE,"Plan1";#N/A,#N/A,FALSE,"Plan2"}</definedName>
    <definedName name="juklhkhdf" localSheetId="33" hidden="1">{#N/A,#N/A,FALSE,"Plan1";#N/A,#N/A,FALSE,"Plan2"}</definedName>
    <definedName name="juklhkhdf" localSheetId="35" hidden="1">{#N/A,#N/A,FALSE,"Plan1";#N/A,#N/A,FALSE,"Plan2"}</definedName>
    <definedName name="juklhkhdf" hidden="1">{#N/A,#N/A,FALSE,"Plan1";#N/A,#N/A,FALSE,"Plan2"}</definedName>
    <definedName name="jul17RJ" localSheetId="12">#REF!</definedName>
    <definedName name="jul17RJ" localSheetId="30">#REF!</definedName>
    <definedName name="jul17RJ" localSheetId="28">#REF!</definedName>
    <definedName name="jul17RJ" localSheetId="27">#REF!</definedName>
    <definedName name="jul17RJ" localSheetId="18">#REF!</definedName>
    <definedName name="jul17RJ" localSheetId="7">#REF!</definedName>
    <definedName name="jul17RJ" localSheetId="23">#REF!</definedName>
    <definedName name="jul17RJ">#REF!</definedName>
    <definedName name="JULHO" localSheetId="12">#REF!</definedName>
    <definedName name="JULHO" localSheetId="30">#REF!</definedName>
    <definedName name="JULHO" localSheetId="28">#REF!</definedName>
    <definedName name="JULHO" localSheetId="27">#REF!</definedName>
    <definedName name="JULHO" localSheetId="18">#REF!</definedName>
    <definedName name="JULHO" localSheetId="7">#REF!</definedName>
    <definedName name="JULHO" localSheetId="23">#REF!</definedName>
    <definedName name="JULHO">#REF!</definedName>
    <definedName name="JULHO2001" localSheetId="12">#REF!</definedName>
    <definedName name="JULHO2001" localSheetId="30">#REF!</definedName>
    <definedName name="JULHO2001" localSheetId="28">#REF!</definedName>
    <definedName name="JULHO2001" localSheetId="27">#REF!</definedName>
    <definedName name="JULHO2001" localSheetId="18">#REF!</definedName>
    <definedName name="JULHO2001" localSheetId="7">#REF!</definedName>
    <definedName name="JULHO2001" localSheetId="23">#REF!</definedName>
    <definedName name="JULHO2001">#REF!</definedName>
    <definedName name="JULHO99" localSheetId="33" hidden="1">{#N/A,#N/A,TRUE,"Quinzena 01 à 15-04-98 "}</definedName>
    <definedName name="JULHO99" localSheetId="35" hidden="1">{#N/A,#N/A,TRUE,"Quinzena 01 à 15-04-98 "}</definedName>
    <definedName name="JULHO99" hidden="1">{#N/A,#N/A,TRUE,"Quinzena 01 à 15-04-98 "}</definedName>
    <definedName name="jun17RJ" localSheetId="12">#REF!</definedName>
    <definedName name="jun17RJ" localSheetId="30">#REF!</definedName>
    <definedName name="jun17RJ" localSheetId="28">#REF!</definedName>
    <definedName name="jun17RJ" localSheetId="27">#REF!</definedName>
    <definedName name="jun17RJ" localSheetId="18">#REF!</definedName>
    <definedName name="jun17RJ" localSheetId="7">#REF!</definedName>
    <definedName name="jun17RJ" localSheetId="23">#REF!</definedName>
    <definedName name="jun17RJ">#REF!</definedName>
    <definedName name="JUNHO" localSheetId="12">#REF!</definedName>
    <definedName name="JUNHO" localSheetId="30">#REF!</definedName>
    <definedName name="JUNHO" localSheetId="28">#REF!</definedName>
    <definedName name="JUNHO" localSheetId="27">#REF!</definedName>
    <definedName name="JUNHO" localSheetId="18">#REF!</definedName>
    <definedName name="JUNHO" localSheetId="7">#REF!</definedName>
    <definedName name="JUNHO" localSheetId="23">#REF!</definedName>
    <definedName name="JUNHO">#REF!</definedName>
    <definedName name="JUNHO2001" localSheetId="12">#REF!</definedName>
    <definedName name="JUNHO2001" localSheetId="30">#REF!</definedName>
    <definedName name="JUNHO2001" localSheetId="28">#REF!</definedName>
    <definedName name="JUNHO2001" localSheetId="27">#REF!</definedName>
    <definedName name="JUNHO2001" localSheetId="18">#REF!</definedName>
    <definedName name="JUNHO2001" localSheetId="7">#REF!</definedName>
    <definedName name="JUNHO2001" localSheetId="23">#REF!</definedName>
    <definedName name="JUNHO2001">#REF!</definedName>
    <definedName name="JurosTpMes" localSheetId="12">#REF!</definedName>
    <definedName name="JurosTpMes" localSheetId="30">#REF!</definedName>
    <definedName name="JurosTpMes" localSheetId="28">#REF!</definedName>
    <definedName name="JurosTpMes" localSheetId="27">#REF!</definedName>
    <definedName name="JurosTpMes" localSheetId="18">#REF!</definedName>
    <definedName name="JurosTpMes" localSheetId="7">#REF!</definedName>
    <definedName name="JurosTpMes" localSheetId="23">#REF!</definedName>
    <definedName name="JurosTpMes">#REF!</definedName>
    <definedName name="jwekljd" localSheetId="3" hidden="1">{#N/A,#N/A,FALSE,"Plan1";#N/A,#N/A,FALSE,"Plan2"}</definedName>
    <definedName name="jwekljd" localSheetId="33" hidden="1">{#N/A,#N/A,FALSE,"Plan1";#N/A,#N/A,FALSE,"Plan2"}</definedName>
    <definedName name="jwekljd" localSheetId="35" hidden="1">{#N/A,#N/A,FALSE,"Plan1";#N/A,#N/A,FALSE,"Plan2"}</definedName>
    <definedName name="jwekljd" hidden="1">{#N/A,#N/A,FALSE,"Plan1";#N/A,#N/A,FALSE,"Plan2"}</definedName>
    <definedName name="JWEOITORU5Y" localSheetId="3" hidden="1">{#N/A,#N/A,FALSE,"Plan1";#N/A,#N/A,FALSE,"Plan2"}</definedName>
    <definedName name="JWEOITORU5Y" localSheetId="33" hidden="1">{#N/A,#N/A,FALSE,"Plan1";#N/A,#N/A,FALSE,"Plan2"}</definedName>
    <definedName name="JWEOITORU5Y" localSheetId="35" hidden="1">{#N/A,#N/A,FALSE,"Plan1";#N/A,#N/A,FALSE,"Plan2"}</definedName>
    <definedName name="JWEOITORU5Y" hidden="1">{#N/A,#N/A,FALSE,"Plan1";#N/A,#N/A,FALSE,"Plan2"}</definedName>
    <definedName name="jxdfjsrf" localSheetId="3" hidden="1">{#N/A,#N/A,FALSE,"Plan1";#N/A,#N/A,FALSE,"Plan2"}</definedName>
    <definedName name="jxdfjsrf" localSheetId="33" hidden="1">{#N/A,#N/A,FALSE,"Plan1";#N/A,#N/A,FALSE,"Plan2"}</definedName>
    <definedName name="jxdfjsrf" localSheetId="35" hidden="1">{#N/A,#N/A,FALSE,"Plan1";#N/A,#N/A,FALSE,"Plan2"}</definedName>
    <definedName name="jxdfjsrf" hidden="1">{#N/A,#N/A,FALSE,"Plan1";#N/A,#N/A,FALSE,"Plan2"}</definedName>
    <definedName name="jxdklfjv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localSheetId="12" hidden="1">#REF!</definedName>
    <definedName name="JY" localSheetId="30" hidden="1">#REF!</definedName>
    <definedName name="JY" localSheetId="28" hidden="1">#REF!</definedName>
    <definedName name="JY" localSheetId="27" hidden="1">#REF!</definedName>
    <definedName name="JY" localSheetId="18" hidden="1">#REF!</definedName>
    <definedName name="JY" localSheetId="7" hidden="1">#REF!</definedName>
    <definedName name="JY" localSheetId="23" hidden="1">#REF!</definedName>
    <definedName name="JY" hidden="1">#REF!</definedName>
    <definedName name="jzsdjkszl" localSheetId="3" hidden="1">{#N/A,#N/A,FALSE,"Plan1";#N/A,#N/A,FALSE,"Plan2"}</definedName>
    <definedName name="jzsdjkszl" localSheetId="33" hidden="1">{#N/A,#N/A,FALSE,"Plan1";#N/A,#N/A,FALSE,"Plan2"}</definedName>
    <definedName name="jzsdjkszl" localSheetId="35" hidden="1">{#N/A,#N/A,FALSE,"Plan1";#N/A,#N/A,FALSE,"Plan2"}</definedName>
    <definedName name="jzsdjkszl" hidden="1">{#N/A,#N/A,FALSE,"Plan1";#N/A,#N/A,FALSE,"Plan2"}</definedName>
    <definedName name="JZXFKLJLDJF" localSheetId="3" hidden="1">{#N/A,#N/A,FALSE,"Plan1";#N/A,#N/A,FALSE,"Plan2"}</definedName>
    <definedName name="JZXFKLJLDJF" localSheetId="33" hidden="1">{#N/A,#N/A,FALSE,"Plan1";#N/A,#N/A,FALSE,"Plan2"}</definedName>
    <definedName name="JZXFKLJLDJF" localSheetId="35" hidden="1">{#N/A,#N/A,FALSE,"Plan1";#N/A,#N/A,FALSE,"Plan2"}</definedName>
    <definedName name="JZXFKLJLDJF" hidden="1">{#N/A,#N/A,FALSE,"Plan1";#N/A,#N/A,FALSE,"Plan2"}</definedName>
    <definedName name="jzxklfdlvgfg" localSheetId="3" hidden="1">{#N/A,#N/A,FALSE,"Plan1";#N/A,#N/A,FALSE,"Plan2"}</definedName>
    <definedName name="jzxklfdlvgfg" localSheetId="33" hidden="1">{#N/A,#N/A,FALSE,"Plan1";#N/A,#N/A,FALSE,"Plan2"}</definedName>
    <definedName name="jzxklfdlvgfg" localSheetId="35" hidden="1">{#N/A,#N/A,FALSE,"Plan1";#N/A,#N/A,FALSE,"Plan2"}</definedName>
    <definedName name="jzxklfdlvgfg" hidden="1">{#N/A,#N/A,FALSE,"Plan1";#N/A,#N/A,FALSE,"Plan2"}</definedName>
    <definedName name="k" localSheetId="3" hidden="1">{#N/A,#N/A,FALSE,"Plan1";#N/A,#N/A,FALSE,"Plan2"}</definedName>
    <definedName name="k" localSheetId="33" hidden="1">{#N/A,#N/A,FALSE,"Plan1";#N/A,#N/A,FALSE,"Plan2"}</definedName>
    <definedName name="k" localSheetId="35" hidden="1">{#N/A,#N/A,FALSE,"Plan1";#N/A,#N/A,FALSE,"Plan2"}</definedName>
    <definedName name="k" hidden="1">{#N/A,#N/A,FALSE,"Plan1";#N/A,#N/A,FALSE,"Plan2"}</definedName>
    <definedName name="K_1" localSheetId="12">#REF!</definedName>
    <definedName name="K_1" localSheetId="30">#REF!</definedName>
    <definedName name="K_1" localSheetId="28">#REF!</definedName>
    <definedName name="K_1" localSheetId="27">#REF!</definedName>
    <definedName name="K_1" localSheetId="18">#REF!</definedName>
    <definedName name="K_1" localSheetId="7">#REF!</definedName>
    <definedName name="K_1" localSheetId="23">#REF!</definedName>
    <definedName name="K_1">#REF!</definedName>
    <definedName name="kaedkroswr" localSheetId="3" hidden="1">{"Econ Consolidado",#N/A,FALSE,"Econ Consol";"Fluxo de Caixa",#N/A,FALSE,"Fluxo Caixa";"Investimentos",#N/A,FALSE,"Investimentos"}</definedName>
    <definedName name="kaedkroswr" localSheetId="33" hidden="1">{"Econ Consolidado",#N/A,FALSE,"Econ Consol";"Fluxo de Caixa",#N/A,FALSE,"Fluxo Caixa";"Investimentos",#N/A,FALSE,"Investimentos"}</definedName>
    <definedName name="kaedkroswr" localSheetId="35" hidden="1">{"Econ Consolidado",#N/A,FALSE,"Econ Consol";"Fluxo de Caixa",#N/A,FALSE,"Fluxo Caixa";"Investimentos",#N/A,FALSE,"Investimentos"}</definedName>
    <definedName name="kaedkroswr" hidden="1">{"Econ Consolidado",#N/A,FALSE,"Econ Consol";"Fluxo de Caixa",#N/A,FALSE,"Fluxo Caixa";"Investimentos",#N/A,FALSE,"Investimentos"}</definedName>
    <definedName name="kapa" localSheetId="12">#REF!</definedName>
    <definedName name="kapa" localSheetId="30">#REF!</definedName>
    <definedName name="kapa" localSheetId="28">#REF!</definedName>
    <definedName name="kapa" localSheetId="27">#REF!</definedName>
    <definedName name="kapa" localSheetId="18">#REF!</definedName>
    <definedName name="kapa" localSheetId="7">#REF!</definedName>
    <definedName name="kapa" localSheetId="23">#REF!</definedName>
    <definedName name="kapa">#REF!</definedName>
    <definedName name="kç\lKçaksdçaqew" localSheetId="3" hidden="1">{#N/A,#N/A,FALSE,"Plan1";#N/A,#N/A,FALSE,"Plan2"}</definedName>
    <definedName name="kç\lKçaksdçaqew" localSheetId="33" hidden="1">{#N/A,#N/A,FALSE,"Plan1";#N/A,#N/A,FALSE,"Plan2"}</definedName>
    <definedName name="kç\lKçaksdçaqew" localSheetId="35" hidden="1">{#N/A,#N/A,FALSE,"Plan1";#N/A,#N/A,FALSE,"Plan2"}</definedName>
    <definedName name="kç\lKçaksdçaqew" hidden="1">{#N/A,#N/A,FALSE,"Plan1";#N/A,#N/A,FALSE,"Plan2"}</definedName>
    <definedName name="kçdasekr" localSheetId="3" hidden="1">{#N/A,#N/A,FALSE,"Plan1";#N/A,#N/A,FALSE,"Plan2"}</definedName>
    <definedName name="kçdasekr" localSheetId="33" hidden="1">{#N/A,#N/A,FALSE,"Plan1";#N/A,#N/A,FALSE,"Plan2"}</definedName>
    <definedName name="kçdasekr" localSheetId="35" hidden="1">{#N/A,#N/A,FALSE,"Plan1";#N/A,#N/A,FALSE,"Plan2"}</definedName>
    <definedName name="kçdasekr" hidden="1">{#N/A,#N/A,FALSE,"Plan1";#N/A,#N/A,FALSE,"Plan2"}</definedName>
    <definedName name="kçfdljtredr" localSheetId="3" hidden="1">{#N/A,#N/A,FALSE,"Plan1";#N/A,#N/A,FALSE,"Plan2"}</definedName>
    <definedName name="kçfdljtredr" localSheetId="33" hidden="1">{#N/A,#N/A,FALSE,"Plan1";#N/A,#N/A,FALSE,"Plan2"}</definedName>
    <definedName name="kçfdljtredr" localSheetId="35" hidden="1">{#N/A,#N/A,FALSE,"Plan1";#N/A,#N/A,FALSE,"Plan2"}</definedName>
    <definedName name="kçfdljtredr" hidden="1">{#N/A,#N/A,FALSE,"Plan1";#N/A,#N/A,FALSE,"Plan2"}</definedName>
    <definedName name="KCIVIL" localSheetId="12">#REF!</definedName>
    <definedName name="KCIVIL" localSheetId="30">#REF!</definedName>
    <definedName name="KCIVIL" localSheetId="28">#REF!</definedName>
    <definedName name="KCIVIL" localSheetId="27">#REF!</definedName>
    <definedName name="KCIVIL" localSheetId="18">#REF!</definedName>
    <definedName name="KCIVIL" localSheetId="7">#REF!</definedName>
    <definedName name="KCIVIL" localSheetId="23">#REF!</definedName>
    <definedName name="KCIVIL">#REF!</definedName>
    <definedName name="kclçkglf" localSheetId="3" hidden="1">{#N/A,#N/A,FALSE,"Plan1";#N/A,#N/A,FALSE,"Plan2"}</definedName>
    <definedName name="kclçkglf" localSheetId="33" hidden="1">{#N/A,#N/A,FALSE,"Plan1";#N/A,#N/A,FALSE,"Plan2"}</definedName>
    <definedName name="kclçkglf" localSheetId="35" hidden="1">{#N/A,#N/A,FALSE,"Plan1";#N/A,#N/A,FALSE,"Plan2"}</definedName>
    <definedName name="kclçkglf" hidden="1">{#N/A,#N/A,FALSE,"Plan1";#N/A,#N/A,FALSE,"Plan2"}</definedName>
    <definedName name="kçlkasçkere" localSheetId="3" hidden="1">{#N/A,#N/A,FALSE,"Plan1";#N/A,#N/A,FALSE,"Plan2"}</definedName>
    <definedName name="kçlkasçkere" localSheetId="33" hidden="1">{#N/A,#N/A,FALSE,"Plan1";#N/A,#N/A,FALSE,"Plan2"}</definedName>
    <definedName name="kçlkasçkere" localSheetId="35" hidden="1">{#N/A,#N/A,FALSE,"Plan1";#N/A,#N/A,FALSE,"Plan2"}</definedName>
    <definedName name="kçlkasçkere" hidden="1">{#N/A,#N/A,FALSE,"Plan1";#N/A,#N/A,FALSE,"Plan2"}</definedName>
    <definedName name="kdfbngtjkbf" localSheetId="3" hidden="1">{#N/A,#N/A,FALSE,"Plan1";#N/A,#N/A,FALSE,"Plan2"}</definedName>
    <definedName name="kdfbngtjkbf" localSheetId="33" hidden="1">{#N/A,#N/A,FALSE,"Plan1";#N/A,#N/A,FALSE,"Plan2"}</definedName>
    <definedName name="kdfbngtjkbf" localSheetId="35" hidden="1">{#N/A,#N/A,FALSE,"Plan1";#N/A,#N/A,FALSE,"Plan2"}</definedName>
    <definedName name="kdfbngtjkbf" hidden="1">{#N/A,#N/A,FALSE,"Plan1";#N/A,#N/A,FALSE,"Plan2"}</definedName>
    <definedName name="kdfhkghkrh" localSheetId="3" hidden="1">{#N/A,#N/A,FALSE,"Plan1";#N/A,#N/A,FALSE,"Plan2"}</definedName>
    <definedName name="kdfhkghkrh" localSheetId="33" hidden="1">{#N/A,#N/A,FALSE,"Plan1";#N/A,#N/A,FALSE,"Plan2"}</definedName>
    <definedName name="kdfhkghkrh" localSheetId="35" hidden="1">{#N/A,#N/A,FALSE,"Plan1";#N/A,#N/A,FALSE,"Plan2"}</definedName>
    <definedName name="kdfhkghkrh" hidden="1">{#N/A,#N/A,FALSE,"Plan1";#N/A,#N/A,FALSE,"Plan2"}</definedName>
    <definedName name="kdfier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3" hidden="1">{#N/A,#N/A,FALSE,"Plan1";#N/A,#N/A,FALSE,"Plan2"}</definedName>
    <definedName name="kdfkçrkf" localSheetId="33" hidden="1">{#N/A,#N/A,FALSE,"Plan1";#N/A,#N/A,FALSE,"Plan2"}</definedName>
    <definedName name="kdfkçrkf" localSheetId="35" hidden="1">{#N/A,#N/A,FALSE,"Plan1";#N/A,#N/A,FALSE,"Plan2"}</definedName>
    <definedName name="kdfkçrkf" hidden="1">{#N/A,#N/A,FALSE,"Plan1";#N/A,#N/A,FALSE,"Plan2"}</definedName>
    <definedName name="kdfljlfr" localSheetId="3" hidden="1">{#N/A,#N/A,FALSE,"Plan1";#N/A,#N/A,FALSE,"Plan2"}</definedName>
    <definedName name="kdfljlfr" localSheetId="33" hidden="1">{#N/A,#N/A,FALSE,"Plan1";#N/A,#N/A,FALSE,"Plan2"}</definedName>
    <definedName name="kdfljlfr" localSheetId="35" hidden="1">{#N/A,#N/A,FALSE,"Plan1";#N/A,#N/A,FALSE,"Plan2"}</definedName>
    <definedName name="kdfljlfr" hidden="1">{#N/A,#N/A,FALSE,"Plan1";#N/A,#N/A,FALSE,"Plan2"}</definedName>
    <definedName name="kdhfgkdfhytgu" localSheetId="3" hidden="1">{#N/A,#N/A,FALSE,"Plan1";#N/A,#N/A,FALSE,"Plan2"}</definedName>
    <definedName name="kdhfgkdfhytgu" localSheetId="33" hidden="1">{#N/A,#N/A,FALSE,"Plan1";#N/A,#N/A,FALSE,"Plan2"}</definedName>
    <definedName name="kdhfgkdfhytgu" localSheetId="35" hidden="1">{#N/A,#N/A,FALSE,"Plan1";#N/A,#N/A,FALSE,"Plan2"}</definedName>
    <definedName name="kdhfgkdfhytgu" hidden="1">{#N/A,#N/A,FALSE,"Plan1";#N/A,#N/A,FALSE,"Plan2"}</definedName>
    <definedName name="kdhgftfg" localSheetId="3" hidden="1">{#N/A,#N/A,FALSE,"Plan1";#N/A,#N/A,FALSE,"Plan2"}</definedName>
    <definedName name="kdhgftfg" localSheetId="33" hidden="1">{#N/A,#N/A,FALSE,"Plan1";#N/A,#N/A,FALSE,"Plan2"}</definedName>
    <definedName name="kdhgftfg" localSheetId="35" hidden="1">{#N/A,#N/A,FALSE,"Plan1";#N/A,#N/A,FALSE,"Plan2"}</definedName>
    <definedName name="kdhgftfg" hidden="1">{#N/A,#N/A,FALSE,"Plan1";#N/A,#N/A,FALSE,"Plan2"}</definedName>
    <definedName name="KDHKFGKKHGF" localSheetId="3" hidden="1">{#N/A,#N/A,FALSE,"Plan1";#N/A,#N/A,FALSE,"Plan2"}</definedName>
    <definedName name="KDHKFGKKHGF" localSheetId="33" hidden="1">{#N/A,#N/A,FALSE,"Plan1";#N/A,#N/A,FALSE,"Plan2"}</definedName>
    <definedName name="KDHKFGKKHGF" localSheetId="35" hidden="1">{#N/A,#N/A,FALSE,"Plan1";#N/A,#N/A,FALSE,"Plan2"}</definedName>
    <definedName name="KDHKFGKKHGF" hidden="1">{#N/A,#N/A,FALSE,"Plan1";#N/A,#N/A,FALSE,"Plan2"}</definedName>
    <definedName name="kdjfdr" localSheetId="3" hidden="1">#REF!</definedName>
    <definedName name="kdjfdr" localSheetId="12" hidden="1">#REF!</definedName>
    <definedName name="kdjfdr" localSheetId="30" hidden="1">#REF!</definedName>
    <definedName name="kdjfdr" localSheetId="28" hidden="1">#REF!</definedName>
    <definedName name="kdjfdr" localSheetId="27" hidden="1">#REF!</definedName>
    <definedName name="kdjfdr" localSheetId="18" hidden="1">#REF!</definedName>
    <definedName name="kdjfdr" localSheetId="7" hidden="1">#REF!</definedName>
    <definedName name="kdjfdr" localSheetId="23" hidden="1">#REF!</definedName>
    <definedName name="kdjfdr" hidden="1">#REF!</definedName>
    <definedName name="kdjgkfjgd" localSheetId="3" hidden="1">{#N/A,#N/A,FALSE,"Plan1";#N/A,#N/A,FALSE,"Plan2"}</definedName>
    <definedName name="kdjgkfjgd" localSheetId="33" hidden="1">{#N/A,#N/A,FALSE,"Plan1";#N/A,#N/A,FALSE,"Plan2"}</definedName>
    <definedName name="kdjgkfjgd" localSheetId="35" hidden="1">{#N/A,#N/A,FALSE,"Plan1";#N/A,#N/A,FALSE,"Plan2"}</definedName>
    <definedName name="kdjgkfjgd" hidden="1">{#N/A,#N/A,FALSE,"Plan1";#N/A,#N/A,FALSE,"Plan2"}</definedName>
    <definedName name="kdjglkdlgjd" localSheetId="3" hidden="1">{#N/A,#N/A,FALSE,"Plan1";#N/A,#N/A,FALSE,"Plan2"}</definedName>
    <definedName name="kdjglkdlgjd" localSheetId="33" hidden="1">{#N/A,#N/A,FALSE,"Plan1";#N/A,#N/A,FALSE,"Plan2"}</definedName>
    <definedName name="kdjglkdlgjd" localSheetId="35" hidden="1">{#N/A,#N/A,FALSE,"Plan1";#N/A,#N/A,FALSE,"Plan2"}</definedName>
    <definedName name="kdjglkdlgjd" hidden="1">{#N/A,#N/A,FALSE,"Plan1";#N/A,#N/A,FALSE,"Plan2"}</definedName>
    <definedName name="kdjsfkldjgkty" localSheetId="3" hidden="1">{#N/A,#N/A,FALSE,"Plan1";#N/A,#N/A,FALSE,"Plan2"}</definedName>
    <definedName name="kdjsfkldjgkty" localSheetId="33" hidden="1">{#N/A,#N/A,FALSE,"Plan1";#N/A,#N/A,FALSE,"Plan2"}</definedName>
    <definedName name="kdjsfkldjgkty" localSheetId="35" hidden="1">{#N/A,#N/A,FALSE,"Plan1";#N/A,#N/A,FALSE,"Plan2"}</definedName>
    <definedName name="kdjsfkldjgkty" hidden="1">{#N/A,#N/A,FALSE,"Plan1";#N/A,#N/A,FALSE,"Plan2"}</definedName>
    <definedName name="KDJU" localSheetId="33" hidden="1">{"'장비'!$A$3:$M$12"}</definedName>
    <definedName name="KDJU" localSheetId="35" hidden="1">{"'장비'!$A$3:$M$12"}</definedName>
    <definedName name="KDJU" hidden="1">{"'장비'!$A$3:$M$12"}</definedName>
    <definedName name="kdkjhgdkfhjk" localSheetId="3" hidden="1">{#N/A,#N/A,FALSE,"Plan1";#N/A,#N/A,FALSE,"Plan2"}</definedName>
    <definedName name="kdkjhgdkfhjk" localSheetId="33" hidden="1">{#N/A,#N/A,FALSE,"Plan1";#N/A,#N/A,FALSE,"Plan2"}</definedName>
    <definedName name="kdkjhgdkfhjk" localSheetId="35" hidden="1">{#N/A,#N/A,FALSE,"Plan1";#N/A,#N/A,FALSE,"Plan2"}</definedName>
    <definedName name="kdkjhgdkfhjk" hidden="1">{#N/A,#N/A,FALSE,"Plan1";#N/A,#N/A,FALSE,"Plan2"}</definedName>
    <definedName name="kdsf" localSheetId="3" hidden="1">{#N/A,#N/A,FALSE,"Plan1";#N/A,#N/A,FALSE,"Plan2"}</definedName>
    <definedName name="kdsf" localSheetId="33" hidden="1">{#N/A,#N/A,FALSE,"Plan1";#N/A,#N/A,FALSE,"Plan2"}</definedName>
    <definedName name="kdsf" localSheetId="35" hidden="1">{#N/A,#N/A,FALSE,"Plan1";#N/A,#N/A,FALSE,"Plan2"}</definedName>
    <definedName name="kdsf" hidden="1">{#N/A,#N/A,FALSE,"Plan1";#N/A,#N/A,FALSE,"Plan2"}</definedName>
    <definedName name="kdsr" localSheetId="3" hidden="1">{#N/A,#N/A,FALSE,"Plan1";#N/A,#N/A,FALSE,"Plan2"}</definedName>
    <definedName name="kdsr" localSheetId="33" hidden="1">{#N/A,#N/A,FALSE,"Plan1";#N/A,#N/A,FALSE,"Plan2"}</definedName>
    <definedName name="kdsr" localSheetId="35" hidden="1">{#N/A,#N/A,FALSE,"Plan1";#N/A,#N/A,FALSE,"Plan2"}</definedName>
    <definedName name="kdsr" hidden="1">{#N/A,#N/A,FALSE,"Plan1";#N/A,#N/A,FALSE,"Plan2"}</definedName>
    <definedName name="kergtfdstr" localSheetId="3" hidden="1">{#N/A,#N/A,FALSE,"Plan1";#N/A,#N/A,FALSE,"Plan2"}</definedName>
    <definedName name="kergtfdstr" localSheetId="33" hidden="1">{#N/A,#N/A,FALSE,"Plan1";#N/A,#N/A,FALSE,"Plan2"}</definedName>
    <definedName name="kergtfdstr" localSheetId="35" hidden="1">{#N/A,#N/A,FALSE,"Plan1";#N/A,#N/A,FALSE,"Plan2"}</definedName>
    <definedName name="kergtfdstr" hidden="1">{#N/A,#N/A,FALSE,"Plan1";#N/A,#N/A,FALSE,"Plan2"}</definedName>
    <definedName name="kesp" localSheetId="12">#REF!</definedName>
    <definedName name="kesp" localSheetId="30">#REF!</definedName>
    <definedName name="kesp" localSheetId="28">#REF!</definedName>
    <definedName name="kesp" localSheetId="27">#REF!</definedName>
    <definedName name="kesp" localSheetId="18">#REF!</definedName>
    <definedName name="kesp" localSheetId="7">#REF!</definedName>
    <definedName name="kesp" localSheetId="23">#REF!</definedName>
    <definedName name="kesp">#REF!</definedName>
    <definedName name="KFDKTHGT" localSheetId="3" hidden="1">{#N/A,#N/A,FALSE,"Plan1";#N/A,#N/A,FALSE,"Plan2"}</definedName>
    <definedName name="KFDKTHGT" localSheetId="33" hidden="1">{#N/A,#N/A,FALSE,"Plan1";#N/A,#N/A,FALSE,"Plan2"}</definedName>
    <definedName name="KFDKTHGT" localSheetId="35" hidden="1">{#N/A,#N/A,FALSE,"Plan1";#N/A,#N/A,FALSE,"Plan2"}</definedName>
    <definedName name="KFDKTHGT" hidden="1">{#N/A,#N/A,FALSE,"Plan1";#N/A,#N/A,FALSE,"Plan2"}</definedName>
    <definedName name="kfdxlfdzs" localSheetId="3" hidden="1">{"Econ Consolidado",#N/A,FALSE,"Econ Consol";"Fluxo de Caixa",#N/A,FALSE,"Fluxo Caixa";"Investimentos",#N/A,FALSE,"Investimentos"}</definedName>
    <definedName name="kfdxlfdzs" localSheetId="33" hidden="1">{"Econ Consolidado",#N/A,FALSE,"Econ Consol";"Fluxo de Caixa",#N/A,FALSE,"Fluxo Caixa";"Investimentos",#N/A,FALSE,"Investimentos"}</definedName>
    <definedName name="kfdxlfdzs" localSheetId="35" hidden="1">{"Econ Consolidado",#N/A,FALSE,"Econ Consol";"Fluxo de Caixa",#N/A,FALSE,"Fluxo Caixa";"Investimentos",#N/A,FALSE,"Investimentos"}</definedName>
    <definedName name="kfdxlfdzs" hidden="1">{"Econ Consolidado",#N/A,FALSE,"Econ Consol";"Fluxo de Caixa",#N/A,FALSE,"Fluxo Caixa";"Investimentos",#N/A,FALSE,"Investimentos"}</definedName>
    <definedName name="kfgkhjkjhy" localSheetId="3" hidden="1">{#N/A,#N/A,FALSE,"Plan1";#N/A,#N/A,FALSE,"Plan2"}</definedName>
    <definedName name="kfgkhjkjhy" localSheetId="33" hidden="1">{#N/A,#N/A,FALSE,"Plan1";#N/A,#N/A,FALSE,"Plan2"}</definedName>
    <definedName name="kfgkhjkjhy" localSheetId="35" hidden="1">{#N/A,#N/A,FALSE,"Plan1";#N/A,#N/A,FALSE,"Plan2"}</definedName>
    <definedName name="kfgkhjkjhy" hidden="1">{#N/A,#N/A,FALSE,"Plan1";#N/A,#N/A,FALSE,"Plan2"}</definedName>
    <definedName name="KFJFDSDF" localSheetId="3" hidden="1">{#N/A,#N/A,FALSE,"Plan1";#N/A,#N/A,FALSE,"Plan2"}</definedName>
    <definedName name="KFJFDSDF" localSheetId="33" hidden="1">{#N/A,#N/A,FALSE,"Plan1";#N/A,#N/A,FALSE,"Plan2"}</definedName>
    <definedName name="KFJFDSDF" localSheetId="35" hidden="1">{#N/A,#N/A,FALSE,"Plan1";#N/A,#N/A,FALSE,"Plan2"}</definedName>
    <definedName name="KFJFDSDF" hidden="1">{#N/A,#N/A,FALSE,"Plan1";#N/A,#N/A,FALSE,"Plan2"}</definedName>
    <definedName name="kfnkeasd" localSheetId="3" hidden="1">{#N/A,#N/A,FALSE,"Plan1";#N/A,#N/A,FALSE,"Plan2"}</definedName>
    <definedName name="kfnkeasd" localSheetId="33" hidden="1">{#N/A,#N/A,FALSE,"Plan1";#N/A,#N/A,FALSE,"Plan2"}</definedName>
    <definedName name="kfnkeasd" localSheetId="35" hidden="1">{#N/A,#N/A,FALSE,"Plan1";#N/A,#N/A,FALSE,"Plan2"}</definedName>
    <definedName name="kfnkeasd" hidden="1">{#N/A,#N/A,FALSE,"Plan1";#N/A,#N/A,FALSE,"Plan2"}</definedName>
    <definedName name="khdjkfkjhtg" localSheetId="3" hidden="1">{#N/A,#N/A,FALSE,"Plan1";#N/A,#N/A,FALSE,"Plan2"}</definedName>
    <definedName name="khdjkfkjhtg" localSheetId="33" hidden="1">{#N/A,#N/A,FALSE,"Plan1";#N/A,#N/A,FALSE,"Plan2"}</definedName>
    <definedName name="khdjkfkjhtg" localSheetId="35" hidden="1">{#N/A,#N/A,FALSE,"Plan1";#N/A,#N/A,FALSE,"Plan2"}</definedName>
    <definedName name="khdjkfkjhtg" hidden="1">{#N/A,#N/A,FALSE,"Plan1";#N/A,#N/A,FALSE,"Plan2"}</definedName>
    <definedName name="khdkfjhhfsdg" localSheetId="3" hidden="1">{#N/A,#N/A,FALSE,"Plan1";#N/A,#N/A,FALSE,"Plan2"}</definedName>
    <definedName name="khdkfjhhfsdg" localSheetId="33" hidden="1">{#N/A,#N/A,FALSE,"Plan1";#N/A,#N/A,FALSE,"Plan2"}</definedName>
    <definedName name="khdkfjhhfsdg" localSheetId="35" hidden="1">{#N/A,#N/A,FALSE,"Plan1";#N/A,#N/A,FALSE,"Plan2"}</definedName>
    <definedName name="khdkfjhhfsdg" hidden="1">{#N/A,#N/A,FALSE,"Plan1";#N/A,#N/A,FALSE,"Plan2"}</definedName>
    <definedName name="khdkjfhgudytu" localSheetId="3" hidden="1">{#N/A,#N/A,FALSE,"Plan1";#N/A,#N/A,FALSE,"Plan2"}</definedName>
    <definedName name="khdkjfhgudytu" localSheetId="33" hidden="1">{#N/A,#N/A,FALSE,"Plan1";#N/A,#N/A,FALSE,"Plan2"}</definedName>
    <definedName name="khdkjfhgudytu" localSheetId="35" hidden="1">{#N/A,#N/A,FALSE,"Plan1";#N/A,#N/A,FALSE,"Plan2"}</definedName>
    <definedName name="khdkjfhgudytu" hidden="1">{#N/A,#N/A,FALSE,"Plan1";#N/A,#N/A,FALSE,"Plan2"}</definedName>
    <definedName name="khfdghhhgd" localSheetId="3" hidden="1">{#N/A,#N/A,FALSE,"Plan1";#N/A,#N/A,FALSE,"Plan2"}</definedName>
    <definedName name="khfdghhhgd" localSheetId="33" hidden="1">{#N/A,#N/A,FALSE,"Plan1";#N/A,#N/A,FALSE,"Plan2"}</definedName>
    <definedName name="khfdghhhgd" localSheetId="35" hidden="1">{#N/A,#N/A,FALSE,"Plan1";#N/A,#N/A,FALSE,"Plan2"}</definedName>
    <definedName name="khfdghhhgd" hidden="1">{#N/A,#N/A,FALSE,"Plan1";#N/A,#N/A,FALSE,"Plan2"}</definedName>
    <definedName name="khfdkjhsdjf" localSheetId="3" hidden="1">{#N/A,#N/A,FALSE,"Plan1";#N/A,#N/A,FALSE,"Plan2"}</definedName>
    <definedName name="khfdkjhsdjf" localSheetId="33" hidden="1">{#N/A,#N/A,FALSE,"Plan1";#N/A,#N/A,FALSE,"Plan2"}</definedName>
    <definedName name="khfdkjhsdjf" localSheetId="35" hidden="1">{#N/A,#N/A,FALSE,"Plan1";#N/A,#N/A,FALSE,"Plan2"}</definedName>
    <definedName name="khfdkjhsdjf" hidden="1">{#N/A,#N/A,FALSE,"Plan1";#N/A,#N/A,FALSE,"Plan2"}</definedName>
    <definedName name="khgdkftfy" localSheetId="3" hidden="1">{#N/A,#N/A,FALSE,"Plan1";#N/A,#N/A,FALSE,"Plan2"}</definedName>
    <definedName name="khgdkftfy" localSheetId="33" hidden="1">{#N/A,#N/A,FALSE,"Plan1";#N/A,#N/A,FALSE,"Plan2"}</definedName>
    <definedName name="khgdkftfy" localSheetId="35" hidden="1">{#N/A,#N/A,FALSE,"Plan1";#N/A,#N/A,FALSE,"Plan2"}</definedName>
    <definedName name="khgdkftfy" hidden="1">{#N/A,#N/A,FALSE,"Plan1";#N/A,#N/A,FALSE,"Plan2"}</definedName>
    <definedName name="khgfhhtuhf" localSheetId="3" hidden="1">{#N/A,#N/A,FALSE,"Plan1";#N/A,#N/A,FALSE,"Plan2"}</definedName>
    <definedName name="khgfhhtuhf" localSheetId="33" hidden="1">{#N/A,#N/A,FALSE,"Plan1";#N/A,#N/A,FALSE,"Plan2"}</definedName>
    <definedName name="khgfhhtuhf" localSheetId="35" hidden="1">{#N/A,#N/A,FALSE,"Plan1";#N/A,#N/A,FALSE,"Plan2"}</definedName>
    <definedName name="khgfhhtuhf" hidden="1">{#N/A,#N/A,FALSE,"Plan1";#N/A,#N/A,FALSE,"Plan2"}</definedName>
    <definedName name="khjkh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3" hidden="1">{#N/A,#N/A,FALSE,"Plan1";#N/A,#N/A,FALSE,"Plan2"}</definedName>
    <definedName name="KHJKLSDF" localSheetId="33" hidden="1">{#N/A,#N/A,FALSE,"Plan1";#N/A,#N/A,FALSE,"Plan2"}</definedName>
    <definedName name="KHJKLSDF" localSheetId="35" hidden="1">{#N/A,#N/A,FALSE,"Plan1";#N/A,#N/A,FALSE,"Plan2"}</definedName>
    <definedName name="KHJKLSDF" hidden="1">{#N/A,#N/A,FALSE,"Plan1";#N/A,#N/A,FALSE,"Plan2"}</definedName>
    <definedName name="kieret" localSheetId="3" hidden="1">{#N/A,#N/A,FALSE,"Plan1";#N/A,#N/A,FALSE,"Plan2"}</definedName>
    <definedName name="kieret" localSheetId="33" hidden="1">{#N/A,#N/A,FALSE,"Plan1";#N/A,#N/A,FALSE,"Plan2"}</definedName>
    <definedName name="kieret" localSheetId="35" hidden="1">{#N/A,#N/A,FALSE,"Plan1";#N/A,#N/A,FALSE,"Plan2"}</definedName>
    <definedName name="kieret" hidden="1">{#N/A,#N/A,FALSE,"Plan1";#N/A,#N/A,FALSE,"Plan2"}</definedName>
    <definedName name="kiweokwr" localSheetId="3" hidden="1">#REF!</definedName>
    <definedName name="kiweokwr" localSheetId="12" hidden="1">#REF!</definedName>
    <definedName name="kiweokwr" localSheetId="30" hidden="1">#REF!</definedName>
    <definedName name="kiweokwr" localSheetId="28" hidden="1">#REF!</definedName>
    <definedName name="kiweokwr" localSheetId="27" hidden="1">#REF!</definedName>
    <definedName name="kiweokwr" localSheetId="18" hidden="1">#REF!</definedName>
    <definedName name="kiweokwr" localSheetId="7" hidden="1">#REF!</definedName>
    <definedName name="kiweokwr" localSheetId="23" hidden="1">#REF!</definedName>
    <definedName name="kiweokwr" hidden="1">#REF!</definedName>
    <definedName name="kjchkfhsezk" localSheetId="3" hidden="1">{#N/A,#N/A,FALSE,"Plan1";#N/A,#N/A,FALSE,"Plan2"}</definedName>
    <definedName name="kjchkfhsezk" localSheetId="33" hidden="1">{#N/A,#N/A,FALSE,"Plan1";#N/A,#N/A,FALSE,"Plan2"}</definedName>
    <definedName name="kjchkfhsezk" localSheetId="35" hidden="1">{#N/A,#N/A,FALSE,"Plan1";#N/A,#N/A,FALSE,"Plan2"}</definedName>
    <definedName name="kjchkfhsezk" hidden="1">{#N/A,#N/A,FALSE,"Plan1";#N/A,#N/A,FALSE,"Plan2"}</definedName>
    <definedName name="kjdghksef" localSheetId="3" hidden="1">{#N/A,#N/A,FALSE,"Plan1";#N/A,#N/A,FALSE,"Plan2"}</definedName>
    <definedName name="kjdghksef" localSheetId="33" hidden="1">{#N/A,#N/A,FALSE,"Plan1";#N/A,#N/A,FALSE,"Plan2"}</definedName>
    <definedName name="kjdghksef" localSheetId="35" hidden="1">{#N/A,#N/A,FALSE,"Plan1";#N/A,#N/A,FALSE,"Plan2"}</definedName>
    <definedName name="kjdghksef" hidden="1">{#N/A,#N/A,FALSE,"Plan1";#N/A,#N/A,FALSE,"Plan2"}</definedName>
    <definedName name="kjdkftyhtert" localSheetId="3" hidden="1">{#N/A,#N/A,FALSE,"Plan1";#N/A,#N/A,FALSE,"Plan2"}</definedName>
    <definedName name="kjdkftyhtert" localSheetId="33" hidden="1">{#N/A,#N/A,FALSE,"Plan1";#N/A,#N/A,FALSE,"Plan2"}</definedName>
    <definedName name="kjdkftyhtert" localSheetId="35" hidden="1">{#N/A,#N/A,FALSE,"Plan1";#N/A,#N/A,FALSE,"Plan2"}</definedName>
    <definedName name="kjdkftyhtert" hidden="1">{#N/A,#N/A,FALSE,"Plan1";#N/A,#N/A,FALSE,"Plan2"}</definedName>
    <definedName name="kjdlfkjds" localSheetId="3" hidden="1">{#N/A,#N/A,FALSE,"Plan1";#N/A,#N/A,FALSE,"Plan2"}</definedName>
    <definedName name="kjdlfkjds" localSheetId="33" hidden="1">{#N/A,#N/A,FALSE,"Plan1";#N/A,#N/A,FALSE,"Plan2"}</definedName>
    <definedName name="kjdlfkjds" localSheetId="35" hidden="1">{#N/A,#N/A,FALSE,"Plan1";#N/A,#N/A,FALSE,"Plan2"}</definedName>
    <definedName name="kjdlfkjds" hidden="1">{#N/A,#N/A,FALSE,"Plan1";#N/A,#N/A,FALSE,"Plan2"}</definedName>
    <definedName name="kjdzhfytrfy" localSheetId="3" hidden="1">{#N/A,#N/A,FALSE,"Plan1";#N/A,#N/A,FALSE,"Plan2"}</definedName>
    <definedName name="kjdzhfytrfy" localSheetId="33" hidden="1">{#N/A,#N/A,FALSE,"Plan1";#N/A,#N/A,FALSE,"Plan2"}</definedName>
    <definedName name="kjdzhfytrfy" localSheetId="35" hidden="1">{#N/A,#N/A,FALSE,"Plan1";#N/A,#N/A,FALSE,"Plan2"}</definedName>
    <definedName name="kjdzhfytrfy" hidden="1">{#N/A,#N/A,FALSE,"Plan1";#N/A,#N/A,FALSE,"Plan2"}</definedName>
    <definedName name="kjhdfgjthdft" localSheetId="3" hidden="1">{#N/A,#N/A,FALSE,"Plan1";#N/A,#N/A,FALSE,"Plan2"}</definedName>
    <definedName name="kjhdfgjthdft" localSheetId="33" hidden="1">{#N/A,#N/A,FALSE,"Plan1";#N/A,#N/A,FALSE,"Plan2"}</definedName>
    <definedName name="kjhdfgjthdft" localSheetId="35" hidden="1">{#N/A,#N/A,FALSE,"Plan1";#N/A,#N/A,FALSE,"Plan2"}</definedName>
    <definedName name="kjhdfgjthdft" hidden="1">{#N/A,#N/A,FALSE,"Plan1";#N/A,#N/A,FALSE,"Plan2"}</definedName>
    <definedName name="kjhsdf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3" hidden="1">{#N/A,#N/A,FALSE,"Plan1";#N/A,#N/A,FALSE,"Plan2"}</definedName>
    <definedName name="kjhsiorf" localSheetId="33" hidden="1">{#N/A,#N/A,FALSE,"Plan1";#N/A,#N/A,FALSE,"Plan2"}</definedName>
    <definedName name="kjhsiorf" localSheetId="35" hidden="1">{#N/A,#N/A,FALSE,"Plan1";#N/A,#N/A,FALSE,"Plan2"}</definedName>
    <definedName name="kjhsiorf" hidden="1">{#N/A,#N/A,FALSE,"Plan1";#N/A,#N/A,FALSE,"Plan2"}</definedName>
    <definedName name="KJ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3" hidden="1">{#N/A,#N/A,FALSE,"Plan1";#N/A,#N/A,FALSE,"Plan2"}</definedName>
    <definedName name="kjjwww" localSheetId="33" hidden="1">{#N/A,#N/A,FALSE,"Plan1";#N/A,#N/A,FALSE,"Plan2"}</definedName>
    <definedName name="kjjwww" localSheetId="35" hidden="1">{#N/A,#N/A,FALSE,"Plan1";#N/A,#N/A,FALSE,"Plan2"}</definedName>
    <definedName name="kjjwww" hidden="1">{#N/A,#N/A,FALSE,"Plan1";#N/A,#N/A,FALSE,"Plan2"}</definedName>
    <definedName name="kjl" localSheetId="33" hidden="1">{#N/A,#N/A,FALSE,"ENG'G(보호계전기)"}</definedName>
    <definedName name="kjl" localSheetId="35" hidden="1">{#N/A,#N/A,FALSE,"ENG'G(보호계전기)"}</definedName>
    <definedName name="kjl" hidden="1">{#N/A,#N/A,FALSE,"ENG'G(보호계전기)"}</definedName>
    <definedName name="KJOI" localSheetId="3" hidden="1">{#N/A,#N/A,FALSE,"Plan1";#N/A,#N/A,FALSE,"Plan2"}</definedName>
    <definedName name="KJOI" localSheetId="33" hidden="1">{#N/A,#N/A,FALSE,"Plan1";#N/A,#N/A,FALSE,"Plan2"}</definedName>
    <definedName name="KJOI" localSheetId="35" hidden="1">{#N/A,#N/A,FALSE,"Plan1";#N/A,#N/A,FALSE,"Plan2"}</definedName>
    <definedName name="KJOI" hidden="1">{#N/A,#N/A,FALSE,"Plan1";#N/A,#N/A,FALSE,"Plan2"}</definedName>
    <definedName name="kjqwerw" localSheetId="3" hidden="1">{#N/A,#N/A,FALSE,"Plan1";#N/A,#N/A,FALSE,"Plan2"}</definedName>
    <definedName name="kjqwerw" localSheetId="33" hidden="1">{#N/A,#N/A,FALSE,"Plan1";#N/A,#N/A,FALSE,"Plan2"}</definedName>
    <definedName name="kjqwerw" localSheetId="35" hidden="1">{#N/A,#N/A,FALSE,"Plan1";#N/A,#N/A,FALSE,"Plan2"}</definedName>
    <definedName name="kjqwerw" hidden="1">{#N/A,#N/A,FALSE,"Plan1";#N/A,#N/A,FALSE,"Plan2"}</definedName>
    <definedName name="kjsfert" localSheetId="3" hidden="1">{#N/A,#N/A,FALSE,"Plan1";#N/A,#N/A,FALSE,"Plan2"}</definedName>
    <definedName name="kjsfert" localSheetId="33" hidden="1">{#N/A,#N/A,FALSE,"Plan1";#N/A,#N/A,FALSE,"Plan2"}</definedName>
    <definedName name="kjsfert" localSheetId="35" hidden="1">{#N/A,#N/A,FALSE,"Plan1";#N/A,#N/A,FALSE,"Plan2"}</definedName>
    <definedName name="kjsfert" hidden="1">{#N/A,#N/A,FALSE,"Plan1";#N/A,#N/A,FALSE,"Plan2"}</definedName>
    <definedName name="KJXCFKR" localSheetId="3" hidden="1">{#N/A,#N/A,FALSE,"Plan1";#N/A,#N/A,FALSE,"Plan2"}</definedName>
    <definedName name="KJXCFKR" localSheetId="33" hidden="1">{#N/A,#N/A,FALSE,"Plan1";#N/A,#N/A,FALSE,"Plan2"}</definedName>
    <definedName name="KJXCFKR" localSheetId="35" hidden="1">{#N/A,#N/A,FALSE,"Plan1";#N/A,#N/A,FALSE,"Plan2"}</definedName>
    <definedName name="KJXCFKR" hidden="1">{#N/A,#N/A,FALSE,"Plan1";#N/A,#N/A,FALSE,"Plan2"}</definedName>
    <definedName name="KJXDFD" localSheetId="3" hidden="1">{#N/A,#N/A,FALSE,"Plan1";#N/A,#N/A,FALSE,"Plan2"}</definedName>
    <definedName name="KJXDFD" localSheetId="33" hidden="1">{#N/A,#N/A,FALSE,"Plan1";#N/A,#N/A,FALSE,"Plan2"}</definedName>
    <definedName name="KJXDFD" localSheetId="35" hidden="1">{#N/A,#N/A,FALSE,"Plan1";#N/A,#N/A,FALSE,"Plan2"}</definedName>
    <definedName name="KJXDFD" hidden="1">{#N/A,#N/A,FALSE,"Plan1";#N/A,#N/A,FALSE,"Plan2"}</definedName>
    <definedName name="kjydhfkjghkjfh" localSheetId="3" hidden="1">#REF!</definedName>
    <definedName name="kjydhfkjghkjfh" localSheetId="12" hidden="1">#REF!</definedName>
    <definedName name="kjydhfkjghkjfh" localSheetId="30" hidden="1">#REF!</definedName>
    <definedName name="kjydhfkjghkjfh" localSheetId="28" hidden="1">#REF!</definedName>
    <definedName name="kjydhfkjghkjfh" localSheetId="27" hidden="1">#REF!</definedName>
    <definedName name="kjydhfkjghkjfh" localSheetId="18" hidden="1">#REF!</definedName>
    <definedName name="kjydhfkjghkjfh" localSheetId="7" hidden="1">#REF!</definedName>
    <definedName name="kjydhfkjghkjfh" localSheetId="23" hidden="1">#REF!</definedName>
    <definedName name="kjydhfkjghkjfh" hidden="1">#REF!</definedName>
    <definedName name="kk" localSheetId="12">#REF!</definedName>
    <definedName name="kk" localSheetId="30">#REF!</definedName>
    <definedName name="kk" localSheetId="28">#REF!</definedName>
    <definedName name="kk" localSheetId="27">#REF!</definedName>
    <definedName name="kk" localSheetId="18">#REF!</definedName>
    <definedName name="kk" localSheetId="7">#REF!</definedName>
    <definedName name="kk" localSheetId="23">#REF!</definedName>
    <definedName name="kk">#REF!</definedName>
    <definedName name="kk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3" hidden="1">{#N/A,#N/A,FALSE,"Plan1";#N/A,#N/A,FALSE,"Plan2"}</definedName>
    <definedName name="kkk" localSheetId="33" hidden="1">{#N/A,#N/A,FALSE,"Plan1";#N/A,#N/A,FALSE,"Plan2"}</definedName>
    <definedName name="kkk" localSheetId="35" hidden="1">{#N/A,#N/A,FALSE,"Plan1";#N/A,#N/A,FALSE,"Plan2"}</definedName>
    <definedName name="kkk" hidden="1">{#N/A,#N/A,FALSE,"Plan1";#N/A,#N/A,FALSE,"Plan2"}</definedName>
    <definedName name="kkkkk" localSheetId="3" hidden="1">{#N/A,#N/A,FALSE,"Plan1";#N/A,#N/A,FALSE,"Plan2"}</definedName>
    <definedName name="kkkkk" localSheetId="33" hidden="1">{#N/A,#N/A,FALSE,"Plan1";#N/A,#N/A,FALSE,"Plan2"}</definedName>
    <definedName name="kkkkk" localSheetId="35" hidden="1">{#N/A,#N/A,FALSE,"Plan1";#N/A,#N/A,FALSE,"Plan2"}</definedName>
    <definedName name="kkkkk" hidden="1">{#N/A,#N/A,FALSE,"Plan1";#N/A,#N/A,FALSE,"Plan2"}</definedName>
    <definedName name="kkkkkk" localSheetId="3" hidden="1">{#N/A,#N/A,FALSE,"Plan1";#N/A,#N/A,FALSE,"Plan2"}</definedName>
    <definedName name="kkkkkk" localSheetId="33" hidden="1">{#N/A,#N/A,FALSE,"Plan1";#N/A,#N/A,FALSE,"Plan2"}</definedName>
    <definedName name="kkkkkk" localSheetId="35" hidden="1">{#N/A,#N/A,FALSE,"Plan1";#N/A,#N/A,FALSE,"Plan2"}</definedName>
    <definedName name="kkkkkk" hidden="1">{#N/A,#N/A,FALSE,"Plan1";#N/A,#N/A,FALSE,"Plan2"}</definedName>
    <definedName name="kko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3" hidden="1">{#N/A,#N/A,FALSE,"Plan1";#N/A,#N/A,FALSE,"Plan2"}</definedName>
    <definedName name="kksaklçer" localSheetId="33" hidden="1">{#N/A,#N/A,FALSE,"Plan1";#N/A,#N/A,FALSE,"Plan2"}</definedName>
    <definedName name="kksaklçer" localSheetId="35" hidden="1">{#N/A,#N/A,FALSE,"Plan1";#N/A,#N/A,FALSE,"Plan2"}</definedName>
    <definedName name="kksaklçer" hidden="1">{#N/A,#N/A,FALSE,"Plan1";#N/A,#N/A,FALSE,"Plan2"}</definedName>
    <definedName name="kksarde" localSheetId="3" hidden="1">{#N/A,#N/A,FALSE,"Plan1";#N/A,#N/A,FALSE,"Plan2"}</definedName>
    <definedName name="kksarde" localSheetId="33" hidden="1">{#N/A,#N/A,FALSE,"Plan1";#N/A,#N/A,FALSE,"Plan2"}</definedName>
    <definedName name="kksarde" localSheetId="35" hidden="1">{#N/A,#N/A,FALSE,"Plan1";#N/A,#N/A,FALSE,"Plan2"}</definedName>
    <definedName name="kksarde" hidden="1">{#N/A,#N/A,FALSE,"Plan1";#N/A,#N/A,FALSE,"Plan2"}</definedName>
    <definedName name="klaskldjsw" localSheetId="3" hidden="1">{#N/A,#N/A,FALSE,"Plan1";#N/A,#N/A,FALSE,"Plan2"}</definedName>
    <definedName name="klaskldjsw" localSheetId="33" hidden="1">{#N/A,#N/A,FALSE,"Plan1";#N/A,#N/A,FALSE,"Plan2"}</definedName>
    <definedName name="klaskldjsw" localSheetId="35" hidden="1">{#N/A,#N/A,FALSE,"Plan1";#N/A,#N/A,FALSE,"Plan2"}</definedName>
    <definedName name="klaskldjsw" hidden="1">{#N/A,#N/A,FALSE,"Plan1";#N/A,#N/A,FALSE,"Plan2"}</definedName>
    <definedName name="klçkop" localSheetId="3" hidden="1">{#N/A,#N/A,FALSE,"Plan1";#N/A,#N/A,FALSE,"Plan2"}</definedName>
    <definedName name="klçkop" localSheetId="33" hidden="1">{#N/A,#N/A,FALSE,"Plan1";#N/A,#N/A,FALSE,"Plan2"}</definedName>
    <definedName name="klçkop" localSheetId="35" hidden="1">{#N/A,#N/A,FALSE,"Plan1";#N/A,#N/A,FALSE,"Plan2"}</definedName>
    <definedName name="klçkop" hidden="1">{#N/A,#N/A,FALSE,"Plan1";#N/A,#N/A,FALSE,"Plan2"}</definedName>
    <definedName name="KLDFNTRDT" localSheetId="3" hidden="1">{#N/A,#N/A,FALSE,"Plan1";#N/A,#N/A,FALSE,"Plan2"}</definedName>
    <definedName name="KLDFNTRDT" localSheetId="33" hidden="1">{#N/A,#N/A,FALSE,"Plan1";#N/A,#N/A,FALSE,"Plan2"}</definedName>
    <definedName name="KLDFNTRDT" localSheetId="35" hidden="1">{#N/A,#N/A,FALSE,"Plan1";#N/A,#N/A,FALSE,"Plan2"}</definedName>
    <definedName name="KLDFNTRDT" hidden="1">{#N/A,#N/A,FALSE,"Plan1";#N/A,#N/A,FALSE,"Plan2"}</definedName>
    <definedName name="klhjsdklhdf" localSheetId="3" hidden="1">{#N/A,#N/A,FALSE,"Plan1";#N/A,#N/A,FALSE,"Plan2"}</definedName>
    <definedName name="klhjsdklhdf" localSheetId="33" hidden="1">{#N/A,#N/A,FALSE,"Plan1";#N/A,#N/A,FALSE,"Plan2"}</definedName>
    <definedName name="klhjsdklhdf" localSheetId="35" hidden="1">{#N/A,#N/A,FALSE,"Plan1";#N/A,#N/A,FALSE,"Plan2"}</definedName>
    <definedName name="klhjsdklhdf" hidden="1">{#N/A,#N/A,FALSE,"Plan1";#N/A,#N/A,FALSE,"Plan2"}</definedName>
    <definedName name="KLHSKLRHWE" localSheetId="3" hidden="1">{#N/A,#N/A,FALSE,"Plan1";#N/A,#N/A,FALSE,"Plan2"}</definedName>
    <definedName name="KLHSKLRHWE" localSheetId="33" hidden="1">{#N/A,#N/A,FALSE,"Plan1";#N/A,#N/A,FALSE,"Plan2"}</definedName>
    <definedName name="KLHSKLRHWE" localSheetId="35" hidden="1">{#N/A,#N/A,FALSE,"Plan1";#N/A,#N/A,FALSE,"Plan2"}</definedName>
    <definedName name="KLHSKLRHWE" hidden="1">{#N/A,#N/A,FALSE,"Plan1";#N/A,#N/A,FALSE,"Plan2"}</definedName>
    <definedName name="KLJASKJD" localSheetId="3" hidden="1">{#N/A,#N/A,FALSE,"Plan1";#N/A,#N/A,FALSE,"Plan2"}</definedName>
    <definedName name="KLJASKJD" localSheetId="33" hidden="1">{#N/A,#N/A,FALSE,"Plan1";#N/A,#N/A,FALSE,"Plan2"}</definedName>
    <definedName name="KLJASKJD" localSheetId="35" hidden="1">{#N/A,#N/A,FALSE,"Plan1";#N/A,#N/A,FALSE,"Plan2"}</definedName>
    <definedName name="KLJASKJD" hidden="1">{#N/A,#N/A,FALSE,"Plan1";#N/A,#N/A,FALSE,"Plan2"}</definedName>
    <definedName name="KLJDXL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3" hidden="1">{#N/A,#N/A,FALSE,"Plan1";#N/A,#N/A,FALSE,"Plan2"}</definedName>
    <definedName name="kljeflwr" localSheetId="33" hidden="1">{#N/A,#N/A,FALSE,"Plan1";#N/A,#N/A,FALSE,"Plan2"}</definedName>
    <definedName name="kljeflwr" localSheetId="35" hidden="1">{#N/A,#N/A,FALSE,"Plan1";#N/A,#N/A,FALSE,"Plan2"}</definedName>
    <definedName name="kljeflwr" hidden="1">{#N/A,#N/A,FALSE,"Plan1";#N/A,#N/A,FALSE,"Plan2"}</definedName>
    <definedName name="kljflgjrf" localSheetId="3" hidden="1">{#N/A,#N/A,FALSE,"Plan1";#N/A,#N/A,FALSE,"Plan2"}</definedName>
    <definedName name="kljflgjrf" localSheetId="33" hidden="1">{#N/A,#N/A,FALSE,"Plan1";#N/A,#N/A,FALSE,"Plan2"}</definedName>
    <definedName name="kljflgjrf" localSheetId="35" hidden="1">{#N/A,#N/A,FALSE,"Plan1";#N/A,#N/A,FALSE,"Plan2"}</definedName>
    <definedName name="kljflgjrf" hidden="1">{#N/A,#N/A,FALSE,"Plan1";#N/A,#N/A,FALSE,"Plan2"}</definedName>
    <definedName name="kljgfdfr" localSheetId="3" hidden="1">{#N/A,#N/A,FALSE,"Plan1";#N/A,#N/A,FALSE,"Plan2"}</definedName>
    <definedName name="kljgfdfr" localSheetId="33" hidden="1">{#N/A,#N/A,FALSE,"Plan1";#N/A,#N/A,FALSE,"Plan2"}</definedName>
    <definedName name="kljgfdfr" localSheetId="35" hidden="1">{#N/A,#N/A,FALSE,"Plan1";#N/A,#N/A,FALSE,"Plan2"}</definedName>
    <definedName name="kljgfdfr" hidden="1">{#N/A,#N/A,FALSE,"Plan1";#N/A,#N/A,FALSE,"Plan2"}</definedName>
    <definedName name="kljgfjrt" localSheetId="3" hidden="1">{#N/A,#N/A,FALSE,"Plan1";#N/A,#N/A,FALSE,"Plan2"}</definedName>
    <definedName name="kljgfjrt" localSheetId="33" hidden="1">{#N/A,#N/A,FALSE,"Plan1";#N/A,#N/A,FALSE,"Plan2"}</definedName>
    <definedName name="kljgfjrt" localSheetId="35" hidden="1">{#N/A,#N/A,FALSE,"Plan1";#N/A,#N/A,FALSE,"Plan2"}</definedName>
    <definedName name="kljgfjrt" hidden="1">{#N/A,#N/A,FALSE,"Plan1";#N/A,#N/A,FALSE,"Plan2"}</definedName>
    <definedName name="kljlkdfj" localSheetId="3" hidden="1">{#N/A,#N/A,FALSE,"Plan1";#N/A,#N/A,FALSE,"Plan2"}</definedName>
    <definedName name="kljlkdfj" localSheetId="33" hidden="1">{#N/A,#N/A,FALSE,"Plan1";#N/A,#N/A,FALSE,"Plan2"}</definedName>
    <definedName name="kljlkdfj" localSheetId="35" hidden="1">{#N/A,#N/A,FALSE,"Plan1";#N/A,#N/A,FALSE,"Plan2"}</definedName>
    <definedName name="kljlkdfj" hidden="1">{#N/A,#N/A,FALSE,"Plan1";#N/A,#N/A,FALSE,"Plan2"}</definedName>
    <definedName name="kljsakjfr" localSheetId="3" hidden="1">{#N/A,#N/A,FALSE,"Plan1";#N/A,#N/A,FALSE,"Plan2"}</definedName>
    <definedName name="kljsakjfr" localSheetId="33" hidden="1">{#N/A,#N/A,FALSE,"Plan1";#N/A,#N/A,FALSE,"Plan2"}</definedName>
    <definedName name="kljsakjfr" localSheetId="35" hidden="1">{#N/A,#N/A,FALSE,"Plan1";#N/A,#N/A,FALSE,"Plan2"}</definedName>
    <definedName name="kljsakjfr" hidden="1">{#N/A,#N/A,FALSE,"Plan1";#N/A,#N/A,FALSE,"Plan2"}</definedName>
    <definedName name="kljsdje" localSheetId="3" hidden="1">{#N/A,#N/A,FALSE,"Plan1";#N/A,#N/A,FALSE,"Plan2"}</definedName>
    <definedName name="kljsdje" localSheetId="33" hidden="1">{#N/A,#N/A,FALSE,"Plan1";#N/A,#N/A,FALSE,"Plan2"}</definedName>
    <definedName name="kljsdje" localSheetId="35" hidden="1">{#N/A,#N/A,FALSE,"Plan1";#N/A,#N/A,FALSE,"Plan2"}</definedName>
    <definedName name="kljsdje" hidden="1">{#N/A,#N/A,FALSE,"Plan1";#N/A,#N/A,FALSE,"Plan2"}</definedName>
    <definedName name="kljsfwe" localSheetId="3" hidden="1">{#N/A,#N/A,FALSE,"Plan1";#N/A,#N/A,FALSE,"Plan2"}</definedName>
    <definedName name="kljsfwe" localSheetId="33" hidden="1">{#N/A,#N/A,FALSE,"Plan1";#N/A,#N/A,FALSE,"Plan2"}</definedName>
    <definedName name="kljsfwe" localSheetId="35" hidden="1">{#N/A,#N/A,FALSE,"Plan1";#N/A,#N/A,FALSE,"Plan2"}</definedName>
    <definedName name="kljsfwe" hidden="1">{#N/A,#N/A,FALSE,"Plan1";#N/A,#N/A,FALSE,"Plan2"}</definedName>
    <definedName name="klk" localSheetId="3" hidden="1">{#N/A,#N/A,FALSE,"Plan1";#N/A,#N/A,FALSE,"Plan2"}</definedName>
    <definedName name="klk" localSheetId="33" hidden="1">{#N/A,#N/A,FALSE,"Plan1";#N/A,#N/A,FALSE,"Plan2"}</definedName>
    <definedName name="klk" localSheetId="35" hidden="1">{#N/A,#N/A,FALSE,"Plan1";#N/A,#N/A,FALSE,"Plan2"}</definedName>
    <definedName name="klk" hidden="1">{#N/A,#N/A,FALSE,"Plan1";#N/A,#N/A,FALSE,"Plan2"}</definedName>
    <definedName name="KLKKLKÇJÇ" localSheetId="3" hidden="1">{#N/A,#N/A,FALSE,"Plan1";#N/A,#N/A,FALSE,"Plan2"}</definedName>
    <definedName name="KLKKLKÇJÇ" localSheetId="33" hidden="1">{#N/A,#N/A,FALSE,"Plan1";#N/A,#N/A,FALSE,"Plan2"}</definedName>
    <definedName name="KLKKLKÇJÇ" localSheetId="35" hidden="1">{#N/A,#N/A,FALSE,"Plan1";#N/A,#N/A,FALSE,"Plan2"}</definedName>
    <definedName name="KLKKLKÇJÇ" hidden="1">{#N/A,#N/A,FALSE,"Plan1";#N/A,#N/A,FALSE,"Plan2"}</definedName>
    <definedName name="KLSDFT" localSheetId="3" hidden="1">{#N/A,#N/A,FALSE,"Plan1";#N/A,#N/A,FALSE,"Plan2"}</definedName>
    <definedName name="KLSDFT" localSheetId="33" hidden="1">{#N/A,#N/A,FALSE,"Plan1";#N/A,#N/A,FALSE,"Plan2"}</definedName>
    <definedName name="KLSDFT" localSheetId="35" hidden="1">{#N/A,#N/A,FALSE,"Plan1";#N/A,#N/A,FALSE,"Plan2"}</definedName>
    <definedName name="KLSDFT" hidden="1">{#N/A,#N/A,FALSE,"Plan1";#N/A,#N/A,FALSE,"Plan2"}</definedName>
    <definedName name="KLSDHSJKHF" localSheetId="3" hidden="1">{#N/A,#N/A,FALSE,"Plan1";#N/A,#N/A,FALSE,"Plan2"}</definedName>
    <definedName name="KLSDHSJKHF" localSheetId="33" hidden="1">{#N/A,#N/A,FALSE,"Plan1";#N/A,#N/A,FALSE,"Plan2"}</definedName>
    <definedName name="KLSDHSJKHF" localSheetId="35" hidden="1">{#N/A,#N/A,FALSE,"Plan1";#N/A,#N/A,FALSE,"Plan2"}</definedName>
    <definedName name="KLSDHSJKHF" hidden="1">{#N/A,#N/A,FALSE,"Plan1";#N/A,#N/A,FALSE,"Plan2"}</definedName>
    <definedName name="klsdkre" localSheetId="3" hidden="1">{#N/A,#N/A,FALSE,"Plan1";#N/A,#N/A,FALSE,"Plan2"}</definedName>
    <definedName name="klsdkre" localSheetId="33" hidden="1">{#N/A,#N/A,FALSE,"Plan1";#N/A,#N/A,FALSE,"Plan2"}</definedName>
    <definedName name="klsdkre" localSheetId="35" hidden="1">{#N/A,#N/A,FALSE,"Plan1";#N/A,#N/A,FALSE,"Plan2"}</definedName>
    <definedName name="klsdkre" hidden="1">{#N/A,#N/A,FALSE,"Plan1";#N/A,#N/A,FALSE,"Plan2"}</definedName>
    <definedName name="KLSIDJE" localSheetId="3" hidden="1">{#N/A,#N/A,FALSE,"Plan1";#N/A,#N/A,FALSE,"Plan2"}</definedName>
    <definedName name="KLSIDJE" localSheetId="33" hidden="1">{#N/A,#N/A,FALSE,"Plan1";#N/A,#N/A,FALSE,"Plan2"}</definedName>
    <definedName name="KLSIDJE" localSheetId="35" hidden="1">{#N/A,#N/A,FALSE,"Plan1";#N/A,#N/A,FALSE,"Plan2"}</definedName>
    <definedName name="KLSIDJE" hidden="1">{#N/A,#N/A,FALSE,"Plan1";#N/A,#N/A,FALSE,"Plan2"}</definedName>
    <definedName name="klsjarsf" localSheetId="3" hidden="1">{#N/A,#N/A,FALSE,"Plan1";#N/A,#N/A,FALSE,"Plan2"}</definedName>
    <definedName name="klsjarsf" localSheetId="33" hidden="1">{#N/A,#N/A,FALSE,"Plan1";#N/A,#N/A,FALSE,"Plan2"}</definedName>
    <definedName name="klsjarsf" localSheetId="35" hidden="1">{#N/A,#N/A,FALSE,"Plan1";#N/A,#N/A,FALSE,"Plan2"}</definedName>
    <definedName name="klsjarsf" hidden="1">{#N/A,#N/A,FALSE,"Plan1";#N/A,#N/A,FALSE,"Plan2"}</definedName>
    <definedName name="klsjdwe" localSheetId="3" hidden="1">#REF!</definedName>
    <definedName name="klsjdwe" localSheetId="12" hidden="1">#REF!</definedName>
    <definedName name="klsjdwe" localSheetId="30" hidden="1">#REF!</definedName>
    <definedName name="klsjdwe" localSheetId="28" hidden="1">#REF!</definedName>
    <definedName name="klsjdwe" localSheetId="27" hidden="1">#REF!</definedName>
    <definedName name="klsjdwe" localSheetId="18" hidden="1">#REF!</definedName>
    <definedName name="klsjdwe" localSheetId="7" hidden="1">#REF!</definedName>
    <definedName name="klsjdwe" localSheetId="23" hidden="1">#REF!</definedName>
    <definedName name="klsjdwe" hidden="1">#REF!</definedName>
    <definedName name="klxhjfdkhser" localSheetId="3" hidden="1">{#N/A,#N/A,FALSE,"Plan1";#N/A,#N/A,FALSE,"Plan2"}</definedName>
    <definedName name="klxhjfdkhser" localSheetId="33" hidden="1">{#N/A,#N/A,FALSE,"Plan1";#N/A,#N/A,FALSE,"Plan2"}</definedName>
    <definedName name="klxhjfdkhser" localSheetId="35" hidden="1">{#N/A,#N/A,FALSE,"Plan1";#N/A,#N/A,FALSE,"Plan2"}</definedName>
    <definedName name="klxhjfdkhser" hidden="1">{#N/A,#N/A,FALSE,"Plan1";#N/A,#N/A,FALSE,"Plan2"}</definedName>
    <definedName name="kopipnsdfne" localSheetId="3" hidden="1">{#N/A,#N/A,FALSE,"Plan1";#N/A,#N/A,FALSE,"Plan2"}</definedName>
    <definedName name="kopipnsdfne" localSheetId="33" hidden="1">{#N/A,#N/A,FALSE,"Plan1";#N/A,#N/A,FALSE,"Plan2"}</definedName>
    <definedName name="kopipnsdfne" localSheetId="35" hidden="1">{#N/A,#N/A,FALSE,"Plan1";#N/A,#N/A,FALSE,"Plan2"}</definedName>
    <definedName name="kopipnsdfne" hidden="1">{#N/A,#N/A,FALSE,"Plan1";#N/A,#N/A,FALSE,"Plan2"}</definedName>
    <definedName name="kp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3" hidden="1">{#N/A,#N/A,FALSE,"Plan1";#N/A,#N/A,FALSE,"Plan2"}</definedName>
    <definedName name="KSDLDF" localSheetId="33" hidden="1">{#N/A,#N/A,FALSE,"Plan1";#N/A,#N/A,FALSE,"Plan2"}</definedName>
    <definedName name="KSDLDF" localSheetId="35" hidden="1">{#N/A,#N/A,FALSE,"Plan1";#N/A,#N/A,FALSE,"Plan2"}</definedName>
    <definedName name="KSDLDF" hidden="1">{#N/A,#N/A,FALSE,"Plan1";#N/A,#N/A,FALSE,"Plan2"}</definedName>
    <definedName name="ksdlkfsçzd" localSheetId="3" hidden="1">{#N/A,#N/A,FALSE,"Plan1";#N/A,#N/A,FALSE,"Plan2"}</definedName>
    <definedName name="ksdlkfsçzd" localSheetId="33" hidden="1">{#N/A,#N/A,FALSE,"Plan1";#N/A,#N/A,FALSE,"Plan2"}</definedName>
    <definedName name="ksdlkfsçzd" localSheetId="35" hidden="1">{#N/A,#N/A,FALSE,"Plan1";#N/A,#N/A,FALSE,"Plan2"}</definedName>
    <definedName name="ksdlkfsçzd" hidden="1">{#N/A,#N/A,FALSE,"Plan1";#N/A,#N/A,FALSE,"Plan2"}</definedName>
    <definedName name="KSDNFK" localSheetId="12">#REF!</definedName>
    <definedName name="KSDNFK" localSheetId="30">#REF!</definedName>
    <definedName name="KSDNFK" localSheetId="28">#REF!</definedName>
    <definedName name="KSDNFK" localSheetId="27">#REF!</definedName>
    <definedName name="KSDNFK" localSheetId="18">#REF!</definedName>
    <definedName name="KSDNFK" localSheetId="7">#REF!</definedName>
    <definedName name="KSDNFK" localSheetId="23">#REF!</definedName>
    <definedName name="KSDNFK">#REF!</definedName>
    <definedName name="ksdoçierfe" localSheetId="3" hidden="1">{#N/A,#N/A,FALSE,"Plan1";#N/A,#N/A,FALSE,"Plan2"}</definedName>
    <definedName name="ksdoçierfe" localSheetId="33" hidden="1">{#N/A,#N/A,FALSE,"Plan1";#N/A,#N/A,FALSE,"Plan2"}</definedName>
    <definedName name="ksdoçierfe" localSheetId="35" hidden="1">{#N/A,#N/A,FALSE,"Plan1";#N/A,#N/A,FALSE,"Plan2"}</definedName>
    <definedName name="ksdoçierfe" hidden="1">{#N/A,#N/A,FALSE,"Plan1";#N/A,#N/A,FALSE,"Plan2"}</definedName>
    <definedName name="ksdtrdrkf" localSheetId="3" hidden="1">{#N/A,#N/A,FALSE,"Plan1";#N/A,#N/A,FALSE,"Plan2"}</definedName>
    <definedName name="ksdtrdrkf" localSheetId="33" hidden="1">{#N/A,#N/A,FALSE,"Plan1";#N/A,#N/A,FALSE,"Plan2"}</definedName>
    <definedName name="ksdtrdrkf" localSheetId="35" hidden="1">{#N/A,#N/A,FALSE,"Plan1";#N/A,#N/A,FALSE,"Plan2"}</definedName>
    <definedName name="ksdtrdrkf" hidden="1">{#N/A,#N/A,FALSE,"Plan1";#N/A,#N/A,FALSE,"Plan2"}</definedName>
    <definedName name="KSFÇJDFJL" localSheetId="3" hidden="1">{#N/A,#N/A,FALSE,"Plan1";#N/A,#N/A,FALSE,"Plan2"}</definedName>
    <definedName name="KSFÇJDFJL" localSheetId="33" hidden="1">{#N/A,#N/A,FALSE,"Plan1";#N/A,#N/A,FALSE,"Plan2"}</definedName>
    <definedName name="KSFÇJDFJL" localSheetId="35" hidden="1">{#N/A,#N/A,FALSE,"Plan1";#N/A,#N/A,FALSE,"Plan2"}</definedName>
    <definedName name="KSFÇJDFJL" hidden="1">{#N/A,#N/A,FALSE,"Plan1";#N/A,#N/A,FALSE,"Plan2"}</definedName>
    <definedName name="ksfhse" localSheetId="3" hidden="1">{#N/A,#N/A,FALSE,"Plan1";#N/A,#N/A,FALSE,"Plan2"}</definedName>
    <definedName name="ksfhse" localSheetId="33" hidden="1">{#N/A,#N/A,FALSE,"Plan1";#N/A,#N/A,FALSE,"Plan2"}</definedName>
    <definedName name="ksfhse" localSheetId="35" hidden="1">{#N/A,#N/A,FALSE,"Plan1";#N/A,#N/A,FALSE,"Plan2"}</definedName>
    <definedName name="ksfhse" hidden="1">{#N/A,#N/A,FALSE,"Plan1";#N/A,#N/A,FALSE,"Plan2"}</definedName>
    <definedName name="KSRKOE" localSheetId="3" hidden="1">{#N/A,#N/A,FALSE,"Plan1";#N/A,#N/A,FALSE,"Plan2"}</definedName>
    <definedName name="KSRKOE" localSheetId="33" hidden="1">{#N/A,#N/A,FALSE,"Plan1";#N/A,#N/A,FALSE,"Plan2"}</definedName>
    <definedName name="KSRKOE" localSheetId="35" hidden="1">{#N/A,#N/A,FALSE,"Plan1";#N/A,#N/A,FALSE,"Plan2"}</definedName>
    <definedName name="KSRKOE" hidden="1">{#N/A,#N/A,FALSE,"Plan1";#N/A,#N/A,FALSE,"Plan2"}</definedName>
    <definedName name="KSWKE" localSheetId="3" hidden="1">{#N/A,#N/A,FALSE,"Plan1";#N/A,#N/A,FALSE,"Plan2"}</definedName>
    <definedName name="KSWKE" localSheetId="33" hidden="1">{#N/A,#N/A,FALSE,"Plan1";#N/A,#N/A,FALSE,"Plan2"}</definedName>
    <definedName name="KSWKE" localSheetId="35" hidden="1">{#N/A,#N/A,FALSE,"Plan1";#N/A,#N/A,FALSE,"Plan2"}</definedName>
    <definedName name="KSWKE" hidden="1">{#N/A,#N/A,FALSE,"Plan1";#N/A,#N/A,FALSE,"Plan2"}</definedName>
    <definedName name="kubus" localSheetId="12">#REF!</definedName>
    <definedName name="kubus" localSheetId="30">#REF!</definedName>
    <definedName name="kubus" localSheetId="28">#REF!</definedName>
    <definedName name="kubus" localSheetId="27">#REF!</definedName>
    <definedName name="kubus" localSheetId="21">#REF!</definedName>
    <definedName name="kubus" localSheetId="18">#REF!</definedName>
    <definedName name="kubus" localSheetId="7">#REF!</definedName>
    <definedName name="kubus" localSheetId="23">#REF!</definedName>
    <definedName name="kubus">#REF!</definedName>
    <definedName name="kubus1" localSheetId="12">#REF!</definedName>
    <definedName name="kubus1" localSheetId="30">#REF!</definedName>
    <definedName name="kubus1" localSheetId="28">#REF!</definedName>
    <definedName name="kubus1" localSheetId="27">#REF!</definedName>
    <definedName name="kubus1" localSheetId="21">#REF!</definedName>
    <definedName name="kubus1" localSheetId="18">#REF!</definedName>
    <definedName name="kubus1" localSheetId="7">#REF!</definedName>
    <definedName name="kubus1" localSheetId="23">#REF!</definedName>
    <definedName name="kubus1">#REF!</definedName>
    <definedName name="kysdusf" localSheetId="3" hidden="1">{#N/A,#N/A,FALSE,"Plan1";#N/A,#N/A,FALSE,"Plan2"}</definedName>
    <definedName name="kysdusf" localSheetId="33" hidden="1">{#N/A,#N/A,FALSE,"Plan1";#N/A,#N/A,FALSE,"Plan2"}</definedName>
    <definedName name="kysdusf" localSheetId="35" hidden="1">{#N/A,#N/A,FALSE,"Plan1";#N/A,#N/A,FALSE,"Plan2"}</definedName>
    <definedName name="kysdusf" hidden="1">{#N/A,#N/A,FALSE,"Plan1";#N/A,#N/A,FALSE,"Plan2"}</definedName>
    <definedName name="kzslçdkçle" localSheetId="3" hidden="1">{#N/A,#N/A,FALSE,"Plan1";#N/A,#N/A,FALSE,"Plan2"}</definedName>
    <definedName name="kzslçdkçle" localSheetId="33" hidden="1">{#N/A,#N/A,FALSE,"Plan1";#N/A,#N/A,FALSE,"Plan2"}</definedName>
    <definedName name="kzslçdkçle" localSheetId="35" hidden="1">{#N/A,#N/A,FALSE,"Plan1";#N/A,#N/A,FALSE,"Plan2"}</definedName>
    <definedName name="kzslçdkçle" hidden="1">{#N/A,#N/A,FALSE,"Plan1";#N/A,#N/A,FALSE,"Plan2"}</definedName>
    <definedName name="L_" localSheetId="12">#REF!</definedName>
    <definedName name="L_" localSheetId="30">#REF!</definedName>
    <definedName name="L_" localSheetId="28">#REF!</definedName>
    <definedName name="L_" localSheetId="27">#REF!</definedName>
    <definedName name="L_" localSheetId="21">#REF!</definedName>
    <definedName name="L_" localSheetId="18">#REF!</definedName>
    <definedName name="L_" localSheetId="7">#REF!</definedName>
    <definedName name="L_" localSheetId="23">#REF!</definedName>
    <definedName name="L_">#REF!</definedName>
    <definedName name="LAEKWRK" localSheetId="3" hidden="1">{#N/A,#N/A,FALSE,"Plan1";#N/A,#N/A,FALSE,"Plan2"}</definedName>
    <definedName name="LAEKWRK" localSheetId="33" hidden="1">{#N/A,#N/A,FALSE,"Plan1";#N/A,#N/A,FALSE,"Plan2"}</definedName>
    <definedName name="LAEKWRK" localSheetId="35" hidden="1">{#N/A,#N/A,FALSE,"Plan1";#N/A,#N/A,FALSE,"Plan2"}</definedName>
    <definedName name="LAEKWRK" hidden="1">{#N/A,#N/A,FALSE,"Plan1";#N/A,#N/A,FALSE,"Plan2"}</definedName>
    <definedName name="laeqwep" localSheetId="3" hidden="1">#REF!</definedName>
    <definedName name="laeqwep" localSheetId="12" hidden="1">#REF!</definedName>
    <definedName name="laeqwep" localSheetId="30" hidden="1">#REF!</definedName>
    <definedName name="laeqwep" localSheetId="28" hidden="1">#REF!</definedName>
    <definedName name="laeqwep" localSheetId="27" hidden="1">#REF!</definedName>
    <definedName name="laeqwep" localSheetId="18" hidden="1">#REF!</definedName>
    <definedName name="laeqwep" localSheetId="7" hidden="1">#REF!</definedName>
    <definedName name="laeqwep" localSheetId="23" hidden="1">#REF!</definedName>
    <definedName name="laeqwep" hidden="1">#REF!</definedName>
    <definedName name="LAKDEWRF" localSheetId="3" hidden="1">{#N/A,#N/A,FALSE,"Plan1";#N/A,#N/A,FALSE,"Plan2"}</definedName>
    <definedName name="LAKDEWRF" localSheetId="33" hidden="1">{#N/A,#N/A,FALSE,"Plan1";#N/A,#N/A,FALSE,"Plan2"}</definedName>
    <definedName name="LAKDEWRF" localSheetId="35" hidden="1">{#N/A,#N/A,FALSE,"Plan1";#N/A,#N/A,FALSE,"Plan2"}</definedName>
    <definedName name="LAKDEWRF" hidden="1">{#N/A,#N/A,FALSE,"Plan1";#N/A,#N/A,FALSE,"Plan2"}</definedName>
    <definedName name="Lancamentos" localSheetId="12">#REF!</definedName>
    <definedName name="Lancamentos" localSheetId="30">#REF!</definedName>
    <definedName name="Lancamentos" localSheetId="28">#REF!</definedName>
    <definedName name="Lancamentos" localSheetId="27">#REF!</definedName>
    <definedName name="Lancamentos" localSheetId="18">#REF!</definedName>
    <definedName name="Lancamentos" localSheetId="7">#REF!</definedName>
    <definedName name="Lancamentos" localSheetId="23">#REF!</definedName>
    <definedName name="Lancamentos">#REF!</definedName>
    <definedName name="LARGURA" localSheetId="12">#REF!</definedName>
    <definedName name="LARGURA" localSheetId="30">#REF!</definedName>
    <definedName name="LARGURA" localSheetId="28">#REF!</definedName>
    <definedName name="LARGURA" localSheetId="27">#REF!</definedName>
    <definedName name="LARGURA" localSheetId="21">#REF!</definedName>
    <definedName name="LARGURA" localSheetId="18">#REF!</definedName>
    <definedName name="LARGURA" localSheetId="7">#REF!</definedName>
    <definedName name="LARGURA" localSheetId="23">#REF!</definedName>
    <definedName name="LARGURA">#REF!</definedName>
    <definedName name="LASÇDSRLF" localSheetId="3" hidden="1">{#N/A,#N/A,FALSE,"Plan1";#N/A,#N/A,FALSE,"Plan2"}</definedName>
    <definedName name="LASÇDSRLF" localSheetId="33" hidden="1">{#N/A,#N/A,FALSE,"Plan1";#N/A,#N/A,FALSE,"Plan2"}</definedName>
    <definedName name="LASÇDSRLF" localSheetId="35" hidden="1">{#N/A,#N/A,FALSE,"Plan1";#N/A,#N/A,FALSE,"Plan2"}</definedName>
    <definedName name="LASÇDSRLF" hidden="1">{#N/A,#N/A,FALSE,"Plan1";#N/A,#N/A,FALSE,"Plan2"}</definedName>
    <definedName name="LASDAKWE" hidden="1">25</definedName>
    <definedName name="lasrlswer" localSheetId="3" hidden="1">{#N/A,#N/A,FALSE,"Plan1";#N/A,#N/A,FALSE,"Plan2"}</definedName>
    <definedName name="lasrlswer" localSheetId="33" hidden="1">{#N/A,#N/A,FALSE,"Plan1";#N/A,#N/A,FALSE,"Plan2"}</definedName>
    <definedName name="lasrlswer" localSheetId="35" hidden="1">{#N/A,#N/A,FALSE,"Plan1";#N/A,#N/A,FALSE,"Plan2"}</definedName>
    <definedName name="lasrlswer" hidden="1">{#N/A,#N/A,FALSE,"Plan1";#N/A,#N/A,FALSE,"Plan2"}</definedName>
    <definedName name="LAZER" localSheetId="12">#REF!</definedName>
    <definedName name="LAZER" localSheetId="30">#REF!</definedName>
    <definedName name="LAZER" localSheetId="28">#REF!</definedName>
    <definedName name="LAZER" localSheetId="27">#REF!</definedName>
    <definedName name="LAZER" localSheetId="18">#REF!</definedName>
    <definedName name="LAZER" localSheetId="7">#REF!</definedName>
    <definedName name="LAZER" localSheetId="23">#REF!</definedName>
    <definedName name="LAZER">#REF!</definedName>
    <definedName name="lbla1" localSheetId="12" hidden="1">#REF!</definedName>
    <definedName name="lbla1" localSheetId="30" hidden="1">#REF!</definedName>
    <definedName name="lbla1" localSheetId="28" hidden="1">#REF!</definedName>
    <definedName name="lbla1" localSheetId="27" hidden="1">#REF!</definedName>
    <definedName name="lbla1" localSheetId="18" hidden="1">#REF!</definedName>
    <definedName name="lbla1" localSheetId="7" hidden="1">#REF!</definedName>
    <definedName name="lbla1" localSheetId="23" hidden="1">#REF!</definedName>
    <definedName name="lbla1" hidden="1">#REF!</definedName>
    <definedName name="lbla10" localSheetId="12" hidden="1">#REF!</definedName>
    <definedName name="lbla10" localSheetId="30" hidden="1">#REF!</definedName>
    <definedName name="lbla10" localSheetId="28" hidden="1">#REF!</definedName>
    <definedName name="lbla10" localSheetId="27" hidden="1">#REF!</definedName>
    <definedName name="lbla10" localSheetId="18" hidden="1">#REF!</definedName>
    <definedName name="lbla10" localSheetId="7" hidden="1">#REF!</definedName>
    <definedName name="lbla10" localSheetId="23" hidden="1">#REF!</definedName>
    <definedName name="lbla10" hidden="1">#REF!</definedName>
    <definedName name="lbla11" localSheetId="12" hidden="1">#REF!</definedName>
    <definedName name="lbla11" localSheetId="30" hidden="1">#REF!</definedName>
    <definedName name="lbla11" localSheetId="28" hidden="1">#REF!</definedName>
    <definedName name="lbla11" localSheetId="27" hidden="1">#REF!</definedName>
    <definedName name="lbla11" localSheetId="18" hidden="1">#REF!</definedName>
    <definedName name="lbla11" localSheetId="7" hidden="1">#REF!</definedName>
    <definedName name="lbla11" localSheetId="23" hidden="1">#REF!</definedName>
    <definedName name="lbla11" hidden="1">#REF!</definedName>
    <definedName name="lbla12" localSheetId="12" hidden="1">#REF!</definedName>
    <definedName name="lbla12" localSheetId="30" hidden="1">#REF!</definedName>
    <definedName name="lbla12" localSheetId="28" hidden="1">#REF!</definedName>
    <definedName name="lbla12" localSheetId="27" hidden="1">#REF!</definedName>
    <definedName name="lbla12" localSheetId="18" hidden="1">#REF!</definedName>
    <definedName name="lbla12" localSheetId="7" hidden="1">#REF!</definedName>
    <definedName name="lbla12" localSheetId="23" hidden="1">#REF!</definedName>
    <definedName name="lbla12" hidden="1">#REF!</definedName>
    <definedName name="lbla13" localSheetId="12" hidden="1">#REF!</definedName>
    <definedName name="lbla13" localSheetId="30" hidden="1">#REF!</definedName>
    <definedName name="lbla13" localSheetId="28" hidden="1">#REF!</definedName>
    <definedName name="lbla13" localSheetId="27" hidden="1">#REF!</definedName>
    <definedName name="lbla13" localSheetId="18" hidden="1">#REF!</definedName>
    <definedName name="lbla13" localSheetId="7" hidden="1">#REF!</definedName>
    <definedName name="lbla13" localSheetId="23" hidden="1">#REF!</definedName>
    <definedName name="lbla13" hidden="1">#REF!</definedName>
    <definedName name="lbla14" localSheetId="12" hidden="1">#REF!</definedName>
    <definedName name="lbla14" localSheetId="30" hidden="1">#REF!</definedName>
    <definedName name="lbla14" localSheetId="28" hidden="1">#REF!</definedName>
    <definedName name="lbla14" localSheetId="27" hidden="1">#REF!</definedName>
    <definedName name="lbla14" localSheetId="18" hidden="1">#REF!</definedName>
    <definedName name="lbla14" localSheetId="7" hidden="1">#REF!</definedName>
    <definedName name="lbla14" localSheetId="23" hidden="1">#REF!</definedName>
    <definedName name="lbla14" hidden="1">#REF!</definedName>
    <definedName name="lbla15" localSheetId="12" hidden="1">#REF!</definedName>
    <definedName name="lbla15" localSheetId="30" hidden="1">#REF!</definedName>
    <definedName name="lbla15" localSheetId="28" hidden="1">#REF!</definedName>
    <definedName name="lbla15" localSheetId="27" hidden="1">#REF!</definedName>
    <definedName name="lbla15" localSheetId="18" hidden="1">#REF!</definedName>
    <definedName name="lbla15" localSheetId="7" hidden="1">#REF!</definedName>
    <definedName name="lbla15" localSheetId="23" hidden="1">#REF!</definedName>
    <definedName name="lbla15" hidden="1">#REF!</definedName>
    <definedName name="lbla16" localSheetId="12" hidden="1">#REF!</definedName>
    <definedName name="lbla16" localSheetId="30" hidden="1">#REF!</definedName>
    <definedName name="lbla16" localSheetId="28" hidden="1">#REF!</definedName>
    <definedName name="lbla16" localSheetId="27" hidden="1">#REF!</definedName>
    <definedName name="lbla16" localSheetId="18" hidden="1">#REF!</definedName>
    <definedName name="lbla16" localSheetId="7" hidden="1">#REF!</definedName>
    <definedName name="lbla16" localSheetId="23" hidden="1">#REF!</definedName>
    <definedName name="lbla16" hidden="1">#REF!</definedName>
    <definedName name="lbla17" localSheetId="12" hidden="1">#REF!</definedName>
    <definedName name="lbla17" localSheetId="30" hidden="1">#REF!</definedName>
    <definedName name="lbla17" localSheetId="28" hidden="1">#REF!</definedName>
    <definedName name="lbla17" localSheetId="27" hidden="1">#REF!</definedName>
    <definedName name="lbla17" localSheetId="18" hidden="1">#REF!</definedName>
    <definedName name="lbla17" localSheetId="7" hidden="1">#REF!</definedName>
    <definedName name="lbla17" localSheetId="23" hidden="1">#REF!</definedName>
    <definedName name="lbla17" hidden="1">#REF!</definedName>
    <definedName name="lbla18" localSheetId="12" hidden="1">#REF!</definedName>
    <definedName name="lbla18" localSheetId="30" hidden="1">#REF!</definedName>
    <definedName name="lbla18" localSheetId="28" hidden="1">#REF!</definedName>
    <definedName name="lbla18" localSheetId="27" hidden="1">#REF!</definedName>
    <definedName name="lbla18" localSheetId="18" hidden="1">#REF!</definedName>
    <definedName name="lbla18" localSheetId="7" hidden="1">#REF!</definedName>
    <definedName name="lbla18" localSheetId="23" hidden="1">#REF!</definedName>
    <definedName name="lbla18" hidden="1">#REF!</definedName>
    <definedName name="lbla19" localSheetId="12" hidden="1">#REF!</definedName>
    <definedName name="lbla19" localSheetId="30" hidden="1">#REF!</definedName>
    <definedName name="lbla19" localSheetId="28" hidden="1">#REF!</definedName>
    <definedName name="lbla19" localSheetId="27" hidden="1">#REF!</definedName>
    <definedName name="lbla19" localSheetId="18" hidden="1">#REF!</definedName>
    <definedName name="lbla19" localSheetId="7" hidden="1">#REF!</definedName>
    <definedName name="lbla19" localSheetId="23" hidden="1">#REF!</definedName>
    <definedName name="lbla19" hidden="1">#REF!</definedName>
    <definedName name="lbla2" localSheetId="12" hidden="1">#REF!</definedName>
    <definedName name="lbla2" localSheetId="30" hidden="1">#REF!</definedName>
    <definedName name="lbla2" localSheetId="28" hidden="1">#REF!</definedName>
    <definedName name="lbla2" localSheetId="27" hidden="1">#REF!</definedName>
    <definedName name="lbla2" localSheetId="18" hidden="1">#REF!</definedName>
    <definedName name="lbla2" localSheetId="7" hidden="1">#REF!</definedName>
    <definedName name="lbla2" localSheetId="23" hidden="1">#REF!</definedName>
    <definedName name="lbla2" hidden="1">#REF!</definedName>
    <definedName name="lbla20" localSheetId="12" hidden="1">#REF!</definedName>
    <definedName name="lbla20" localSheetId="30" hidden="1">#REF!</definedName>
    <definedName name="lbla20" localSheetId="28" hidden="1">#REF!</definedName>
    <definedName name="lbla20" localSheetId="27" hidden="1">#REF!</definedName>
    <definedName name="lbla20" localSheetId="18" hidden="1">#REF!</definedName>
    <definedName name="lbla20" localSheetId="7" hidden="1">#REF!</definedName>
    <definedName name="lbla20" localSheetId="23" hidden="1">#REF!</definedName>
    <definedName name="lbla20" hidden="1">#REF!</definedName>
    <definedName name="lbla21" localSheetId="12" hidden="1">#REF!</definedName>
    <definedName name="lbla21" localSheetId="30" hidden="1">#REF!</definedName>
    <definedName name="lbla21" localSheetId="28" hidden="1">#REF!</definedName>
    <definedName name="lbla21" localSheetId="27" hidden="1">#REF!</definedName>
    <definedName name="lbla21" localSheetId="18" hidden="1">#REF!</definedName>
    <definedName name="lbla21" localSheetId="7" hidden="1">#REF!</definedName>
    <definedName name="lbla21" localSheetId="23" hidden="1">#REF!</definedName>
    <definedName name="lbla21" hidden="1">#REF!</definedName>
    <definedName name="lbla22" localSheetId="12" hidden="1">#REF!</definedName>
    <definedName name="lbla22" localSheetId="30" hidden="1">#REF!</definedName>
    <definedName name="lbla22" localSheetId="28" hidden="1">#REF!</definedName>
    <definedName name="lbla22" localSheetId="27" hidden="1">#REF!</definedName>
    <definedName name="lbla22" localSheetId="18" hidden="1">#REF!</definedName>
    <definedName name="lbla22" localSheetId="7" hidden="1">#REF!</definedName>
    <definedName name="lbla22" localSheetId="23" hidden="1">#REF!</definedName>
    <definedName name="lbla22" hidden="1">#REF!</definedName>
    <definedName name="lbla23" localSheetId="12" hidden="1">#REF!</definedName>
    <definedName name="lbla23" localSheetId="30" hidden="1">#REF!</definedName>
    <definedName name="lbla23" localSheetId="28" hidden="1">#REF!</definedName>
    <definedName name="lbla23" localSheetId="27" hidden="1">#REF!</definedName>
    <definedName name="lbla23" localSheetId="18" hidden="1">#REF!</definedName>
    <definedName name="lbla23" localSheetId="7" hidden="1">#REF!</definedName>
    <definedName name="lbla23" localSheetId="23" hidden="1">#REF!</definedName>
    <definedName name="lbla23" hidden="1">#REF!</definedName>
    <definedName name="lbla24" localSheetId="12" hidden="1">#REF!</definedName>
    <definedName name="lbla24" localSheetId="30" hidden="1">#REF!</definedName>
    <definedName name="lbla24" localSheetId="28" hidden="1">#REF!</definedName>
    <definedName name="lbla24" localSheetId="27" hidden="1">#REF!</definedName>
    <definedName name="lbla24" localSheetId="18" hidden="1">#REF!</definedName>
    <definedName name="lbla24" localSheetId="7" hidden="1">#REF!</definedName>
    <definedName name="lbla24" localSheetId="23" hidden="1">#REF!</definedName>
    <definedName name="lbla24" hidden="1">#REF!</definedName>
    <definedName name="lbla25" localSheetId="12" hidden="1">#REF!</definedName>
    <definedName name="lbla25" localSheetId="30" hidden="1">#REF!</definedName>
    <definedName name="lbla25" localSheetId="28" hidden="1">#REF!</definedName>
    <definedName name="lbla25" localSheetId="27" hidden="1">#REF!</definedName>
    <definedName name="lbla25" localSheetId="18" hidden="1">#REF!</definedName>
    <definedName name="lbla25" localSheetId="7" hidden="1">#REF!</definedName>
    <definedName name="lbla25" localSheetId="23" hidden="1">#REF!</definedName>
    <definedName name="lbla25" hidden="1">#REF!</definedName>
    <definedName name="lbla27" localSheetId="12" hidden="1">#REF!</definedName>
    <definedName name="lbla27" localSheetId="30" hidden="1">#REF!</definedName>
    <definedName name="lbla27" localSheetId="28" hidden="1">#REF!</definedName>
    <definedName name="lbla27" localSheetId="27" hidden="1">#REF!</definedName>
    <definedName name="lbla27" localSheetId="18" hidden="1">#REF!</definedName>
    <definedName name="lbla27" localSheetId="7" hidden="1">#REF!</definedName>
    <definedName name="lbla27" localSheetId="23" hidden="1">#REF!</definedName>
    <definedName name="lbla27" hidden="1">#REF!</definedName>
    <definedName name="lbla28" localSheetId="12" hidden="1">#REF!</definedName>
    <definedName name="lbla28" localSheetId="30" hidden="1">#REF!</definedName>
    <definedName name="lbla28" localSheetId="28" hidden="1">#REF!</definedName>
    <definedName name="lbla28" localSheetId="27" hidden="1">#REF!</definedName>
    <definedName name="lbla28" localSheetId="18" hidden="1">#REF!</definedName>
    <definedName name="lbla28" localSheetId="7" hidden="1">#REF!</definedName>
    <definedName name="lbla28" localSheetId="23" hidden="1">#REF!</definedName>
    <definedName name="lbla28" hidden="1">#REF!</definedName>
    <definedName name="lçadple4r" localSheetId="3" hidden="1">{#N/A,#N/A,FALSE,"Plan1";#N/A,#N/A,FALSE,"Plan2"}</definedName>
    <definedName name="lçadple4r" localSheetId="33" hidden="1">{#N/A,#N/A,FALSE,"Plan1";#N/A,#N/A,FALSE,"Plan2"}</definedName>
    <definedName name="lçadple4r" localSheetId="35" hidden="1">{#N/A,#N/A,FALSE,"Plan1";#N/A,#N/A,FALSE,"Plan2"}</definedName>
    <definedName name="lçadple4r" hidden="1">{#N/A,#N/A,FALSE,"Plan1";#N/A,#N/A,FALSE,"Plan2"}</definedName>
    <definedName name="lçasser" localSheetId="3" hidden="1">{#N/A,#N/A,FALSE,"Plan1";#N/A,#N/A,FALSE,"Plan2"}</definedName>
    <definedName name="lçasser" localSheetId="33" hidden="1">{#N/A,#N/A,FALSE,"Plan1";#N/A,#N/A,FALSE,"Plan2"}</definedName>
    <definedName name="lçasser" localSheetId="35" hidden="1">{#N/A,#N/A,FALSE,"Plan1";#N/A,#N/A,FALSE,"Plan2"}</definedName>
    <definedName name="lçasser" hidden="1">{#N/A,#N/A,FALSE,"Plan1";#N/A,#N/A,FALSE,"Plan2"}</definedName>
    <definedName name="lcdgjtklfrn" localSheetId="3" hidden="1">{#N/A,#N/A,FALSE,"Plan1";#N/A,#N/A,FALSE,"Plan2"}</definedName>
    <definedName name="lcdgjtklfrn" localSheetId="33" hidden="1">{#N/A,#N/A,FALSE,"Plan1";#N/A,#N/A,FALSE,"Plan2"}</definedName>
    <definedName name="lcdgjtklfrn" localSheetId="35" hidden="1">{#N/A,#N/A,FALSE,"Plan1";#N/A,#N/A,FALSE,"Plan2"}</definedName>
    <definedName name="lcdgjtklfrn" hidden="1">{#N/A,#N/A,FALSE,"Plan1";#N/A,#N/A,FALSE,"Plan2"}</definedName>
    <definedName name="lçfklsdkçaer" localSheetId="3" hidden="1">{#N/A,#N/A,FALSE,"Plan1";#N/A,#N/A,FALSE,"Plan2"}</definedName>
    <definedName name="lçfklsdkçaer" localSheetId="33" hidden="1">{#N/A,#N/A,FALSE,"Plan1";#N/A,#N/A,FALSE,"Plan2"}</definedName>
    <definedName name="lçfklsdkçaer" localSheetId="35" hidden="1">{#N/A,#N/A,FALSE,"Plan1";#N/A,#N/A,FALSE,"Plan2"}</definedName>
    <definedName name="lçfklsdkçaer" hidden="1">{#N/A,#N/A,FALSE,"Plan1";#N/A,#N/A,FALSE,"Plan2"}</definedName>
    <definedName name="lçjkgf" localSheetId="3" hidden="1">{#N/A,#N/A,FALSE,"Plan1";#N/A,#N/A,FALSE,"Plan2"}</definedName>
    <definedName name="lçjkgf" localSheetId="33" hidden="1">{#N/A,#N/A,FALSE,"Plan1";#N/A,#N/A,FALSE,"Plan2"}</definedName>
    <definedName name="lçjkgf" localSheetId="35" hidden="1">{#N/A,#N/A,FALSE,"Plan1";#N/A,#N/A,FALSE,"Plan2"}</definedName>
    <definedName name="lçjkgf" hidden="1">{#N/A,#N/A,FALSE,"Plan1";#N/A,#N/A,FALSE,"Plan2"}</definedName>
    <definedName name="LÇJSLDFJ" localSheetId="3" hidden="1">{#N/A,#N/A,FALSE,"Plan1";#N/A,#N/A,FALSE,"Plan2"}</definedName>
    <definedName name="LÇJSLDFJ" localSheetId="33" hidden="1">{#N/A,#N/A,FALSE,"Plan1";#N/A,#N/A,FALSE,"Plan2"}</definedName>
    <definedName name="LÇJSLDFJ" localSheetId="35" hidden="1">{#N/A,#N/A,FALSE,"Plan1";#N/A,#N/A,FALSE,"Plan2"}</definedName>
    <definedName name="LÇJSLDFJ" hidden="1">{#N/A,#N/A,FALSE,"Plan1";#N/A,#N/A,FALSE,"Plan2"}</definedName>
    <definedName name="LÇKÇSDRLK" localSheetId="3" hidden="1">{#N/A,#N/A,FALSE,"Plan1";#N/A,#N/A,FALSE,"Plan2"}</definedName>
    <definedName name="LÇKÇSDRLK" localSheetId="33" hidden="1">{#N/A,#N/A,FALSE,"Plan1";#N/A,#N/A,FALSE,"Plan2"}</definedName>
    <definedName name="LÇKÇSDRLK" localSheetId="35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3" hidden="1">{#N/A,#N/A,FALSE,"Plan1";#N/A,#N/A,FALSE,"Plan2"}</definedName>
    <definedName name="lçlfklçdglfdgt" localSheetId="33" hidden="1">{#N/A,#N/A,FALSE,"Plan1";#N/A,#N/A,FALSE,"Plan2"}</definedName>
    <definedName name="lçlfklçdglfdgt" localSheetId="35" hidden="1">{#N/A,#N/A,FALSE,"Plan1";#N/A,#N/A,FALSE,"Plan2"}</definedName>
    <definedName name="lçlfklçdglfdgt" hidden="1">{#N/A,#N/A,FALSE,"Plan1";#N/A,#N/A,FALSE,"Plan2"}</definedName>
    <definedName name="lçslrr4r" localSheetId="3" hidden="1">{#N/A,#N/A,FALSE,"Plan1";#N/A,#N/A,FALSE,"Plan2"}</definedName>
    <definedName name="lçslrr4r" localSheetId="33" hidden="1">{#N/A,#N/A,FALSE,"Plan1";#N/A,#N/A,FALSE,"Plan2"}</definedName>
    <definedName name="lçslrr4r" localSheetId="35" hidden="1">{#N/A,#N/A,FALSE,"Plan1";#N/A,#N/A,FALSE,"Plan2"}</definedName>
    <definedName name="lçslrr4r" hidden="1">{#N/A,#N/A,FALSE,"Plan1";#N/A,#N/A,FALSE,"Plan2"}</definedName>
    <definedName name="ldfjgry" localSheetId="3" hidden="1">{#N/A,#N/A,FALSE,"Plan1";#N/A,#N/A,FALSE,"Plan2"}</definedName>
    <definedName name="ldfjgry" localSheetId="33" hidden="1">{#N/A,#N/A,FALSE,"Plan1";#N/A,#N/A,FALSE,"Plan2"}</definedName>
    <definedName name="ldfjgry" localSheetId="35" hidden="1">{#N/A,#N/A,FALSE,"Plan1";#N/A,#N/A,FALSE,"Plan2"}</definedName>
    <definedName name="ldfjgry" hidden="1">{#N/A,#N/A,FALSE,"Plan1";#N/A,#N/A,FALSE,"Plan2"}</definedName>
    <definedName name="ldfjgtilrf" localSheetId="3" hidden="1">{#N/A,#N/A,FALSE,"Plan1";#N/A,#N/A,FALSE,"Plan2"}</definedName>
    <definedName name="ldfjgtilrf" localSheetId="33" hidden="1">{#N/A,#N/A,FALSE,"Plan1";#N/A,#N/A,FALSE,"Plan2"}</definedName>
    <definedName name="ldfjgtilrf" localSheetId="35" hidden="1">{#N/A,#N/A,FALSE,"Plan1";#N/A,#N/A,FALSE,"Plan2"}</definedName>
    <definedName name="ldfjgtilrf" hidden="1">{#N/A,#N/A,FALSE,"Plan1";#N/A,#N/A,FALSE,"Plan2"}</definedName>
    <definedName name="ldk" localSheetId="3" hidden="1">{#N/A,#N/A,FALSE,"Plan1";#N/A,#N/A,FALSE,"Plan2"}</definedName>
    <definedName name="ldk" localSheetId="33" hidden="1">{#N/A,#N/A,FALSE,"Plan1";#N/A,#N/A,FALSE,"Plan2"}</definedName>
    <definedName name="ldk" localSheetId="35" hidden="1">{#N/A,#N/A,FALSE,"Plan1";#N/A,#N/A,FALSE,"Plan2"}</definedName>
    <definedName name="ldk" hidden="1">{#N/A,#N/A,FALSE,"Plan1";#N/A,#N/A,FALSE,"Plan2"}</definedName>
    <definedName name="ldkgkdfjgkh" localSheetId="3" hidden="1">{#N/A,#N/A,FALSE,"Plan1";#N/A,#N/A,FALSE,"Plan2"}</definedName>
    <definedName name="ldkgkdfjgkh" localSheetId="33" hidden="1">{#N/A,#N/A,FALSE,"Plan1";#N/A,#N/A,FALSE,"Plan2"}</definedName>
    <definedName name="ldkgkdfjgkh" localSheetId="35" hidden="1">{#N/A,#N/A,FALSE,"Plan1";#N/A,#N/A,FALSE,"Plan2"}</definedName>
    <definedName name="ldkgkdfjgkh" hidden="1">{#N/A,#N/A,FALSE,"Plan1";#N/A,#N/A,FALSE,"Plan2"}</definedName>
    <definedName name="LDTJGR" localSheetId="3" hidden="1">{#N/A,#N/A,FALSE,"Plan1";#N/A,#N/A,FALSE,"Plan2"}</definedName>
    <definedName name="LDTJGR" localSheetId="33" hidden="1">{#N/A,#N/A,FALSE,"Plan1";#N/A,#N/A,FALSE,"Plan2"}</definedName>
    <definedName name="LDTJGR" localSheetId="35" hidden="1">{#N/A,#N/A,FALSE,"Plan1";#N/A,#N/A,FALSE,"Plan2"}</definedName>
    <definedName name="LDTJGR" hidden="1">{#N/A,#N/A,FALSE,"Plan1";#N/A,#N/A,FALSE,"Plan2"}</definedName>
    <definedName name="Leg" localSheetId="12" hidden="1">#REF!</definedName>
    <definedName name="Leg" localSheetId="30" hidden="1">#REF!</definedName>
    <definedName name="Leg" localSheetId="28" hidden="1">#REF!</definedName>
    <definedName name="Leg" localSheetId="27" hidden="1">#REF!</definedName>
    <definedName name="Leg" localSheetId="18" hidden="1">#REF!</definedName>
    <definedName name="Leg" localSheetId="7" hidden="1">#REF!</definedName>
    <definedName name="Leg" localSheetId="23" hidden="1">#REF!</definedName>
    <definedName name="Leg" hidden="1">#REF!</definedName>
    <definedName name="legr_cdi" localSheetId="12">#REF!</definedName>
    <definedName name="legr_cdi" localSheetId="30">#REF!</definedName>
    <definedName name="legr_cdi" localSheetId="28">#REF!</definedName>
    <definedName name="legr_cdi" localSheetId="27">#REF!</definedName>
    <definedName name="legr_cdi" localSheetId="18">#REF!</definedName>
    <definedName name="legr_cdi" localSheetId="7">#REF!</definedName>
    <definedName name="legr_cdi" localSheetId="23">#REF!</definedName>
    <definedName name="legr_cdi">#REF!</definedName>
    <definedName name="legr_hist" localSheetId="12">#REF!</definedName>
    <definedName name="legr_hist" localSheetId="30">#REF!</definedName>
    <definedName name="legr_hist" localSheetId="28">#REF!</definedName>
    <definedName name="legr_hist" localSheetId="27">#REF!</definedName>
    <definedName name="legr_hist" localSheetId="18">#REF!</definedName>
    <definedName name="legr_hist" localSheetId="7">#REF!</definedName>
    <definedName name="legr_hist" localSheetId="23">#REF!</definedName>
    <definedName name="legr_hist">#REF!</definedName>
    <definedName name="legr_uss" localSheetId="12">#REF!</definedName>
    <definedName name="legr_uss" localSheetId="30">#REF!</definedName>
    <definedName name="legr_uss" localSheetId="28">#REF!</definedName>
    <definedName name="legr_uss" localSheetId="27">#REF!</definedName>
    <definedName name="legr_uss" localSheetId="18">#REF!</definedName>
    <definedName name="legr_uss" localSheetId="7">#REF!</definedName>
    <definedName name="legr_uss" localSheetId="23">#REF!</definedName>
    <definedName name="legr_uss">#REF!</definedName>
    <definedName name="LEKG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 localSheetId="12">#REF!</definedName>
    <definedName name="LEVANTAMENTO" localSheetId="30">#REF!</definedName>
    <definedName name="LEVANTAMENTO" localSheetId="28">#REF!</definedName>
    <definedName name="LEVANTAMENTO" localSheetId="27">#REF!</definedName>
    <definedName name="LEVANTAMENTO" localSheetId="18">#REF!</definedName>
    <definedName name="LEVANTAMENTO" localSheetId="7">#REF!</definedName>
    <definedName name="LEVANTAMENTO" localSheetId="23">#REF!</definedName>
    <definedName name="LEVANTAMENTO">#REF!</definedName>
    <definedName name="lfjdjrt" localSheetId="3" hidden="1">{#N/A,#N/A,FALSE,"Plan1";#N/A,#N/A,FALSE,"Plan2"}</definedName>
    <definedName name="lfjdjrt" localSheetId="33" hidden="1">{#N/A,#N/A,FALSE,"Plan1";#N/A,#N/A,FALSE,"Plan2"}</definedName>
    <definedName name="lfjdjrt" localSheetId="35" hidden="1">{#N/A,#N/A,FALSE,"Plan1";#N/A,#N/A,FALSE,"Plan2"}</definedName>
    <definedName name="lfjdjrt" hidden="1">{#N/A,#N/A,FALSE,"Plan1";#N/A,#N/A,FALSE,"Plan2"}</definedName>
    <definedName name="LI" localSheetId="12">#REF!</definedName>
    <definedName name="LI" localSheetId="30">#REF!</definedName>
    <definedName name="LI" localSheetId="28">#REF!</definedName>
    <definedName name="LI" localSheetId="27">#REF!</definedName>
    <definedName name="LI" localSheetId="21">#REF!</definedName>
    <definedName name="LI" localSheetId="18">#REF!</definedName>
    <definedName name="LI" localSheetId="7">#REF!</definedName>
    <definedName name="LI" localSheetId="23">#REF!</definedName>
    <definedName name="LI">#REF!</definedName>
    <definedName name="LIDER_OPER" localSheetId="12">#REF!</definedName>
    <definedName name="LIDER_OPER" localSheetId="30">#REF!</definedName>
    <definedName name="LIDER_OPER" localSheetId="28">#REF!</definedName>
    <definedName name="LIDER_OPER" localSheetId="27">#REF!</definedName>
    <definedName name="LIDER_OPER" localSheetId="18">#REF!</definedName>
    <definedName name="LIDER_OPER" localSheetId="7">#REF!</definedName>
    <definedName name="LIDER_OPER" localSheetId="23">#REF!</definedName>
    <definedName name="LIDER_OPER">#REF!</definedName>
    <definedName name="lidfjgklruf" localSheetId="3" hidden="1">{#N/A,#N/A,FALSE,"Plan1";#N/A,#N/A,FALSE,"Plan2"}</definedName>
    <definedName name="lidfjgklruf" localSheetId="33" hidden="1">{#N/A,#N/A,FALSE,"Plan1";#N/A,#N/A,FALSE,"Plan2"}</definedName>
    <definedName name="lidfjgklruf" localSheetId="35" hidden="1">{#N/A,#N/A,FALSE,"Plan1";#N/A,#N/A,FALSE,"Plan2"}</definedName>
    <definedName name="lidfjgklruf" hidden="1">{#N/A,#N/A,FALSE,"Plan1";#N/A,#N/A,FALSE,"Plan2"}</definedName>
    <definedName name="LII" localSheetId="12">#REF!</definedName>
    <definedName name="LII" localSheetId="30">#REF!</definedName>
    <definedName name="LII" localSheetId="28">#REF!</definedName>
    <definedName name="LII" localSheetId="27">#REF!</definedName>
    <definedName name="LII" localSheetId="21">#REF!</definedName>
    <definedName name="LII" localSheetId="18">#REF!</definedName>
    <definedName name="LII" localSheetId="7">#REF!</definedName>
    <definedName name="LII" localSheetId="23">#REF!</definedName>
    <definedName name="LII">#REF!</definedName>
    <definedName name="LIII" localSheetId="12">#REF!</definedName>
    <definedName name="LIII" localSheetId="30">#REF!</definedName>
    <definedName name="LIII" localSheetId="28">#REF!</definedName>
    <definedName name="LIII" localSheetId="27">#REF!</definedName>
    <definedName name="LIII" localSheetId="21">#REF!</definedName>
    <definedName name="LIII" localSheetId="18">#REF!</definedName>
    <definedName name="LIII" localSheetId="7">#REF!</definedName>
    <definedName name="LIII" localSheetId="23">#REF!</definedName>
    <definedName name="LIII">#REF!</definedName>
    <definedName name="LIMBO" localSheetId="12">#REF!</definedName>
    <definedName name="LIMBO" localSheetId="30">#REF!</definedName>
    <definedName name="LIMBO" localSheetId="28">#REF!</definedName>
    <definedName name="LIMBO" localSheetId="27">#REF!</definedName>
    <definedName name="LIMBO" localSheetId="18">#REF!</definedName>
    <definedName name="LIMBO" localSheetId="7">#REF!</definedName>
    <definedName name="LIMBO" localSheetId="23">#REF!</definedName>
    <definedName name="LIMBO">#REF!</definedName>
    <definedName name="limcount" hidden="1">3</definedName>
    <definedName name="LIN" localSheetId="12">#REF!</definedName>
    <definedName name="LIN" localSheetId="30">#REF!</definedName>
    <definedName name="LIN" localSheetId="28">#REF!</definedName>
    <definedName name="LIN" localSheetId="27">#REF!</definedName>
    <definedName name="LIN" localSheetId="18">#REF!</definedName>
    <definedName name="LIN" localSheetId="7">#REF!</definedName>
    <definedName name="LIN" localSheetId="23">#REF!</definedName>
    <definedName name="LIN">#REF!</definedName>
    <definedName name="list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 localSheetId="12">#REF!</definedName>
    <definedName name="LISTA" localSheetId="30">#REF!</definedName>
    <definedName name="LISTA" localSheetId="28">#REF!</definedName>
    <definedName name="LISTA" localSheetId="27">#REF!</definedName>
    <definedName name="LISTA" localSheetId="18">#REF!</definedName>
    <definedName name="LISTA" localSheetId="7">#REF!</definedName>
    <definedName name="LISTA" localSheetId="23">#REF!</definedName>
    <definedName name="LISTA">#REF!</definedName>
    <definedName name="LISTA_CONTAS" localSheetId="12">#REF!</definedName>
    <definedName name="LISTA_CONTAS" localSheetId="30">#REF!</definedName>
    <definedName name="LISTA_CONTAS" localSheetId="28">#REF!</definedName>
    <definedName name="LISTA_CONTAS" localSheetId="27">#REF!</definedName>
    <definedName name="LISTA_CONTAS" localSheetId="18">#REF!</definedName>
    <definedName name="LISTA_CONTAS" localSheetId="7">#REF!</definedName>
    <definedName name="LISTA_CONTAS" localSheetId="23">#REF!</definedName>
    <definedName name="LISTA_CONTAS">#REF!</definedName>
    <definedName name="lista_empresa" localSheetId="12">OFFSET(INDEX(#REF!,MATCH(#REF!,#REF!,0)),1,0,COUNTA(#REF!)-1)</definedName>
    <definedName name="lista_empresa" localSheetId="30">OFFSET(INDEX(#REF!,MATCH(#REF!,#REF!,0)),1,0,COUNTA(#REF!)-1)</definedName>
    <definedName name="lista_empresa" localSheetId="28">OFFSET(INDEX(#REF!,MATCH(#REF!,#REF!,0)),1,0,COUNTA(#REF!)-1)</definedName>
    <definedName name="lista_empresa" localSheetId="27">OFFSET(INDEX(#REF!,MATCH(#REF!,#REF!,0)),1,0,COUNTA(#REF!)-1)</definedName>
    <definedName name="lista_empresa" localSheetId="18">OFFSET(INDEX(#REF!,MATCH(#REF!,#REF!,0)),1,0,COUNTA(#REF!)-1)</definedName>
    <definedName name="lista_empresa" localSheetId="7">OFFSET(INDEX(#REF!,MATCH(#REF!,#REF!,0)),1,0,COUNTA(#REF!)-1)</definedName>
    <definedName name="lista_empresa" localSheetId="23">OFFSET(INDEX(#REF!,MATCH(#REF!,#REF!,0)),1,0,COUNTA(#REF!)-1)</definedName>
    <definedName name="lista_empresa">OFFSET(INDEX(#REF!,MATCH(#REF!,#REF!,0)),1,0,COUNTA(#REF!)-1)</definedName>
    <definedName name="LISTA_FORNECEDORES" localSheetId="12">#REF!</definedName>
    <definedName name="LISTA_FORNECEDORES" localSheetId="30">#REF!</definedName>
    <definedName name="LISTA_FORNECEDORES" localSheetId="28">#REF!</definedName>
    <definedName name="LISTA_FORNECEDORES" localSheetId="27">#REF!</definedName>
    <definedName name="LISTA_FORNECEDORES" localSheetId="18">#REF!</definedName>
    <definedName name="LISTA_FORNECEDORES" localSheetId="7">#REF!</definedName>
    <definedName name="LISTA_FORNECEDORES" localSheetId="23">#REF!</definedName>
    <definedName name="LISTA_FORNECEDORES">#REF!</definedName>
    <definedName name="LISTSEL" localSheetId="12">#REF!</definedName>
    <definedName name="LISTSEL" localSheetId="30">#REF!</definedName>
    <definedName name="LISTSEL" localSheetId="28">#REF!</definedName>
    <definedName name="LISTSEL" localSheetId="27">#REF!</definedName>
    <definedName name="LISTSEL" localSheetId="18">#REF!</definedName>
    <definedName name="LISTSEL" localSheetId="7">#REF!</definedName>
    <definedName name="LISTSEL" localSheetId="23">#REF!</definedName>
    <definedName name="LISTSEL">#REF!</definedName>
    <definedName name="listt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 localSheetId="12">#REF!</definedName>
    <definedName name="LIV" localSheetId="30">#REF!</definedName>
    <definedName name="LIV" localSheetId="28">#REF!</definedName>
    <definedName name="LIV" localSheetId="27">#REF!</definedName>
    <definedName name="LIV" localSheetId="21">#REF!</definedName>
    <definedName name="LIV" localSheetId="18">#REF!</definedName>
    <definedName name="LIV" localSheetId="7">#REF!</definedName>
    <definedName name="LIV" localSheetId="23">#REF!</definedName>
    <definedName name="LIV">#REF!</definedName>
    <definedName name="LIX" localSheetId="12">#REF!</definedName>
    <definedName name="LIX" localSheetId="30">#REF!</definedName>
    <definedName name="LIX" localSheetId="28">#REF!</definedName>
    <definedName name="LIX" localSheetId="27">#REF!</definedName>
    <definedName name="LIX" localSheetId="21">#REF!</definedName>
    <definedName name="LIX" localSheetId="18">#REF!</definedName>
    <definedName name="LIX" localSheetId="7">#REF!</definedName>
    <definedName name="LIX" localSheetId="23">#REF!</definedName>
    <definedName name="LIX">#REF!</definedName>
    <definedName name="ljdfkgyt" localSheetId="3" hidden="1">{#N/A,#N/A,FALSE,"Plan1";#N/A,#N/A,FALSE,"Plan2"}</definedName>
    <definedName name="ljdfkgyt" localSheetId="33" hidden="1">{#N/A,#N/A,FALSE,"Plan1";#N/A,#N/A,FALSE,"Plan2"}</definedName>
    <definedName name="ljdfkgyt" localSheetId="35" hidden="1">{#N/A,#N/A,FALSE,"Plan1";#N/A,#N/A,FALSE,"Plan2"}</definedName>
    <definedName name="ljdfkgyt" hidden="1">{#N/A,#N/A,FALSE,"Plan1";#N/A,#N/A,FALSE,"Plan2"}</definedName>
    <definedName name="LJDFLJRL" localSheetId="3" hidden="1">{#N/A,#N/A,FALSE,"Plan1";#N/A,#N/A,FALSE,"Plan2"}</definedName>
    <definedName name="LJDFLJRL" localSheetId="33" hidden="1">{#N/A,#N/A,FALSE,"Plan1";#N/A,#N/A,FALSE,"Plan2"}</definedName>
    <definedName name="LJDFLJRL" localSheetId="35" hidden="1">{#N/A,#N/A,FALSE,"Plan1";#N/A,#N/A,FALSE,"Plan2"}</definedName>
    <definedName name="LJDFLJRL" hidden="1">{#N/A,#N/A,FALSE,"Plan1";#N/A,#N/A,FALSE,"Plan2"}</definedName>
    <definedName name="ljsdfrd" localSheetId="3" hidden="1">{#N/A,#N/A,FALSE,"Plan1";#N/A,#N/A,FALSE,"Plan2"}</definedName>
    <definedName name="ljsdfrd" localSheetId="33" hidden="1">{#N/A,#N/A,FALSE,"Plan1";#N/A,#N/A,FALSE,"Plan2"}</definedName>
    <definedName name="ljsdfrd" localSheetId="35" hidden="1">{#N/A,#N/A,FALSE,"Plan1";#N/A,#N/A,FALSE,"Plan2"}</definedName>
    <definedName name="ljsdfrd" hidden="1">{#N/A,#N/A,FALSE,"Plan1";#N/A,#N/A,FALSE,"Plan2"}</definedName>
    <definedName name="LJSFLDJDLKFJG" localSheetId="3" hidden="1">#REF!</definedName>
    <definedName name="LJSFLDJDLKFJG" localSheetId="12" hidden="1">#REF!</definedName>
    <definedName name="LJSFLDJDLKFJG" localSheetId="30" hidden="1">#REF!</definedName>
    <definedName name="LJSFLDJDLKFJG" localSheetId="28" hidden="1">#REF!</definedName>
    <definedName name="LJSFLDJDLKFJG" localSheetId="27" hidden="1">#REF!</definedName>
    <definedName name="LJSFLDJDLKFJG" localSheetId="18" hidden="1">#REF!</definedName>
    <definedName name="LJSFLDJDLKFJG" localSheetId="7" hidden="1">#REF!</definedName>
    <definedName name="LJSFLDJDLKFJG" localSheetId="23" hidden="1">#REF!</definedName>
    <definedName name="LJSFLDJDLKFJG" hidden="1">#REF!</definedName>
    <definedName name="LK" localSheetId="33" hidden="1">{#N/A,#N/A,TRUE,"Quinzena 01 à 15-04-98 "}</definedName>
    <definedName name="LK" localSheetId="35" hidden="1">{#N/A,#N/A,TRUE,"Quinzena 01 à 15-04-98 "}</definedName>
    <definedName name="LK" hidden="1">{#N/A,#N/A,TRUE,"Quinzena 01 à 15-04-98 "}</definedName>
    <definedName name="lkasdkeo" localSheetId="3" hidden="1">{#N/A,#N/A,FALSE,"Plan1";#N/A,#N/A,FALSE,"Plan2"}</definedName>
    <definedName name="lkasdkeo" localSheetId="33" hidden="1">{#N/A,#N/A,FALSE,"Plan1";#N/A,#N/A,FALSE,"Plan2"}</definedName>
    <definedName name="lkasdkeo" localSheetId="35" hidden="1">{#N/A,#N/A,FALSE,"Plan1";#N/A,#N/A,FALSE,"Plan2"}</definedName>
    <definedName name="lkasdkeo" hidden="1">{#N/A,#N/A,FALSE,"Plan1";#N/A,#N/A,FALSE,"Plan2"}</definedName>
    <definedName name="lkdeas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3" hidden="1">{#N/A,#N/A,FALSE,"Plan1";#N/A,#N/A,FALSE,"Plan2"}</definedName>
    <definedName name="lkdzxfsdrf" localSheetId="33" hidden="1">{#N/A,#N/A,FALSE,"Plan1";#N/A,#N/A,FALSE,"Plan2"}</definedName>
    <definedName name="lkdzxfsdrf" localSheetId="35" hidden="1">{#N/A,#N/A,FALSE,"Plan1";#N/A,#N/A,FALSE,"Plan2"}</definedName>
    <definedName name="lkdzxfsdrf" hidden="1">{#N/A,#N/A,FALSE,"Plan1";#N/A,#N/A,FALSE,"Plan2"}</definedName>
    <definedName name="lkfdkçtktr" localSheetId="3" hidden="1">{#N/A,#N/A,FALSE,"Plan1";#N/A,#N/A,FALSE,"Plan2"}</definedName>
    <definedName name="lkfdkçtktr" localSheetId="33" hidden="1">{#N/A,#N/A,FALSE,"Plan1";#N/A,#N/A,FALSE,"Plan2"}</definedName>
    <definedName name="lkfdkçtktr" localSheetId="35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localSheetId="3" hidden="1">{#N/A,#N/A,FALSE,"Plan1";#N/A,#N/A,FALSE,"Plan2"}</definedName>
    <definedName name="LKSSDKÇ\E" localSheetId="33" hidden="1">{#N/A,#N/A,FALSE,"Plan1";#N/A,#N/A,FALSE,"Plan2"}</definedName>
    <definedName name="LKSSDKÇ\E" localSheetId="35" hidden="1">{#N/A,#N/A,FALSE,"Plan1";#N/A,#N/A,FALSE,"Plan2"}</definedName>
    <definedName name="LKSSDKÇ\E" hidden="1">{#N/A,#N/A,FALSE,"Plan1";#N/A,#N/A,FALSE,"Plan2"}</definedName>
    <definedName name="lkt" localSheetId="3" hidden="1">{#N/A,#N/A,FALSE,"Plan1";#N/A,#N/A,FALSE,"Plan2"}</definedName>
    <definedName name="lkt" localSheetId="33" hidden="1">{#N/A,#N/A,FALSE,"Plan1";#N/A,#N/A,FALSE,"Plan2"}</definedName>
    <definedName name="lkt" localSheetId="35" hidden="1">{#N/A,#N/A,FALSE,"Plan1";#N/A,#N/A,FALSE,"Plan2"}</definedName>
    <definedName name="lkt" hidden="1">{#N/A,#N/A,FALSE,"Plan1";#N/A,#N/A,FALSE,"Plan2"}</definedName>
    <definedName name="lktlyklt" localSheetId="3" hidden="1">{#N/A,#N/A,FALSE,"Plan1";#N/A,#N/A,FALSE,"Plan2"}</definedName>
    <definedName name="lktlyklt" localSheetId="33" hidden="1">{#N/A,#N/A,FALSE,"Plan1";#N/A,#N/A,FALSE,"Plan2"}</definedName>
    <definedName name="lktlyklt" localSheetId="35" hidden="1">{#N/A,#N/A,FALSE,"Plan1";#N/A,#N/A,FALSE,"Plan2"}</definedName>
    <definedName name="lktlyklt" hidden="1">{#N/A,#N/A,FALSE,"Plan1";#N/A,#N/A,FALSE,"Plan2"}</definedName>
    <definedName name="LKTTYT" localSheetId="3" hidden="1">{#N/A,#N/A,FALSE,"Plan1";#N/A,#N/A,FALSE,"Plan2"}</definedName>
    <definedName name="LKTTYT" localSheetId="33" hidden="1">{#N/A,#N/A,FALSE,"Plan1";#N/A,#N/A,FALSE,"Plan2"}</definedName>
    <definedName name="LKTTYT" localSheetId="35" hidden="1">{#N/A,#N/A,FALSE,"Plan1";#N/A,#N/A,FALSE,"Plan2"}</definedName>
    <definedName name="LKTTYT" hidden="1">{#N/A,#N/A,FALSE,"Plan1";#N/A,#N/A,FALSE,"Plan2"}</definedName>
    <definedName name="llgg" localSheetId="3" hidden="1">{#N/A,#N/A,FALSE,"Plan1";#N/A,#N/A,FALSE,"Plan2"}</definedName>
    <definedName name="llgg" localSheetId="33" hidden="1">{#N/A,#N/A,FALSE,"Plan1";#N/A,#N/A,FALSE,"Plan2"}</definedName>
    <definedName name="llgg" localSheetId="35" hidden="1">{#N/A,#N/A,FALSE,"Plan1";#N/A,#N/A,FALSE,"Plan2"}</definedName>
    <definedName name="llgg" hidden="1">{#N/A,#N/A,FALSE,"Plan1";#N/A,#N/A,FALSE,"Plan2"}</definedName>
    <definedName name="LLL" localSheetId="3" hidden="1">{#N/A,#N/A,FALSE,"Plan1";#N/A,#N/A,FALSE,"Plan2"}</definedName>
    <definedName name="LLL" localSheetId="33" hidden="1">{#N/A,#N/A,FALSE,"Plan1";#N/A,#N/A,FALSE,"Plan2"}</definedName>
    <definedName name="LLL" localSheetId="35" hidden="1">{#N/A,#N/A,FALSE,"Plan1";#N/A,#N/A,FALSE,"Plan2"}</definedName>
    <definedName name="LLL" hidden="1">{#N/A,#N/A,FALSE,"Plan1";#N/A,#N/A,FALSE,"Plan2"}</definedName>
    <definedName name="LM_AR" localSheetId="33" hidden="1">{#N/A,#N/A,FALSE,"F-01"}</definedName>
    <definedName name="LM_AR" localSheetId="35" hidden="1">{#N/A,#N/A,FALSE,"F-01"}</definedName>
    <definedName name="LM_AR" hidden="1">{#N/A,#N/A,FALSE,"F-01"}</definedName>
    <definedName name="LM_AT" localSheetId="33" hidden="1">{#N/A,#N/A,FALSE,"F-01"}</definedName>
    <definedName name="LM_AT" localSheetId="35" hidden="1">{#N/A,#N/A,FALSE,"F-01"}</definedName>
    <definedName name="LM_AT" hidden="1">{#N/A,#N/A,FALSE,"F-01"}</definedName>
    <definedName name="LM_INC" localSheetId="33" hidden="1">{#N/A,#N/A,FALSE,"F-01"}</definedName>
    <definedName name="LM_INC" localSheetId="35" hidden="1">{#N/A,#N/A,FALSE,"F-01"}</definedName>
    <definedName name="LM_INC" hidden="1">{#N/A,#N/A,FALSE,"F-01"}</definedName>
    <definedName name="LMPAS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 localSheetId="12">#REF!</definedName>
    <definedName name="LOCALMENU" localSheetId="30">#REF!</definedName>
    <definedName name="LOCALMENU" localSheetId="28">#REF!</definedName>
    <definedName name="LOCALMENU" localSheetId="27">#REF!</definedName>
    <definedName name="LOCALMENU" localSheetId="21">#REF!</definedName>
    <definedName name="LOCALMENU" localSheetId="18">#REF!</definedName>
    <definedName name="LOCALMENU" localSheetId="7">#REF!</definedName>
    <definedName name="LOCALMENU" localSheetId="23">#REF!</definedName>
    <definedName name="LOCALMENU">#REF!</definedName>
    <definedName name="LOCALOBRA" localSheetId="12">#REF!</definedName>
    <definedName name="LOCALOBRA" localSheetId="30">#REF!</definedName>
    <definedName name="LOCALOBRA" localSheetId="28">#REF!</definedName>
    <definedName name="LOCALOBRA" localSheetId="27">#REF!</definedName>
    <definedName name="LOCALOBRA" localSheetId="18">#REF!</definedName>
    <definedName name="LOCALOBRA" localSheetId="7">#REF!</definedName>
    <definedName name="LOCALOBRA" localSheetId="23">#REF!</definedName>
    <definedName name="LOCALOBRA">#REF!</definedName>
    <definedName name="LS" localSheetId="3">'[2]M.O.'!#REF!</definedName>
    <definedName name="LS" localSheetId="12">'[2]M.O.'!#REF!</definedName>
    <definedName name="LS" localSheetId="30">'[2]M.O.'!#REF!</definedName>
    <definedName name="LS" localSheetId="28">'[2]M.O.'!#REF!</definedName>
    <definedName name="LS" localSheetId="27">'[2]M.O.'!#REF!</definedName>
    <definedName name="LS" localSheetId="21">#REF!</definedName>
    <definedName name="LS" localSheetId="18">'[2]M.O.'!#REF!</definedName>
    <definedName name="LS" localSheetId="7">'[2]M.O.'!#REF!</definedName>
    <definedName name="LS" localSheetId="23">'[2]M.O.'!#REF!</definedName>
    <definedName name="LS">'[2]M.O.'!#REF!</definedName>
    <definedName name="LSDFKLDKFTR" localSheetId="3" hidden="1">{#N/A,#N/A,FALSE,"Plan1";#N/A,#N/A,FALSE,"Plan2"}</definedName>
    <definedName name="LSDFKLDKFTR" localSheetId="33" hidden="1">{#N/A,#N/A,FALSE,"Plan1";#N/A,#N/A,FALSE,"Plan2"}</definedName>
    <definedName name="LSDFKLDKFTR" localSheetId="35" hidden="1">{#N/A,#N/A,FALSE,"Plan1";#N/A,#N/A,FALSE,"Plan2"}</definedName>
    <definedName name="LSDFKLDKFTR" hidden="1">{#N/A,#N/A,FALSE,"Plan1";#N/A,#N/A,FALSE,"Plan2"}</definedName>
    <definedName name="lsdjs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3" hidden="1">{#N/A,#N/A,FALSE,"Plan1";#N/A,#N/A,FALSE,"Plan2"}</definedName>
    <definedName name="lsdkljfkg" localSheetId="33" hidden="1">{#N/A,#N/A,FALSE,"Plan1";#N/A,#N/A,FALSE,"Plan2"}</definedName>
    <definedName name="lsdkljfkg" localSheetId="35" hidden="1">{#N/A,#N/A,FALSE,"Plan1";#N/A,#N/A,FALSE,"Plan2"}</definedName>
    <definedName name="lsdkljfkg" hidden="1">{#N/A,#N/A,FALSE,"Plan1";#N/A,#N/A,FALSE,"Plan2"}</definedName>
    <definedName name="lsdsder" localSheetId="3" hidden="1">{#N/A,#N/A,FALSE,"Plan1";#N/A,#N/A,FALSE,"Plan2"}</definedName>
    <definedName name="lsdsder" localSheetId="33" hidden="1">{#N/A,#N/A,FALSE,"Plan1";#N/A,#N/A,FALSE,"Plan2"}</definedName>
    <definedName name="lsdsder" localSheetId="35" hidden="1">{#N/A,#N/A,FALSE,"Plan1";#N/A,#N/A,FALSE,"Plan2"}</definedName>
    <definedName name="lsdsder" hidden="1">{#N/A,#N/A,FALSE,"Plan1";#N/A,#N/A,FALSE,"Plan2"}</definedName>
    <definedName name="ltj6ljyhdjhngças" localSheetId="3" hidden="1">{#N/A,#N/A,FALSE,"Plan1";#N/A,#N/A,FALSE,"Plan2"}</definedName>
    <definedName name="ltj6ljyhdjhngças" localSheetId="33" hidden="1">{#N/A,#N/A,FALSE,"Plan1";#N/A,#N/A,FALSE,"Plan2"}</definedName>
    <definedName name="ltj6ljyhdjhngças" localSheetId="35" hidden="1">{#N/A,#N/A,FALSE,"Plan1";#N/A,#N/A,FALSE,"Plan2"}</definedName>
    <definedName name="ltj6ljyhdjhngças" hidden="1">{#N/A,#N/A,FALSE,"Plan1";#N/A,#N/A,FALSE,"Plan2"}</definedName>
    <definedName name="LUCRO" localSheetId="12">#REF!</definedName>
    <definedName name="LUCRO" localSheetId="30">#REF!</definedName>
    <definedName name="LUCRO" localSheetId="28">#REF!</definedName>
    <definedName name="LUCRO" localSheetId="27">#REF!</definedName>
    <definedName name="LUCRO" localSheetId="18">#REF!</definedName>
    <definedName name="LUCRO" localSheetId="7">#REF!</definedName>
    <definedName name="LUCRO" localSheetId="23">#REF!</definedName>
    <definedName name="LUCRO">#REF!</definedName>
    <definedName name="luis_cdi" localSheetId="12">#REF!</definedName>
    <definedName name="luis_cdi" localSheetId="30">#REF!</definedName>
    <definedName name="luis_cdi" localSheetId="28">#REF!</definedName>
    <definedName name="luis_cdi" localSheetId="27">#REF!</definedName>
    <definedName name="luis_cdi" localSheetId="18">#REF!</definedName>
    <definedName name="luis_cdi" localSheetId="7">#REF!</definedName>
    <definedName name="luis_cdi" localSheetId="23">#REF!</definedName>
    <definedName name="luis_cdi">#REF!</definedName>
    <definedName name="luis_hist" localSheetId="12">#REF!</definedName>
    <definedName name="luis_hist" localSheetId="30">#REF!</definedName>
    <definedName name="luis_hist" localSheetId="28">#REF!</definedName>
    <definedName name="luis_hist" localSheetId="27">#REF!</definedName>
    <definedName name="luis_hist" localSheetId="18">#REF!</definedName>
    <definedName name="luis_hist" localSheetId="7">#REF!</definedName>
    <definedName name="luis_hist" localSheetId="23">#REF!</definedName>
    <definedName name="luis_hist">#REF!</definedName>
    <definedName name="luis_uss" localSheetId="12">#REF!</definedName>
    <definedName name="luis_uss" localSheetId="30">#REF!</definedName>
    <definedName name="luis_uss" localSheetId="28">#REF!</definedName>
    <definedName name="luis_uss" localSheetId="27">#REF!</definedName>
    <definedName name="luis_uss" localSheetId="18">#REF!</definedName>
    <definedName name="luis_uss" localSheetId="7">#REF!</definedName>
    <definedName name="luis_uss" localSheetId="23">#REF!</definedName>
    <definedName name="luis_uss">#REF!</definedName>
    <definedName name="LV" localSheetId="12">#REF!</definedName>
    <definedName name="LV" localSheetId="30">#REF!</definedName>
    <definedName name="LV" localSheetId="28">#REF!</definedName>
    <definedName name="LV" localSheetId="27">#REF!</definedName>
    <definedName name="LV" localSheetId="21">#REF!</definedName>
    <definedName name="LV" localSheetId="18">#REF!</definedName>
    <definedName name="LV" localSheetId="7">#REF!</definedName>
    <definedName name="LV" localSheetId="23">#REF!</definedName>
    <definedName name="LV">#REF!</definedName>
    <definedName name="LVI" localSheetId="12">#REF!</definedName>
    <definedName name="LVI" localSheetId="30">#REF!</definedName>
    <definedName name="LVI" localSheetId="28">#REF!</definedName>
    <definedName name="LVI" localSheetId="27">#REF!</definedName>
    <definedName name="LVI" localSheetId="21">#REF!</definedName>
    <definedName name="LVI" localSheetId="18">#REF!</definedName>
    <definedName name="LVI" localSheetId="7">#REF!</definedName>
    <definedName name="LVI" localSheetId="23">#REF!</definedName>
    <definedName name="LVI">#REF!</definedName>
    <definedName name="LVII" localSheetId="12">#REF!</definedName>
    <definedName name="LVII" localSheetId="30">#REF!</definedName>
    <definedName name="LVII" localSheetId="28">#REF!</definedName>
    <definedName name="LVII" localSheetId="27">#REF!</definedName>
    <definedName name="LVII" localSheetId="21">#REF!</definedName>
    <definedName name="LVII" localSheetId="18">#REF!</definedName>
    <definedName name="LVII" localSheetId="7">#REF!</definedName>
    <definedName name="LVII" localSheetId="23">#REF!</definedName>
    <definedName name="LVII">#REF!</definedName>
    <definedName name="LVIII" localSheetId="12">#REF!</definedName>
    <definedName name="LVIII" localSheetId="30">#REF!</definedName>
    <definedName name="LVIII" localSheetId="28">#REF!</definedName>
    <definedName name="LVIII" localSheetId="27">#REF!</definedName>
    <definedName name="LVIII" localSheetId="21">#REF!</definedName>
    <definedName name="LVIII" localSheetId="18">#REF!</definedName>
    <definedName name="LVIII" localSheetId="7">#REF!</definedName>
    <definedName name="LVIII" localSheetId="23">#REF!</definedName>
    <definedName name="LVIII">#REF!</definedName>
    <definedName name="lwaeddew" localSheetId="12" hidden="1">#REF!</definedName>
    <definedName name="lwaeddew" localSheetId="30" hidden="1">#REF!</definedName>
    <definedName name="lwaeddew" localSheetId="28" hidden="1">#REF!</definedName>
    <definedName name="lwaeddew" localSheetId="27" hidden="1">#REF!</definedName>
    <definedName name="lwaeddew" localSheetId="18" hidden="1">#REF!</definedName>
    <definedName name="lwaeddew" localSheetId="7" hidden="1">#REF!</definedName>
    <definedName name="lwaeddew" localSheetId="23" hidden="1">#REF!</definedName>
    <definedName name="lwaeddew" hidden="1">#REF!</definedName>
    <definedName name="LXX" localSheetId="12">#REF!</definedName>
    <definedName name="LXX" localSheetId="30">#REF!</definedName>
    <definedName name="LXX" localSheetId="28">#REF!</definedName>
    <definedName name="LXX" localSheetId="27">#REF!</definedName>
    <definedName name="LXX" localSheetId="21">#REF!</definedName>
    <definedName name="LXX" localSheetId="18">#REF!</definedName>
    <definedName name="LXX" localSheetId="7">#REF!</definedName>
    <definedName name="LXX" localSheetId="23">#REF!</definedName>
    <definedName name="LXX">#REF!</definedName>
    <definedName name="LXXI" localSheetId="12">#REF!</definedName>
    <definedName name="LXXI" localSheetId="30">#REF!</definedName>
    <definedName name="LXXI" localSheetId="28">#REF!</definedName>
    <definedName name="LXXI" localSheetId="27">#REF!</definedName>
    <definedName name="LXXI" localSheetId="21">#REF!</definedName>
    <definedName name="LXXI" localSheetId="18">#REF!</definedName>
    <definedName name="LXXI" localSheetId="7">#REF!</definedName>
    <definedName name="LXXI" localSheetId="23">#REF!</definedName>
    <definedName name="LXXI">#REF!</definedName>
    <definedName name="LXXII" localSheetId="12">#REF!</definedName>
    <definedName name="LXXII" localSheetId="30">#REF!</definedName>
    <definedName name="LXXII" localSheetId="28">#REF!</definedName>
    <definedName name="LXXII" localSheetId="27">#REF!</definedName>
    <definedName name="LXXII" localSheetId="21">#REF!</definedName>
    <definedName name="LXXII" localSheetId="18">#REF!</definedName>
    <definedName name="LXXII" localSheetId="7">#REF!</definedName>
    <definedName name="LXXII" localSheetId="23">#REF!</definedName>
    <definedName name="LXXII">#REF!</definedName>
    <definedName name="LXXIII" localSheetId="12">#REF!</definedName>
    <definedName name="LXXIII" localSheetId="30">#REF!</definedName>
    <definedName name="LXXIII" localSheetId="28">#REF!</definedName>
    <definedName name="LXXIII" localSheetId="27">#REF!</definedName>
    <definedName name="LXXIII" localSheetId="21">#REF!</definedName>
    <definedName name="LXXIII" localSheetId="18">#REF!</definedName>
    <definedName name="LXXIII" localSheetId="7">#REF!</definedName>
    <definedName name="LXXIII" localSheetId="23">#REF!</definedName>
    <definedName name="LXXIII">#REF!</definedName>
    <definedName name="LXXIV" localSheetId="12">#REF!</definedName>
    <definedName name="LXXIV" localSheetId="30">#REF!</definedName>
    <definedName name="LXXIV" localSheetId="28">#REF!</definedName>
    <definedName name="LXXIV" localSheetId="27">#REF!</definedName>
    <definedName name="LXXIV" localSheetId="21">#REF!</definedName>
    <definedName name="LXXIV" localSheetId="18">#REF!</definedName>
    <definedName name="LXXIV" localSheetId="7">#REF!</definedName>
    <definedName name="LXXIV" localSheetId="23">#REF!</definedName>
    <definedName name="LXXIV">#REF!</definedName>
    <definedName name="LXXIX" localSheetId="12">#REF!</definedName>
    <definedName name="LXXIX" localSheetId="30">#REF!</definedName>
    <definedName name="LXXIX" localSheetId="28">#REF!</definedName>
    <definedName name="LXXIX" localSheetId="27">#REF!</definedName>
    <definedName name="LXXIX" localSheetId="21">#REF!</definedName>
    <definedName name="LXXIX" localSheetId="18">#REF!</definedName>
    <definedName name="LXXIX" localSheetId="7">#REF!</definedName>
    <definedName name="LXXIX" localSheetId="23">#REF!</definedName>
    <definedName name="LXXIX">#REF!</definedName>
    <definedName name="LXXV" localSheetId="12">#REF!</definedName>
    <definedName name="LXXV" localSheetId="30">#REF!</definedName>
    <definedName name="LXXV" localSheetId="28">#REF!</definedName>
    <definedName name="LXXV" localSheetId="27">#REF!</definedName>
    <definedName name="LXXV" localSheetId="21">#REF!</definedName>
    <definedName name="LXXV" localSheetId="18">#REF!</definedName>
    <definedName name="LXXV" localSheetId="7">#REF!</definedName>
    <definedName name="LXXV" localSheetId="23">#REF!</definedName>
    <definedName name="LXXV">#REF!</definedName>
    <definedName name="LXXVI" localSheetId="12">#REF!</definedName>
    <definedName name="LXXVI" localSheetId="30">#REF!</definedName>
    <definedName name="LXXVI" localSheetId="28">#REF!</definedName>
    <definedName name="LXXVI" localSheetId="27">#REF!</definedName>
    <definedName name="LXXVI" localSheetId="21">#REF!</definedName>
    <definedName name="LXXVI" localSheetId="18">#REF!</definedName>
    <definedName name="LXXVI" localSheetId="7">#REF!</definedName>
    <definedName name="LXXVI" localSheetId="23">#REF!</definedName>
    <definedName name="LXXVI">#REF!</definedName>
    <definedName name="LXXVII" localSheetId="12">#REF!</definedName>
    <definedName name="LXXVII" localSheetId="30">#REF!</definedName>
    <definedName name="LXXVII" localSheetId="28">#REF!</definedName>
    <definedName name="LXXVII" localSheetId="27">#REF!</definedName>
    <definedName name="LXXVII" localSheetId="21">#REF!</definedName>
    <definedName name="LXXVII" localSheetId="18">#REF!</definedName>
    <definedName name="LXXVII" localSheetId="7">#REF!</definedName>
    <definedName name="LXXVII" localSheetId="23">#REF!</definedName>
    <definedName name="LXXVII">#REF!</definedName>
    <definedName name="LXXVIII" localSheetId="12">#REF!</definedName>
    <definedName name="LXXVIII" localSheetId="30">#REF!</definedName>
    <definedName name="LXXVIII" localSheetId="28">#REF!</definedName>
    <definedName name="LXXVIII" localSheetId="27">#REF!</definedName>
    <definedName name="LXXVIII" localSheetId="21">#REF!</definedName>
    <definedName name="LXXVIII" localSheetId="18">#REF!</definedName>
    <definedName name="LXXVIII" localSheetId="7">#REF!</definedName>
    <definedName name="LXXVIII" localSheetId="23">#REF!</definedName>
    <definedName name="LXXVIII">#REF!</definedName>
    <definedName name="LXXX" localSheetId="12">#REF!</definedName>
    <definedName name="LXXX" localSheetId="30">#REF!</definedName>
    <definedName name="LXXX" localSheetId="28">#REF!</definedName>
    <definedName name="LXXX" localSheetId="27">#REF!</definedName>
    <definedName name="LXXX" localSheetId="21">#REF!</definedName>
    <definedName name="LXXX" localSheetId="18">#REF!</definedName>
    <definedName name="LXXX" localSheetId="7">#REF!</definedName>
    <definedName name="LXXX" localSheetId="23">#REF!</definedName>
    <definedName name="LXXX">#REF!</definedName>
    <definedName name="LXXXI" localSheetId="12">#REF!</definedName>
    <definedName name="LXXXI" localSheetId="30">#REF!</definedName>
    <definedName name="LXXXI" localSheetId="28">#REF!</definedName>
    <definedName name="LXXXI" localSheetId="27">#REF!</definedName>
    <definedName name="LXXXI" localSheetId="21">#REF!</definedName>
    <definedName name="LXXXI" localSheetId="18">#REF!</definedName>
    <definedName name="LXXXI" localSheetId="7">#REF!</definedName>
    <definedName name="LXXXI" localSheetId="23">#REF!</definedName>
    <definedName name="LXXXI">#REF!</definedName>
    <definedName name="LXXXII" localSheetId="12">#REF!</definedName>
    <definedName name="LXXXII" localSheetId="30">#REF!</definedName>
    <definedName name="LXXXII" localSheetId="28">#REF!</definedName>
    <definedName name="LXXXII" localSheetId="27">#REF!</definedName>
    <definedName name="LXXXII" localSheetId="21">#REF!</definedName>
    <definedName name="LXXXII" localSheetId="18">#REF!</definedName>
    <definedName name="LXXXII" localSheetId="7">#REF!</definedName>
    <definedName name="LXXXII" localSheetId="23">#REF!</definedName>
    <definedName name="LXXXII">#REF!</definedName>
    <definedName name="LXXXIII" localSheetId="12">#REF!</definedName>
    <definedName name="LXXXIII" localSheetId="30">#REF!</definedName>
    <definedName name="LXXXIII" localSheetId="28">#REF!</definedName>
    <definedName name="LXXXIII" localSheetId="27">#REF!</definedName>
    <definedName name="LXXXIII" localSheetId="21">#REF!</definedName>
    <definedName name="LXXXIII" localSheetId="18">#REF!</definedName>
    <definedName name="LXXXIII" localSheetId="7">#REF!</definedName>
    <definedName name="LXXXIII" localSheetId="23">#REF!</definedName>
    <definedName name="LXXXIII">#REF!</definedName>
    <definedName name="LXXXIV" localSheetId="12">#REF!</definedName>
    <definedName name="LXXXIV" localSheetId="30">#REF!</definedName>
    <definedName name="LXXXIV" localSheetId="28">#REF!</definedName>
    <definedName name="LXXXIV" localSheetId="27">#REF!</definedName>
    <definedName name="LXXXIV" localSheetId="21">#REF!</definedName>
    <definedName name="LXXXIV" localSheetId="18">#REF!</definedName>
    <definedName name="LXXXIV" localSheetId="7">#REF!</definedName>
    <definedName name="LXXXIV" localSheetId="23">#REF!</definedName>
    <definedName name="LXXXIV">#REF!</definedName>
    <definedName name="LXXXV" localSheetId="12">#REF!</definedName>
    <definedName name="LXXXV" localSheetId="30">#REF!</definedName>
    <definedName name="LXXXV" localSheetId="28">#REF!</definedName>
    <definedName name="LXXXV" localSheetId="27">#REF!</definedName>
    <definedName name="LXXXV" localSheetId="21">#REF!</definedName>
    <definedName name="LXXXV" localSheetId="18">#REF!</definedName>
    <definedName name="LXXXV" localSheetId="7">#REF!</definedName>
    <definedName name="LXXXV" localSheetId="23">#REF!</definedName>
    <definedName name="LXXXV">#REF!</definedName>
    <definedName name="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 localSheetId="12">#REF!</definedName>
    <definedName name="MADRI" localSheetId="30">#REF!</definedName>
    <definedName name="MADRI" localSheetId="28">#REF!</definedName>
    <definedName name="MADRI" localSheetId="27">#REF!</definedName>
    <definedName name="MADRI" localSheetId="18">#REF!</definedName>
    <definedName name="MADRI" localSheetId="7">#REF!</definedName>
    <definedName name="MADRI" localSheetId="23">#REF!</definedName>
    <definedName name="MADRI">#REF!</definedName>
    <definedName name="mai17RJ" localSheetId="12">#REF!</definedName>
    <definedName name="mai17RJ" localSheetId="30">#REF!</definedName>
    <definedName name="mai17RJ" localSheetId="28">#REF!</definedName>
    <definedName name="mai17RJ" localSheetId="27">#REF!</definedName>
    <definedName name="mai17RJ" localSheetId="18">#REF!</definedName>
    <definedName name="mai17RJ" localSheetId="7">#REF!</definedName>
    <definedName name="mai17RJ" localSheetId="23">#REF!</definedName>
    <definedName name="mai17RJ">#REF!</definedName>
    <definedName name="MAIO" localSheetId="12">#REF!</definedName>
    <definedName name="MAIO" localSheetId="30">#REF!</definedName>
    <definedName name="MAIO" localSheetId="28">#REF!</definedName>
    <definedName name="MAIO" localSheetId="27">#REF!</definedName>
    <definedName name="MAIO" localSheetId="18">#REF!</definedName>
    <definedName name="MAIO" localSheetId="7">#REF!</definedName>
    <definedName name="MAIO" localSheetId="23">#REF!</definedName>
    <definedName name="MAIO">#REF!</definedName>
    <definedName name="MAIO2001" localSheetId="12">#REF!</definedName>
    <definedName name="MAIO2001" localSheetId="30">#REF!</definedName>
    <definedName name="MAIO2001" localSheetId="28">#REF!</definedName>
    <definedName name="MAIO2001" localSheetId="27">#REF!</definedName>
    <definedName name="MAIO2001" localSheetId="18">#REF!</definedName>
    <definedName name="MAIO2001" localSheetId="7">#REF!</definedName>
    <definedName name="MAIO2001" localSheetId="23">#REF!</definedName>
    <definedName name="MAIO2001">#REF!</definedName>
    <definedName name="MAISAP" localSheetId="3" hidden="1">{#N/A,#N/A,FALSE,"Plan1";#N/A,#N/A,FALSE,"Plan2"}</definedName>
    <definedName name="MAISAP" localSheetId="33" hidden="1">{#N/A,#N/A,FALSE,"Plan1";#N/A,#N/A,FALSE,"Plan2"}</definedName>
    <definedName name="MAISAP" localSheetId="35" hidden="1">{#N/A,#N/A,FALSE,"Plan1";#N/A,#N/A,FALSE,"Plan2"}</definedName>
    <definedName name="MAISAP" hidden="1">{#N/A,#N/A,FALSE,"Plan1";#N/A,#N/A,FALSE,"Plan2"}</definedName>
    <definedName name="MANTO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 localSheetId="12">#REF!</definedName>
    <definedName name="MAO_DE_OBRA" localSheetId="30">#REF!</definedName>
    <definedName name="MAO_DE_OBRA" localSheetId="28">#REF!</definedName>
    <definedName name="MAO_DE_OBRA" localSheetId="27">#REF!</definedName>
    <definedName name="MAO_DE_OBRA" localSheetId="18">#REF!</definedName>
    <definedName name="MAO_DE_OBRA" localSheetId="7">#REF!</definedName>
    <definedName name="MAO_DE_OBRA" localSheetId="23">#REF!</definedName>
    <definedName name="MAO_DE_OBRA">#REF!</definedName>
    <definedName name="mar17RJ" localSheetId="12">#REF!</definedName>
    <definedName name="mar17RJ" localSheetId="30">#REF!</definedName>
    <definedName name="mar17RJ" localSheetId="28">#REF!</definedName>
    <definedName name="mar17RJ" localSheetId="27">#REF!</definedName>
    <definedName name="mar17RJ" localSheetId="18">#REF!</definedName>
    <definedName name="mar17RJ" localSheetId="7">#REF!</definedName>
    <definedName name="mar17RJ" localSheetId="23">#REF!</definedName>
    <definedName name="mar17RJ">#REF!</definedName>
    <definedName name="MARCAX" localSheetId="12">#REF!</definedName>
    <definedName name="MARCAX" localSheetId="30">#REF!</definedName>
    <definedName name="MARCAX" localSheetId="28">#REF!</definedName>
    <definedName name="MARCAX" localSheetId="27">#REF!</definedName>
    <definedName name="MARCAX" localSheetId="18">#REF!</definedName>
    <definedName name="MARCAX" localSheetId="7">#REF!</definedName>
    <definedName name="MARCAX" localSheetId="23">#REF!</definedName>
    <definedName name="MARCAX">#REF!</definedName>
    <definedName name="MARÇO" localSheetId="12">#REF!</definedName>
    <definedName name="MARÇO" localSheetId="30">#REF!</definedName>
    <definedName name="MARÇO" localSheetId="28">#REF!</definedName>
    <definedName name="MARÇO" localSheetId="27">#REF!</definedName>
    <definedName name="MARÇO" localSheetId="18">#REF!</definedName>
    <definedName name="MARÇO" localSheetId="7">#REF!</definedName>
    <definedName name="MARÇO" localSheetId="23">#REF!</definedName>
    <definedName name="MARÇO">#REF!</definedName>
    <definedName name="MARÇO2001" localSheetId="12">#REF!</definedName>
    <definedName name="MARÇO2001" localSheetId="30">#REF!</definedName>
    <definedName name="MARÇO2001" localSheetId="28">#REF!</definedName>
    <definedName name="MARÇO2001" localSheetId="27">#REF!</definedName>
    <definedName name="MARÇO2001" localSheetId="18">#REF!</definedName>
    <definedName name="MARÇO2001" localSheetId="7">#REF!</definedName>
    <definedName name="MARÇO2001" localSheetId="23">#REF!</definedName>
    <definedName name="MARÇO2001">#REF!</definedName>
    <definedName name="martha" localSheetId="12">#REF!</definedName>
    <definedName name="martha" localSheetId="30">#REF!</definedName>
    <definedName name="martha" localSheetId="28">#REF!</definedName>
    <definedName name="martha" localSheetId="27">#REF!</definedName>
    <definedName name="martha" localSheetId="18">#REF!</definedName>
    <definedName name="martha" localSheetId="7">#REF!</definedName>
    <definedName name="martha" localSheetId="23">#REF!</definedName>
    <definedName name="martha">#REF!</definedName>
    <definedName name="MASTER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 localSheetId="12">#REF!</definedName>
    <definedName name="MATERIAL" localSheetId="30">#REF!</definedName>
    <definedName name="MATERIAL" localSheetId="28">#REF!</definedName>
    <definedName name="MATERIAL" localSheetId="27">#REF!</definedName>
    <definedName name="MATERIAL" localSheetId="18">#REF!</definedName>
    <definedName name="MATERIAL" localSheetId="7">#REF!</definedName>
    <definedName name="MATERIAL" localSheetId="23">#REF!</definedName>
    <definedName name="MATERIAL">#REF!</definedName>
    <definedName name="mattubcust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3" hidden="1">{#N/A,#N/A,FALSE,"Plan1";#N/A,#N/A,FALSE,"Plan2"}</definedName>
    <definedName name="MAURILIO" localSheetId="33" hidden="1">{#N/A,#N/A,FALSE,"Plan1";#N/A,#N/A,FALSE,"Plan2"}</definedName>
    <definedName name="MAURILIO" localSheetId="35" hidden="1">{#N/A,#N/A,FALSE,"Plan1";#N/A,#N/A,FALSE,"Plan2"}</definedName>
    <definedName name="MAURILIO" hidden="1">{#N/A,#N/A,FALSE,"Plan1";#N/A,#N/A,FALSE,"Plan2"}</definedName>
    <definedName name="MC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 localSheetId="12">#REF!</definedName>
    <definedName name="MCMV" localSheetId="30">#REF!</definedName>
    <definedName name="MCMV" localSheetId="28">#REF!</definedName>
    <definedName name="MCMV" localSheetId="27">#REF!</definedName>
    <definedName name="MCMV" localSheetId="18">#REF!</definedName>
    <definedName name="MCMV" localSheetId="7">#REF!</definedName>
    <definedName name="MCMV" localSheetId="23">#REF!</definedName>
    <definedName name="MCMV">#REF!</definedName>
    <definedName name="mdfgtr" localSheetId="3" hidden="1">{#N/A,#N/A,FALSE,"Plan1";#N/A,#N/A,FALSE,"Plan2"}</definedName>
    <definedName name="mdfgtr" localSheetId="33" hidden="1">{#N/A,#N/A,FALSE,"Plan1";#N/A,#N/A,FALSE,"Plan2"}</definedName>
    <definedName name="mdfgtr" localSheetId="35" hidden="1">{#N/A,#N/A,FALSE,"Plan1";#N/A,#N/A,FALSE,"Plan2"}</definedName>
    <definedName name="mdfgtr" hidden="1">{#N/A,#N/A,FALSE,"Plan1";#N/A,#N/A,FALSE,"Plan2"}</definedName>
    <definedName name="MDSÇLFJKJSD" localSheetId="3" hidden="1">{#N/A,#N/A,FALSE,"Plan1";#N/A,#N/A,FALSE,"Plan2"}</definedName>
    <definedName name="MDSÇLFJKJSD" localSheetId="33" hidden="1">{#N/A,#N/A,FALSE,"Plan1";#N/A,#N/A,FALSE,"Plan2"}</definedName>
    <definedName name="MDSÇLFJKJSD" localSheetId="35" hidden="1">{#N/A,#N/A,FALSE,"Plan1";#N/A,#N/A,FALSE,"Plan2"}</definedName>
    <definedName name="MDSÇLFJKJSD" hidden="1">{#N/A,#N/A,FALSE,"Plan1";#N/A,#N/A,FALSE,"Plan2"}</definedName>
    <definedName name="ME" localSheetId="33" hidden="1">{"HW",#N/A,FALSE,"1998"}</definedName>
    <definedName name="ME" localSheetId="35" hidden="1">{"HW",#N/A,FALSE,"1998"}</definedName>
    <definedName name="ME" hidden="1">{"HW",#N/A,FALSE,"1998"}</definedName>
    <definedName name="Medido_Fin_Medições" localSheetId="12">#REF!</definedName>
    <definedName name="Medido_Fin_Medições" localSheetId="30">#REF!</definedName>
    <definedName name="Medido_Fin_Medições" localSheetId="28">#REF!</definedName>
    <definedName name="Medido_Fin_Medições" localSheetId="27">#REF!</definedName>
    <definedName name="Medido_Fin_Medições" localSheetId="18">#REF!</definedName>
    <definedName name="Medido_Fin_Medições" localSheetId="7">#REF!</definedName>
    <definedName name="Medido_Fin_Medições" localSheetId="23">#REF!</definedName>
    <definedName name="Medido_Fin_Medições">#REF!</definedName>
    <definedName name="melo_cdi" localSheetId="12">#REF!</definedName>
    <definedName name="melo_cdi" localSheetId="30">#REF!</definedName>
    <definedName name="melo_cdi" localSheetId="28">#REF!</definedName>
    <definedName name="melo_cdi" localSheetId="27">#REF!</definedName>
    <definedName name="melo_cdi" localSheetId="18">#REF!</definedName>
    <definedName name="melo_cdi" localSheetId="7">#REF!</definedName>
    <definedName name="melo_cdi" localSheetId="23">#REF!</definedName>
    <definedName name="melo_cdi">#REF!</definedName>
    <definedName name="melo_hist" localSheetId="12">#REF!</definedName>
    <definedName name="melo_hist" localSheetId="30">#REF!</definedName>
    <definedName name="melo_hist" localSheetId="28">#REF!</definedName>
    <definedName name="melo_hist" localSheetId="27">#REF!</definedName>
    <definedName name="melo_hist" localSheetId="18">#REF!</definedName>
    <definedName name="melo_hist" localSheetId="7">#REF!</definedName>
    <definedName name="melo_hist" localSheetId="23">#REF!</definedName>
    <definedName name="melo_hist">#REF!</definedName>
    <definedName name="melo_uss" localSheetId="12">#REF!</definedName>
    <definedName name="melo_uss" localSheetId="30">#REF!</definedName>
    <definedName name="melo_uss" localSheetId="28">#REF!</definedName>
    <definedName name="melo_uss" localSheetId="27">#REF!</definedName>
    <definedName name="melo_uss" localSheetId="18">#REF!</definedName>
    <definedName name="melo_uss" localSheetId="7">#REF!</definedName>
    <definedName name="melo_uss" localSheetId="23">#REF!</definedName>
    <definedName name="melo_uss">#REF!</definedName>
    <definedName name="MEMÓRIA" localSheetId="12">#REF!</definedName>
    <definedName name="MEMÓRIA" localSheetId="30">#REF!</definedName>
    <definedName name="MEMÓRIA" localSheetId="28">#REF!</definedName>
    <definedName name="MEMÓRIA" localSheetId="27">#REF!</definedName>
    <definedName name="MEMÓRIA" localSheetId="18">#REF!</definedName>
    <definedName name="MEMÓRIA" localSheetId="7">#REF!</definedName>
    <definedName name="MEMÓRIA" localSheetId="23">#REF!</definedName>
    <definedName name="MEMÓRIA">#REF!</definedName>
    <definedName name="memória2" localSheetId="12">#REF!</definedName>
    <definedName name="memória2" localSheetId="30">#REF!</definedName>
    <definedName name="memória2" localSheetId="28">#REF!</definedName>
    <definedName name="memória2" localSheetId="27">#REF!</definedName>
    <definedName name="memória2" localSheetId="18">#REF!</definedName>
    <definedName name="memória2" localSheetId="7">#REF!</definedName>
    <definedName name="memória2" localSheetId="23">#REF!</definedName>
    <definedName name="memória2">#REF!</definedName>
    <definedName name="mensal" localSheetId="12">#REF!</definedName>
    <definedName name="mensal" localSheetId="30">#REF!</definedName>
    <definedName name="mensal" localSheetId="28">#REF!</definedName>
    <definedName name="mensal" localSheetId="27">#REF!</definedName>
    <definedName name="mensal" localSheetId="18">#REF!</definedName>
    <definedName name="mensal" localSheetId="7">#REF!</definedName>
    <definedName name="mensal" localSheetId="23">#REF!</definedName>
    <definedName name="mensal">#REF!</definedName>
    <definedName name="MENU" localSheetId="2">#REF!</definedName>
    <definedName name="MENU" localSheetId="12">#REF!</definedName>
    <definedName name="MENU" localSheetId="1">#REF!</definedName>
    <definedName name="MENU" localSheetId="30">#REF!</definedName>
    <definedName name="MENU" localSheetId="28">#REF!</definedName>
    <definedName name="MENU" localSheetId="27">#REF!</definedName>
    <definedName name="MENU" localSheetId="0">#REF!</definedName>
    <definedName name="MENU" localSheetId="21">#REF!</definedName>
    <definedName name="MENU" localSheetId="18">#REF!</definedName>
    <definedName name="MENU" localSheetId="7">#REF!</definedName>
    <definedName name="MENU" localSheetId="23">#REF!</definedName>
    <definedName name="MENU">#REF!</definedName>
    <definedName name="MENU1" localSheetId="12">#REF!</definedName>
    <definedName name="MENU1" localSheetId="1">#REF!</definedName>
    <definedName name="MENU1" localSheetId="30">#REF!</definedName>
    <definedName name="MENU1" localSheetId="28">#REF!</definedName>
    <definedName name="MENU1" localSheetId="27">#REF!</definedName>
    <definedName name="MENU1" localSheetId="0">#REF!</definedName>
    <definedName name="MENU1" localSheetId="21">#REF!</definedName>
    <definedName name="MENU1" localSheetId="18">#REF!</definedName>
    <definedName name="MENU1" localSheetId="7">#REF!</definedName>
    <definedName name="MENU1" localSheetId="23">#REF!</definedName>
    <definedName name="MENU1">#REF!</definedName>
    <definedName name="MENU2" localSheetId="12">#REF!</definedName>
    <definedName name="MENU2" localSheetId="1">#REF!</definedName>
    <definedName name="MENU2" localSheetId="30">#REF!</definedName>
    <definedName name="MENU2" localSheetId="28">#REF!</definedName>
    <definedName name="MENU2" localSheetId="27">#REF!</definedName>
    <definedName name="MENU2" localSheetId="0">#REF!</definedName>
    <definedName name="MENU2" localSheetId="21">#REF!</definedName>
    <definedName name="MENU2" localSheetId="18">#REF!</definedName>
    <definedName name="MENU2" localSheetId="7">#REF!</definedName>
    <definedName name="MENU2" localSheetId="23">#REF!</definedName>
    <definedName name="MENU2">#REF!</definedName>
    <definedName name="MENU3" localSheetId="3">#REF!</definedName>
    <definedName name="MENU3" localSheetId="12">#REF!</definedName>
    <definedName name="MENU3" localSheetId="30">#REF!</definedName>
    <definedName name="MENU3" localSheetId="28">#REF!</definedName>
    <definedName name="MENU3" localSheetId="27">#REF!</definedName>
    <definedName name="MENU3" localSheetId="21">#REF!</definedName>
    <definedName name="MENU3" localSheetId="18">#REF!</definedName>
    <definedName name="MENU3" localSheetId="7">#REF!</definedName>
    <definedName name="MENU3" localSheetId="23">#REF!</definedName>
    <definedName name="MENU3">#REF!</definedName>
    <definedName name="MENU4" localSheetId="3">#REF!</definedName>
    <definedName name="MENU4" localSheetId="12">#REF!</definedName>
    <definedName name="MENU4" localSheetId="30">#REF!</definedName>
    <definedName name="MENU4" localSheetId="28">#REF!</definedName>
    <definedName name="MENU4" localSheetId="27">#REF!</definedName>
    <definedName name="MENU4" localSheetId="21">#REF!</definedName>
    <definedName name="MENU4" localSheetId="18">#REF!</definedName>
    <definedName name="MENU4" localSheetId="7">#REF!</definedName>
    <definedName name="MENU4" localSheetId="23">#REF!</definedName>
    <definedName name="MENU4">#REF!</definedName>
    <definedName name="MENU5" localSheetId="3">#REF!</definedName>
    <definedName name="MENU5" localSheetId="12">#REF!</definedName>
    <definedName name="MENU5" localSheetId="30">#REF!</definedName>
    <definedName name="MENU5" localSheetId="28">#REF!</definedName>
    <definedName name="MENU5" localSheetId="27">#REF!</definedName>
    <definedName name="MENU5" localSheetId="21">#REF!</definedName>
    <definedName name="MENU5" localSheetId="18">#REF!</definedName>
    <definedName name="MENU5" localSheetId="7">#REF!</definedName>
    <definedName name="MENU5" localSheetId="23">#REF!</definedName>
    <definedName name="MENU5">#REF!</definedName>
    <definedName name="MENU6" localSheetId="3">#REF!</definedName>
    <definedName name="MENU6" localSheetId="12">#REF!</definedName>
    <definedName name="MENU6" localSheetId="30">#REF!</definedName>
    <definedName name="MENU6" localSheetId="28">#REF!</definedName>
    <definedName name="MENU6" localSheetId="27">#REF!</definedName>
    <definedName name="MENU6" localSheetId="21">#REF!</definedName>
    <definedName name="MENU6" localSheetId="18">#REF!</definedName>
    <definedName name="MENU6" localSheetId="7">#REF!</definedName>
    <definedName name="MENU6" localSheetId="23">#REF!</definedName>
    <definedName name="MENU6">#REF!</definedName>
    <definedName name="MENUBOM" localSheetId="12">#REF!</definedName>
    <definedName name="MENUBOM" localSheetId="30">#REF!</definedName>
    <definedName name="MENUBOM" localSheetId="28">#REF!</definedName>
    <definedName name="MENUBOM" localSheetId="27">#REF!</definedName>
    <definedName name="MENUBOM" localSheetId="18">#REF!</definedName>
    <definedName name="MENUBOM" localSheetId="7">#REF!</definedName>
    <definedName name="MENUBOM" localSheetId="23">#REF!</definedName>
    <definedName name="MENUBOM">#REF!</definedName>
    <definedName name="MENUEQP" localSheetId="12">#REF!</definedName>
    <definedName name="MENUEQP" localSheetId="30">#REF!</definedName>
    <definedName name="MENUEQP" localSheetId="28">#REF!</definedName>
    <definedName name="MENUEQP" localSheetId="27">#REF!</definedName>
    <definedName name="MENUEQP" localSheetId="18">#REF!</definedName>
    <definedName name="MENUEQP" localSheetId="7">#REF!</definedName>
    <definedName name="MENUEQP" localSheetId="23">#REF!</definedName>
    <definedName name="MENUEQP">#REF!</definedName>
    <definedName name="MENUFIM" localSheetId="12">#REF!</definedName>
    <definedName name="MENUFIM" localSheetId="30">#REF!</definedName>
    <definedName name="MENUFIM" localSheetId="28">#REF!</definedName>
    <definedName name="MENUFIM" localSheetId="27">#REF!</definedName>
    <definedName name="MENUFIM" localSheetId="18">#REF!</definedName>
    <definedName name="MENUFIM" localSheetId="7">#REF!</definedName>
    <definedName name="MENUFIM" localSheetId="23">#REF!</definedName>
    <definedName name="MENUFIM">#REF!</definedName>
    <definedName name="MENUMED" localSheetId="12">#REF!</definedName>
    <definedName name="MENUMED" localSheetId="30">#REF!</definedName>
    <definedName name="MENUMED" localSheetId="28">#REF!</definedName>
    <definedName name="MENUMED" localSheetId="27">#REF!</definedName>
    <definedName name="MENUMED" localSheetId="18">#REF!</definedName>
    <definedName name="MENUMED" localSheetId="7">#REF!</definedName>
    <definedName name="MENUMED" localSheetId="23">#REF!</definedName>
    <definedName name="MENUMED">#REF!</definedName>
    <definedName name="MENUOBRA" localSheetId="12">#REF!</definedName>
    <definedName name="MENUOBRA" localSheetId="30">#REF!</definedName>
    <definedName name="MENUOBRA" localSheetId="28">#REF!</definedName>
    <definedName name="MENUOBRA" localSheetId="27">#REF!</definedName>
    <definedName name="MENUOBRA" localSheetId="18">#REF!</definedName>
    <definedName name="MENUOBRA" localSheetId="7">#REF!</definedName>
    <definedName name="MENUOBRA" localSheetId="23">#REF!</definedName>
    <definedName name="MENUOBRA">#REF!</definedName>
    <definedName name="MENUOUT" localSheetId="12">#REF!</definedName>
    <definedName name="MENUOUT" localSheetId="30">#REF!</definedName>
    <definedName name="MENUOUT" localSheetId="28">#REF!</definedName>
    <definedName name="MENUOUT" localSheetId="27">#REF!</definedName>
    <definedName name="MENUOUT" localSheetId="18">#REF!</definedName>
    <definedName name="MENUOUT" localSheetId="7">#REF!</definedName>
    <definedName name="MENUOUT" localSheetId="23">#REF!</definedName>
    <definedName name="MENUOUT">#REF!</definedName>
    <definedName name="MENUOUTRO" localSheetId="12">#REF!</definedName>
    <definedName name="MENUOUTRO" localSheetId="30">#REF!</definedName>
    <definedName name="MENUOUTRO" localSheetId="28">#REF!</definedName>
    <definedName name="MENUOUTRO" localSheetId="27">#REF!</definedName>
    <definedName name="MENUOUTRO" localSheetId="18">#REF!</definedName>
    <definedName name="MENUOUTRO" localSheetId="7">#REF!</definedName>
    <definedName name="MENUOUTRO" localSheetId="23">#REF!</definedName>
    <definedName name="MENUOUTRO">#REF!</definedName>
    <definedName name="menures" localSheetId="12">#REF!</definedName>
    <definedName name="menures" localSheetId="30">#REF!</definedName>
    <definedName name="menures" localSheetId="28">#REF!</definedName>
    <definedName name="menures" localSheetId="27">#REF!</definedName>
    <definedName name="menures" localSheetId="18">#REF!</definedName>
    <definedName name="menures" localSheetId="7">#REF!</definedName>
    <definedName name="menures" localSheetId="23">#REF!</definedName>
    <definedName name="menures">#REF!</definedName>
    <definedName name="Mês_data_base" localSheetId="12">#REF!</definedName>
    <definedName name="Mês_data_base" localSheetId="30">#REF!</definedName>
    <definedName name="Mês_data_base" localSheetId="28">#REF!</definedName>
    <definedName name="Mês_data_base" localSheetId="27">#REF!</definedName>
    <definedName name="Mês_data_base" localSheetId="18">#REF!</definedName>
    <definedName name="Mês_data_base" localSheetId="7">#REF!</definedName>
    <definedName name="Mês_data_base" localSheetId="23">#REF!</definedName>
    <definedName name="Mês_data_base">#REF!</definedName>
    <definedName name="Mês_Medição_Fin_Medições" localSheetId="12">#REF!</definedName>
    <definedName name="Mês_Medição_Fin_Medições" localSheetId="30">#REF!</definedName>
    <definedName name="Mês_Medição_Fin_Medições" localSheetId="28">#REF!</definedName>
    <definedName name="Mês_Medição_Fin_Medições" localSheetId="27">#REF!</definedName>
    <definedName name="Mês_Medição_Fin_Medições" localSheetId="18">#REF!</definedName>
    <definedName name="Mês_Medição_Fin_Medições" localSheetId="7">#REF!</definedName>
    <definedName name="Mês_Medição_Fin_Medições" localSheetId="23">#REF!</definedName>
    <definedName name="Mês_Medição_Fin_Medições">#REF!</definedName>
    <definedName name="mes_relatorio" localSheetId="12">#REF!</definedName>
    <definedName name="mes_relatorio" localSheetId="30">#REF!</definedName>
    <definedName name="mes_relatorio" localSheetId="28">#REF!</definedName>
    <definedName name="mes_relatorio" localSheetId="27">#REF!</definedName>
    <definedName name="mes_relatorio" localSheetId="18">#REF!</definedName>
    <definedName name="mes_relatorio" localSheetId="7">#REF!</definedName>
    <definedName name="mes_relatorio" localSheetId="23">#REF!</definedName>
    <definedName name="mes_relatorio">#REF!</definedName>
    <definedName name="Meses" localSheetId="12">#REF!</definedName>
    <definedName name="Meses" localSheetId="30">#REF!</definedName>
    <definedName name="Meses" localSheetId="28">#REF!</definedName>
    <definedName name="Meses" localSheetId="27">#REF!</definedName>
    <definedName name="Meses" localSheetId="18">#REF!</definedName>
    <definedName name="Meses" localSheetId="7">#REF!</definedName>
    <definedName name="Meses" localSheetId="23">#REF!</definedName>
    <definedName name="Meses">#REF!</definedName>
    <definedName name="MESTRE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 localSheetId="12">#REF!</definedName>
    <definedName name="meta_venda" localSheetId="30">#REF!</definedName>
    <definedName name="meta_venda" localSheetId="28">#REF!</definedName>
    <definedName name="meta_venda" localSheetId="27">#REF!</definedName>
    <definedName name="meta_venda" localSheetId="18">#REF!</definedName>
    <definedName name="meta_venda" localSheetId="7">#REF!</definedName>
    <definedName name="meta_venda" localSheetId="23">#REF!</definedName>
    <definedName name="meta_venda">#REF!</definedName>
    <definedName name="MetaBP" localSheetId="12">#REF!</definedName>
    <definedName name="MetaBP" localSheetId="30">#REF!</definedName>
    <definedName name="MetaBP" localSheetId="28">#REF!</definedName>
    <definedName name="MetaBP" localSheetId="27">#REF!</definedName>
    <definedName name="MetaBP" localSheetId="18">#REF!</definedName>
    <definedName name="MetaBP" localSheetId="7">#REF!</definedName>
    <definedName name="MetaBP" localSheetId="23">#REF!</definedName>
    <definedName name="MetaBP">#REF!</definedName>
    <definedName name="MILENA" localSheetId="12" hidden="1">#REF!</definedName>
    <definedName name="MILENA" localSheetId="30" hidden="1">#REF!</definedName>
    <definedName name="MILENA" localSheetId="28" hidden="1">#REF!</definedName>
    <definedName name="MILENA" localSheetId="27" hidden="1">#REF!</definedName>
    <definedName name="MILENA" localSheetId="18" hidden="1">#REF!</definedName>
    <definedName name="MILENA" localSheetId="7" hidden="1">#REF!</definedName>
    <definedName name="MILENA" localSheetId="23" hidden="1">#REF!</definedName>
    <definedName name="MILENA" hidden="1">#REF!</definedName>
    <definedName name="Minha_Casa_Minha_Vida" localSheetId="12">#REF!</definedName>
    <definedName name="Minha_Casa_Minha_Vida" localSheetId="30">#REF!</definedName>
    <definedName name="Minha_Casa_Minha_Vida" localSheetId="28">#REF!</definedName>
    <definedName name="Minha_Casa_Minha_Vida" localSheetId="27">#REF!</definedName>
    <definedName name="Minha_Casa_Minha_Vida" localSheetId="18">#REF!</definedName>
    <definedName name="Minha_Casa_Minha_Vida" localSheetId="7">#REF!</definedName>
    <definedName name="Minha_Casa_Minha_Vida" localSheetId="23">#REF!</definedName>
    <definedName name="Minha_Casa_Minha_Vida">#REF!</definedName>
    <definedName name="MLMÇLKJKI" localSheetId="3" hidden="1">{#N/A,#N/A,FALSE,"Plan1";#N/A,#N/A,FALSE,"Plan2"}</definedName>
    <definedName name="MLMÇLKJKI" localSheetId="33" hidden="1">{#N/A,#N/A,FALSE,"Plan1";#N/A,#N/A,FALSE,"Plan2"}</definedName>
    <definedName name="MLMÇLKJKI" localSheetId="35" hidden="1">{#N/A,#N/A,FALSE,"Plan1";#N/A,#N/A,FALSE,"Plan2"}</definedName>
    <definedName name="MLMÇLKJKI" hidden="1">{#N/A,#N/A,FALSE,"Plan1";#N/A,#N/A,FALSE,"Plan2"}</definedName>
    <definedName name="M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3" hidden="1">{"tabela",#N/A,FALSE,"Tabela";"decoração",#N/A,FALSE,"Decor.";"Informações",#N/A,FALSE,"Inform."}</definedName>
    <definedName name="mmmmm" localSheetId="33" hidden="1">{"tabela",#N/A,FALSE,"Tabela";"decoração",#N/A,FALSE,"Decor.";"Informações",#N/A,FALSE,"Inform."}</definedName>
    <definedName name="mmmmm" localSheetId="35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3" hidden="1">{#N/A,#N/A,FALSE,"Plan1";#N/A,#N/A,FALSE,"Plan2"}</definedName>
    <definedName name="MNBXFKGS" localSheetId="33" hidden="1">{#N/A,#N/A,FALSE,"Plan1";#N/A,#N/A,FALSE,"Plan2"}</definedName>
    <definedName name="MNBXFKGS" localSheetId="35" hidden="1">{#N/A,#N/A,FALSE,"Plan1";#N/A,#N/A,FALSE,"Plan2"}</definedName>
    <definedName name="MNBXFKGS" hidden="1">{#N/A,#N/A,FALSE,"Plan1";#N/A,#N/A,FALSE,"Plan2"}</definedName>
    <definedName name="mncvbgcvmc" localSheetId="3" hidden="1">{#N/A,#N/A,FALSE,"Plan1";#N/A,#N/A,FALSE,"Plan2"}</definedName>
    <definedName name="mncvbgcvmc" localSheetId="33" hidden="1">{#N/A,#N/A,FALSE,"Plan1";#N/A,#N/A,FALSE,"Plan2"}</definedName>
    <definedName name="mncvbgcvmc" localSheetId="35" hidden="1">{#N/A,#N/A,FALSE,"Plan1";#N/A,#N/A,FALSE,"Plan2"}</definedName>
    <definedName name="mncvbgcvmc" hidden="1">{#N/A,#N/A,FALSE,"Plan1";#N/A,#N/A,FALSE,"Plan2"}</definedName>
    <definedName name="MNDKZSFNCEA" localSheetId="3" hidden="1">{#N/A,#N/A,FALSE,"Plan1";#N/A,#N/A,FALSE,"Plan2"}</definedName>
    <definedName name="MNDKZSFNCEA" localSheetId="33" hidden="1">{#N/A,#N/A,FALSE,"Plan1";#N/A,#N/A,FALSE,"Plan2"}</definedName>
    <definedName name="MNDKZSFNCEA" localSheetId="35" hidden="1">{#N/A,#N/A,FALSE,"Plan1";#N/A,#N/A,FALSE,"Plan2"}</definedName>
    <definedName name="MNDKZSFNCEA" hidden="1">{#N/A,#N/A,FALSE,"Plan1";#N/A,#N/A,FALSE,"Plan2"}</definedName>
    <definedName name="mnhdshfgfhd" localSheetId="3" hidden="1">{#N/A,#N/A,FALSE,"Plan1";#N/A,#N/A,FALSE,"Plan2"}</definedName>
    <definedName name="mnhdshfgfhd" localSheetId="33" hidden="1">{#N/A,#N/A,FALSE,"Plan1";#N/A,#N/A,FALSE,"Plan2"}</definedName>
    <definedName name="mnhdshfgfhd" localSheetId="35" hidden="1">{#N/A,#N/A,FALSE,"Plan1";#N/A,#N/A,FALSE,"Plan2"}</definedName>
    <definedName name="mnhdshfgfhd" hidden="1">{#N/A,#N/A,FALSE,"Plan1";#N/A,#N/A,FALSE,"Plan2"}</definedName>
    <definedName name="mo" localSheetId="3">#REF!</definedName>
    <definedName name="mo" localSheetId="12">#REF!</definedName>
    <definedName name="mo" localSheetId="30">#REF!</definedName>
    <definedName name="mo" localSheetId="28">#REF!</definedName>
    <definedName name="mo" localSheetId="27">#REF!</definedName>
    <definedName name="mo" localSheetId="18">#REF!</definedName>
    <definedName name="mo" localSheetId="7">#REF!</definedName>
    <definedName name="mo" localSheetId="23">#REF!</definedName>
    <definedName name="mo">#REF!</definedName>
    <definedName name="mobra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33" hidden="1">{#N/A,#N/A,FALSE,"cdi";#N/A,#N/A,FALSE,"debent";#N/A,#N/A,FALSE,"fdos";#N/A,#N/A,FALSE,"resumo"}</definedName>
    <definedName name="Modelo1" localSheetId="35" hidden="1">{#N/A,#N/A,FALSE,"cdi";#N/A,#N/A,FALSE,"debent";#N/A,#N/A,FALSE,"fdos";#N/A,#N/A,FALSE,"resumo"}</definedName>
    <definedName name="Modelo1" hidden="1">{#N/A,#N/A,FALSE,"cdi";#N/A,#N/A,FALSE,"debent";#N/A,#N/A,FALSE,"fdos";#N/A,#N/A,FALSE,"resumo"}</definedName>
    <definedName name="Modelo1a" localSheetId="33" hidden="1">{#N/A,#N/A,FALSE,"cdi";#N/A,#N/A,FALSE,"debent";#N/A,#N/A,FALSE,"fdos";#N/A,#N/A,FALSE,"resumo"}</definedName>
    <definedName name="Modelo1a" localSheetId="35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localSheetId="3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35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 localSheetId="12">#REF!</definedName>
    <definedName name="módulo" localSheetId="30">#REF!</definedName>
    <definedName name="módulo" localSheetId="28">#REF!</definedName>
    <definedName name="módulo" localSheetId="27">#REF!</definedName>
    <definedName name="módulo" localSheetId="18">#REF!</definedName>
    <definedName name="módulo" localSheetId="7">#REF!</definedName>
    <definedName name="módulo" localSheetId="23">#REF!</definedName>
    <definedName name="módulo">#REF!</definedName>
    <definedName name="mond_cdi" localSheetId="12">#REF!</definedName>
    <definedName name="mond_cdi" localSheetId="30">#REF!</definedName>
    <definedName name="mond_cdi" localSheetId="28">#REF!</definedName>
    <definedName name="mond_cdi" localSheetId="27">#REF!</definedName>
    <definedName name="mond_cdi" localSheetId="18">#REF!</definedName>
    <definedName name="mond_cdi" localSheetId="7">#REF!</definedName>
    <definedName name="mond_cdi" localSheetId="23">#REF!</definedName>
    <definedName name="mond_cdi">#REF!</definedName>
    <definedName name="mond_hist" localSheetId="12">#REF!</definedName>
    <definedName name="mond_hist" localSheetId="30">#REF!</definedName>
    <definedName name="mond_hist" localSheetId="28">#REF!</definedName>
    <definedName name="mond_hist" localSheetId="27">#REF!</definedName>
    <definedName name="mond_hist" localSheetId="18">#REF!</definedName>
    <definedName name="mond_hist" localSheetId="7">#REF!</definedName>
    <definedName name="mond_hist" localSheetId="23">#REF!</definedName>
    <definedName name="mond_hist">#REF!</definedName>
    <definedName name="mond_uss" localSheetId="12">#REF!</definedName>
    <definedName name="mond_uss" localSheetId="30">#REF!</definedName>
    <definedName name="mond_uss" localSheetId="28">#REF!</definedName>
    <definedName name="mond_uss" localSheetId="27">#REF!</definedName>
    <definedName name="mond_uss" localSheetId="18">#REF!</definedName>
    <definedName name="mond_uss" localSheetId="7">#REF!</definedName>
    <definedName name="mond_uss" localSheetId="23">#REF!</definedName>
    <definedName name="mond_uss">#REF!</definedName>
    <definedName name="MP" localSheetId="33" hidden="1">{#N/A,#N/A,FALSE,"CCTV"}</definedName>
    <definedName name="MP" localSheetId="35" hidden="1">{#N/A,#N/A,FALSE,"CCTV"}</definedName>
    <definedName name="MP" hidden="1">{#N/A,#N/A,FALSE,"CCTV"}</definedName>
    <definedName name="MSDFJKDT" hidden="1">25</definedName>
    <definedName name="MSDRFSWER" localSheetId="3" hidden="1">{"Econ Consolidado",#N/A,FALSE,"Econ Consol";"Fluxo de Caixa",#N/A,FALSE,"Fluxo Caixa";"Investimentos",#N/A,FALSE,"Investimentos"}</definedName>
    <definedName name="MSDRFSWER" localSheetId="33" hidden="1">{"Econ Consolidado",#N/A,FALSE,"Econ Consol";"Fluxo de Caixa",#N/A,FALSE,"Fluxo Caixa";"Investimentos",#N/A,FALSE,"Investimentos"}</definedName>
    <definedName name="MSDRFSWER" localSheetId="35" hidden="1">{"Econ Consolidado",#N/A,FALSE,"Econ Consol";"Fluxo de Caixa",#N/A,FALSE,"Fluxo Caixa";"Investimentos",#N/A,FALSE,"Investimentos"}</definedName>
    <definedName name="MSDRFSWER" hidden="1">{"Econ Consolidado",#N/A,FALSE,"Econ Consol";"Fluxo de Caixa",#N/A,FALSE,"Fluxo Caixa";"Investimentos",#N/A,FALSE,"Investimentos"}</definedName>
    <definedName name="MURBOMB" localSheetId="12">#REF!</definedName>
    <definedName name="MURBOMB" localSheetId="30">#REF!</definedName>
    <definedName name="MURBOMB" localSheetId="28">#REF!</definedName>
    <definedName name="MURBOMB" localSheetId="27">#REF!</definedName>
    <definedName name="MURBOMB" localSheetId="18">#REF!</definedName>
    <definedName name="MURBOMB" localSheetId="7">#REF!</definedName>
    <definedName name="MURBOMB" localSheetId="23">#REF!</definedName>
    <definedName name="MURBOMB">#REF!</definedName>
    <definedName name="mzshdjshjs" localSheetId="3" hidden="1">{#N/A,#N/A,FALSE,"Plan1";#N/A,#N/A,FALSE,"Plan2"}</definedName>
    <definedName name="mzshdjshjs" localSheetId="33" hidden="1">{#N/A,#N/A,FALSE,"Plan1";#N/A,#N/A,FALSE,"Plan2"}</definedName>
    <definedName name="mzshdjshjs" localSheetId="35" hidden="1">{#N/A,#N/A,FALSE,"Plan1";#N/A,#N/A,FALSE,"Plan2"}</definedName>
    <definedName name="mzshdjshjs" hidden="1">{#N/A,#N/A,FALSE,"Plan1";#N/A,#N/A,FALSE,"Plan2"}</definedName>
    <definedName name="na" localSheetId="33" hidden="1">{#N/A,#N/A,FALSE,"$170M Cash";#N/A,#N/A,FALSE,"$250M Cash";#N/A,#N/A,FALSE,"$325M Cash"}</definedName>
    <definedName name="na" localSheetId="35" hidden="1">{#N/A,#N/A,FALSE,"$170M Cash";#N/A,#N/A,FALSE,"$250M Cash";#N/A,#N/A,FALSE,"$325M Cash"}</definedName>
    <definedName name="na" hidden="1">{#N/A,#N/A,FALSE,"$170M Cash";#N/A,#N/A,FALSE,"$250M Cash";#N/A,#N/A,FALSE,"$325M Cash"}</definedName>
    <definedName name="ncdgrdhrtg" localSheetId="3" hidden="1">{#N/A,#N/A,FALSE,"Plan1";#N/A,#N/A,FALSE,"Plan2"}</definedName>
    <definedName name="ncdgrdhrtg" localSheetId="33" hidden="1">{#N/A,#N/A,FALSE,"Plan1";#N/A,#N/A,FALSE,"Plan2"}</definedName>
    <definedName name="ncdgrdhrtg" localSheetId="35" hidden="1">{#N/A,#N/A,FALSE,"Plan1";#N/A,#N/A,FALSE,"Plan2"}</definedName>
    <definedName name="ncdgrdhrtg" hidden="1">{#N/A,#N/A,FALSE,"Plan1";#N/A,#N/A,FALSE,"Plan2"}</definedName>
    <definedName name="nchngdfhgdh" localSheetId="3" hidden="1">{#N/A,#N/A,FALSE,"Plan1";#N/A,#N/A,FALSE,"Plan2"}</definedName>
    <definedName name="nchngdfhgdh" localSheetId="33" hidden="1">{#N/A,#N/A,FALSE,"Plan1";#N/A,#N/A,FALSE,"Plan2"}</definedName>
    <definedName name="nchngdfhgdh" localSheetId="35" hidden="1">{#N/A,#N/A,FALSE,"Plan1";#N/A,#N/A,FALSE,"Plan2"}</definedName>
    <definedName name="nchngdfhgdh" hidden="1">{#N/A,#N/A,FALSE,"Plan1";#N/A,#N/A,FALSE,"Plan2"}</definedName>
    <definedName name="NCJFKNGJHF" localSheetId="3" hidden="1">{#N/A,#N/A,FALSE,"Plan1";#N/A,#N/A,FALSE,"Plan2"}</definedName>
    <definedName name="NCJFKNGJHF" localSheetId="33" hidden="1">{#N/A,#N/A,FALSE,"Plan1";#N/A,#N/A,FALSE,"Plan2"}</definedName>
    <definedName name="NCJFKNGJHF" localSheetId="35" hidden="1">{#N/A,#N/A,FALSE,"Plan1";#N/A,#N/A,FALSE,"Plan2"}</definedName>
    <definedName name="NCJFKNGJHF" hidden="1">{#N/A,#N/A,FALSE,"Plan1";#N/A,#N/A,FALSE,"Plan2"}</definedName>
    <definedName name="NDATA" localSheetId="12">#REF!</definedName>
    <definedName name="NDATA" localSheetId="30">#REF!</definedName>
    <definedName name="NDATA" localSheetId="28">#REF!</definedName>
    <definedName name="NDATA" localSheetId="27">#REF!</definedName>
    <definedName name="NDATA" localSheetId="18">#REF!</definedName>
    <definedName name="NDATA" localSheetId="7">#REF!</definedName>
    <definedName name="NDATA" localSheetId="23">#REF!</definedName>
    <definedName name="NDATA">#REF!</definedName>
    <definedName name="ndcxhgdhf" localSheetId="3" hidden="1">{#N/A,#N/A,FALSE,"Plan1";#N/A,#N/A,FALSE,"Plan2"}</definedName>
    <definedName name="ndcxhgdhf" localSheetId="33" hidden="1">{#N/A,#N/A,FALSE,"Plan1";#N/A,#N/A,FALSE,"Plan2"}</definedName>
    <definedName name="ndcxhgdhf" localSheetId="35" hidden="1">{#N/A,#N/A,FALSE,"Plan1";#N/A,#N/A,FALSE,"Plan2"}</definedName>
    <definedName name="ndcxhgdhf" hidden="1">{#N/A,#N/A,FALSE,"Plan1";#N/A,#N/A,FALSE,"Plan2"}</definedName>
    <definedName name="ndfjnjkrhdgt" localSheetId="3" hidden="1">{#N/A,#N/A,FALSE,"Plan1";#N/A,#N/A,FALSE,"Plan2"}</definedName>
    <definedName name="ndfjnjkrhdgt" localSheetId="33" hidden="1">{#N/A,#N/A,FALSE,"Plan1";#N/A,#N/A,FALSE,"Plan2"}</definedName>
    <definedName name="ndfjnjkrhdgt" localSheetId="35" hidden="1">{#N/A,#N/A,FALSE,"Plan1";#N/A,#N/A,FALSE,"Plan2"}</definedName>
    <definedName name="ndfjnjkrhdgt" hidden="1">{#N/A,#N/A,FALSE,"Plan1";#N/A,#N/A,FALSE,"Plan2"}</definedName>
    <definedName name="ndfkghkjthfyst" localSheetId="3" hidden="1">{#N/A,#N/A,FALSE,"Plan1";#N/A,#N/A,FALSE,"Plan2"}</definedName>
    <definedName name="ndfkghkjthfyst" localSheetId="33" hidden="1">{#N/A,#N/A,FALSE,"Plan1";#N/A,#N/A,FALSE,"Plan2"}</definedName>
    <definedName name="ndfkghkjthfyst" localSheetId="35" hidden="1">{#N/A,#N/A,FALSE,"Plan1";#N/A,#N/A,FALSE,"Plan2"}</definedName>
    <definedName name="ndfkghkjthfyst" hidden="1">{#N/A,#N/A,FALSE,"Plan1";#N/A,#N/A,FALSE,"Plan2"}</definedName>
    <definedName name="ndfldslvjnvberugberqubquierbv" localSheetId="12">#REF!</definedName>
    <definedName name="ndfldslvjnvberugberqubquierbv" localSheetId="30">#REF!</definedName>
    <definedName name="ndfldslvjnvberugberqubquierbv" localSheetId="28">#REF!</definedName>
    <definedName name="ndfldslvjnvberugberqubquierbv" localSheetId="27">#REF!</definedName>
    <definedName name="ndfldslvjnvberugberqubquierbv" localSheetId="18">#REF!</definedName>
    <definedName name="ndfldslvjnvberugberqubquierbv" localSheetId="7">#REF!</definedName>
    <definedName name="ndfldslvjnvberugberqubquierbv" localSheetId="23">#REF!</definedName>
    <definedName name="ndfldslvjnvberugberqubquierbv">#REF!</definedName>
    <definedName name="NDJGKFKGHUFG" localSheetId="3" hidden="1">{#N/A,#N/A,FALSE,"Plan1";#N/A,#N/A,FALSE,"Plan2"}</definedName>
    <definedName name="NDJGKFKGHUFG" localSheetId="33" hidden="1">{#N/A,#N/A,FALSE,"Plan1";#N/A,#N/A,FALSE,"Plan2"}</definedName>
    <definedName name="NDJGKFKGHUFG" localSheetId="35" hidden="1">{#N/A,#N/A,FALSE,"Plan1";#N/A,#N/A,FALSE,"Plan2"}</definedName>
    <definedName name="NDJGKFKGHUFG" hidden="1">{#N/A,#N/A,FALSE,"Plan1";#N/A,#N/A,FALSE,"Plan2"}</definedName>
    <definedName name="ndrjkt" localSheetId="3" hidden="1">{#N/A,#N/A,FALSE,"Plan1";#N/A,#N/A,FALSE,"Plan2"}</definedName>
    <definedName name="ndrjkt" localSheetId="33" hidden="1">{#N/A,#N/A,FALSE,"Plan1";#N/A,#N/A,FALSE,"Plan2"}</definedName>
    <definedName name="ndrjkt" localSheetId="35" hidden="1">{#N/A,#N/A,FALSE,"Plan1";#N/A,#N/A,FALSE,"Plan2"}</definedName>
    <definedName name="ndrjkt" hidden="1">{#N/A,#N/A,FALSE,"Plan1";#N/A,#N/A,FALSE,"Plan2"}</definedName>
    <definedName name="new" localSheetId="33" hidden="1">{#N/A,#N/A,FALSE,"Global by BU";#N/A,#N/A,FALSE,"U.S. by BU";#N/A,#N/A,FALSE,"Canada by BU";#N/A,#N/A,FALSE,"Europe by BU";#N/A,#N/A,FALSE,"Asia by BU";#N/A,#N/A,FALSE,"Cala by BU"}</definedName>
    <definedName name="new" localSheetId="35" hidden="1">{#N/A,#N/A,FALSE,"Global by BU";#N/A,#N/A,FALSE,"U.S. by BU";#N/A,#N/A,FALSE,"Canada by BU";#N/A,#N/A,FALSE,"Europe by BU";#N/A,#N/A,FALSE,"Asia by BU";#N/A,#N/A,FALSE,"Cala by BU"}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localSheetId="33" hidden="1">{#N/A,#N/A,FALSE,"CCTV"}</definedName>
    <definedName name="NEWNAME" localSheetId="35" hidden="1">{#N/A,#N/A,FALSE,"CCTV"}</definedName>
    <definedName name="NEWNAME" hidden="1">{#N/A,#N/A,FALSE,"CCTV"}</definedName>
    <definedName name="nfgjkhvhfghn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3" hidden="1">{#N/A,#N/A,FALSE,"Plan1";#N/A,#N/A,FALSE,"Plan2"}</definedName>
    <definedName name="nfkhdjkthde" localSheetId="33" hidden="1">{#N/A,#N/A,FALSE,"Plan1";#N/A,#N/A,FALSE,"Plan2"}</definedName>
    <definedName name="nfkhdjkthde" localSheetId="35" hidden="1">{#N/A,#N/A,FALSE,"Plan1";#N/A,#N/A,FALSE,"Plan2"}</definedName>
    <definedName name="nfkhdjkthde" hidden="1">{#N/A,#N/A,FALSE,"Plan1";#N/A,#N/A,FALSE,"Plan2"}</definedName>
    <definedName name="nh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3" hidden="1">{#N/A,#N/A,FALSE,"Plan1";#N/A,#N/A,FALSE,"Plan2"}</definedName>
    <definedName name="NHJHFDSHF" localSheetId="33" hidden="1">{#N/A,#N/A,FALSE,"Plan1";#N/A,#N/A,FALSE,"Plan2"}</definedName>
    <definedName name="NHJHFDSHF" localSheetId="35" hidden="1">{#N/A,#N/A,FALSE,"Plan1";#N/A,#N/A,FALSE,"Plan2"}</definedName>
    <definedName name="NHJHFDSHF" hidden="1">{#N/A,#N/A,FALSE,"Plan1";#N/A,#N/A,FALSE,"Plan2"}</definedName>
    <definedName name="NJSDFHERTG" localSheetId="3" hidden="1">{#N/A,#N/A,FALSE,"Plan1";#N/A,#N/A,FALSE,"Plan2"}</definedName>
    <definedName name="NJSDFHERTG" localSheetId="33" hidden="1">{#N/A,#N/A,FALSE,"Plan1";#N/A,#N/A,FALSE,"Plan2"}</definedName>
    <definedName name="NJSDFHERTG" localSheetId="35" hidden="1">{#N/A,#N/A,FALSE,"Plan1";#N/A,#N/A,FALSE,"Plan2"}</definedName>
    <definedName name="NJSDFHERTG" hidden="1">{#N/A,#N/A,FALSE,"Plan1";#N/A,#N/A,FALSE,"Plan2"}</definedName>
    <definedName name="nkfnsskdn" localSheetId="3" hidden="1">{#N/A,#N/A,FALSE,"Plan1";#N/A,#N/A,FALSE,"Plan2"}</definedName>
    <definedName name="nkfnsskdn" localSheetId="33" hidden="1">{#N/A,#N/A,FALSE,"Plan1";#N/A,#N/A,FALSE,"Plan2"}</definedName>
    <definedName name="nkfnsskdn" localSheetId="35" hidden="1">{#N/A,#N/A,FALSE,"Plan1";#N/A,#N/A,FALSE,"Plan2"}</definedName>
    <definedName name="nkfnsskdn" hidden="1">{#N/A,#N/A,FALSE,"Plan1";#N/A,#N/A,FALSE,"Plan2"}</definedName>
    <definedName name="NKJL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 localSheetId="12">#REF!</definedName>
    <definedName name="nl" localSheetId="30">#REF!</definedName>
    <definedName name="nl" localSheetId="28">#REF!</definedName>
    <definedName name="nl" localSheetId="27">#REF!</definedName>
    <definedName name="nl" localSheetId="18">#REF!</definedName>
    <definedName name="nl" localSheetId="7">#REF!</definedName>
    <definedName name="nl" localSheetId="23">#REF!</definedName>
    <definedName name="nl">#REF!</definedName>
    <definedName name="nlaksjdwe" localSheetId="3" hidden="1">{#N/A,#N/A,FALSE,"Plan1";#N/A,#N/A,FALSE,"Plan2"}</definedName>
    <definedName name="nlaksjdwe" localSheetId="33" hidden="1">{#N/A,#N/A,FALSE,"Plan1";#N/A,#N/A,FALSE,"Plan2"}</definedName>
    <definedName name="nlaksjdwe" localSheetId="35" hidden="1">{#N/A,#N/A,FALSE,"Plan1";#N/A,#N/A,FALSE,"Plan2"}</definedName>
    <definedName name="nlaksjdwe" hidden="1">{#N/A,#N/A,FALSE,"Plan1";#N/A,#N/A,FALSE,"Plan2"}</definedName>
    <definedName name="nljsdfljfdsfr" localSheetId="3" hidden="1">{#N/A,#N/A,FALSE,"Plan1";#N/A,#N/A,FALSE,"Plan2"}</definedName>
    <definedName name="nljsdfljfdsfr" localSheetId="33" hidden="1">{#N/A,#N/A,FALSE,"Plan1";#N/A,#N/A,FALSE,"Plan2"}</definedName>
    <definedName name="nljsdfljfdsfr" localSheetId="35" hidden="1">{#N/A,#N/A,FALSE,"Plan1";#N/A,#N/A,FALSE,"Plan2"}</definedName>
    <definedName name="nljsdfljfdsfr" hidden="1">{#N/A,#N/A,FALSE,"Plan1";#N/A,#N/A,FALSE,"Plan2"}</definedName>
    <definedName name="nm_k1" localSheetId="12">#REF!</definedName>
    <definedName name="nm_k1" localSheetId="30">#REF!</definedName>
    <definedName name="nm_k1" localSheetId="28">#REF!</definedName>
    <definedName name="nm_k1" localSheetId="27">#REF!</definedName>
    <definedName name="nm_k1" localSheetId="18">#REF!</definedName>
    <definedName name="nm_k1" localSheetId="7">#REF!</definedName>
    <definedName name="nm_k1" localSheetId="23">#REF!</definedName>
    <definedName name="nm_k1">#REF!</definedName>
    <definedName name="nm_k2" localSheetId="12">#REF!</definedName>
    <definedName name="nm_k2" localSheetId="30">#REF!</definedName>
    <definedName name="nm_k2" localSheetId="28">#REF!</definedName>
    <definedName name="nm_k2" localSheetId="27">#REF!</definedName>
    <definedName name="nm_k2" localSheetId="18">#REF!</definedName>
    <definedName name="nm_k2" localSheetId="7">#REF!</definedName>
    <definedName name="nm_k2" localSheetId="23">#REF!</definedName>
    <definedName name="nm_k2">#REF!</definedName>
    <definedName name="nm_k3" localSheetId="12">#REF!</definedName>
    <definedName name="nm_k3" localSheetId="30">#REF!</definedName>
    <definedName name="nm_k3" localSheetId="28">#REF!</definedName>
    <definedName name="nm_k3" localSheetId="27">#REF!</definedName>
    <definedName name="nm_k3" localSheetId="18">#REF!</definedName>
    <definedName name="nm_k3" localSheetId="7">#REF!</definedName>
    <definedName name="nm_k3" localSheetId="23">#REF!</definedName>
    <definedName name="nm_k3">#REF!</definedName>
    <definedName name="nmjdfhxj" localSheetId="3" hidden="1">{#N/A,#N/A,FALSE,"Plan1";#N/A,#N/A,FALSE,"Plan2"}</definedName>
    <definedName name="nmjdfhxj" localSheetId="33" hidden="1">{#N/A,#N/A,FALSE,"Plan1";#N/A,#N/A,FALSE,"Plan2"}</definedName>
    <definedName name="nmjdfhxj" localSheetId="35" hidden="1">{#N/A,#N/A,FALSE,"Plan1";#N/A,#N/A,FALSE,"Plan2"}</definedName>
    <definedName name="nmjdfhxj" hidden="1">{#N/A,#N/A,FALSE,"Plan1";#N/A,#N/A,FALSE,"Plan2"}</definedName>
    <definedName name="nnmn" localSheetId="3" hidden="1">{#N/A,#N/A,FALSE,"Plan1";#N/A,#N/A,FALSE,"Plan2"}</definedName>
    <definedName name="nnmn" localSheetId="33" hidden="1">{#N/A,#N/A,FALSE,"Plan1";#N/A,#N/A,FALSE,"Plan2"}</definedName>
    <definedName name="nnmn" localSheetId="35" hidden="1">{#N/A,#N/A,FALSE,"Plan1";#N/A,#N/A,FALSE,"Plan2"}</definedName>
    <definedName name="nnmn" hidden="1">{#N/A,#N/A,FALSE,"Plan1";#N/A,#N/A,FALSE,"Plan2"}</definedName>
    <definedName name="nnn" localSheetId="3" hidden="1">{#N/A,#N/A,FALSE,"Plan1";#N/A,#N/A,FALSE,"Plan2"}</definedName>
    <definedName name="nnn" localSheetId="33" hidden="1">{#N/A,#N/A,FALSE,"Plan1";#N/A,#N/A,FALSE,"Plan2"}</definedName>
    <definedName name="nnn" localSheetId="35" hidden="1">{#N/A,#N/A,FALSE,"Plan1";#N/A,#N/A,FALSE,"Plan2"}</definedName>
    <definedName name="nnn" hidden="1">{#N/A,#N/A,FALSE,"Plan1";#N/A,#N/A,FALSE,"Plan2"}</definedName>
    <definedName name="nnnnnnnnnnn" localSheetId="33" hidden="1">{"HW",#N/A,FALSE,"1998"}</definedName>
    <definedName name="nnnnnnnnnnn" localSheetId="35" hidden="1">{"HW",#N/A,FALSE,"1998"}</definedName>
    <definedName name="nnnnnnnnnnn" hidden="1">{"HW",#N/A,FALSE,"1998"}</definedName>
    <definedName name="NNNNNNNNNNNNNNN" localSheetId="3" hidden="1">{#N/A,#N/A,FALSE,"Plan1";#N/A,#N/A,FALSE,"Plan2"}</definedName>
    <definedName name="NNNNNNNNNNNNNNN" localSheetId="33" hidden="1">{#N/A,#N/A,FALSE,"Plan1";#N/A,#N/A,FALSE,"Plan2"}</definedName>
    <definedName name="NNNNNNNNNNNNNNN" localSheetId="35" hidden="1">{#N/A,#N/A,FALSE,"Plan1";#N/A,#N/A,FALSE,"Plan2"}</definedName>
    <definedName name="NNNNNNNNNNNNNNN" hidden="1">{#N/A,#N/A,FALSE,"Plan1";#N/A,#N/A,FALSE,"Plan2"}</definedName>
    <definedName name="nnnnnnnnnnnnnnnnnnnn" localSheetId="3" hidden="1">{#N/A,#N/A,FALSE,"Plan1";#N/A,#N/A,FALSE,"Plan2"}</definedName>
    <definedName name="nnnnnnnnnnnnnnnnnnnn" localSheetId="33" hidden="1">{#N/A,#N/A,FALSE,"Plan1";#N/A,#N/A,FALSE,"Plan2"}</definedName>
    <definedName name="nnnnnnnnnnnnnnnnnnnn" localSheetId="35" hidden="1">{#N/A,#N/A,FALSE,"Plan1";#N/A,#N/A,FALSE,"Plan2"}</definedName>
    <definedName name="nnnnnnnnnnnnnnnnnnnn" hidden="1">{#N/A,#N/A,FALSE,"Plan1";#N/A,#N/A,FALSE,"Plan2"}</definedName>
    <definedName name="NNXFT" localSheetId="3" hidden="1">{#N/A,#N/A,FALSE,"Plan1";#N/A,#N/A,FALSE,"Plan2"}</definedName>
    <definedName name="NNXFT" localSheetId="33" hidden="1">{#N/A,#N/A,FALSE,"Plan1";#N/A,#N/A,FALSE,"Plan2"}</definedName>
    <definedName name="NNXFT" localSheetId="35" hidden="1">{#N/A,#N/A,FALSE,"Plan1";#N/A,#N/A,FALSE,"Plan2"}</definedName>
    <definedName name="NNXFT" hidden="1">{#N/A,#N/A,FALSE,"Plan1";#N/A,#N/A,FALSE,"Plan2"}</definedName>
    <definedName name="no" localSheetId="12">#REF!</definedName>
    <definedName name="no" localSheetId="30">#REF!</definedName>
    <definedName name="no" localSheetId="28">#REF!</definedName>
    <definedName name="no" localSheetId="27">#REF!</definedName>
    <definedName name="no" localSheetId="21">#REF!</definedName>
    <definedName name="no" localSheetId="18">#REF!</definedName>
    <definedName name="no" localSheetId="7">#REF!</definedName>
    <definedName name="no" localSheetId="23">#REF!</definedName>
    <definedName name="no">#REF!</definedName>
    <definedName name="NOME" localSheetId="12">#REF!</definedName>
    <definedName name="NOME" localSheetId="30">#REF!</definedName>
    <definedName name="NOME" localSheetId="28">#REF!</definedName>
    <definedName name="NOME" localSheetId="27">#REF!</definedName>
    <definedName name="NOME" localSheetId="18">#REF!</definedName>
    <definedName name="NOME" localSheetId="7">#REF!</definedName>
    <definedName name="NOME" localSheetId="23">#REF!</definedName>
    <definedName name="NOME">#REF!</definedName>
    <definedName name="nome2" localSheetId="12">#REF!</definedName>
    <definedName name="nome2" localSheetId="30">#REF!</definedName>
    <definedName name="nome2" localSheetId="28">#REF!</definedName>
    <definedName name="nome2" localSheetId="27">#REF!</definedName>
    <definedName name="nome2" localSheetId="18">#REF!</definedName>
    <definedName name="nome2" localSheetId="7">#REF!</definedName>
    <definedName name="nome2" localSheetId="23">#REF!</definedName>
    <definedName name="nome2">#REF!</definedName>
    <definedName name="NOMEITEM" localSheetId="12">#REF!</definedName>
    <definedName name="NOMEITEM" localSheetId="30">#REF!</definedName>
    <definedName name="NOMEITEM" localSheetId="28">#REF!</definedName>
    <definedName name="NOMEITEM" localSheetId="27">#REF!</definedName>
    <definedName name="NOMEITEM" localSheetId="18">#REF!</definedName>
    <definedName name="NOMEITEM" localSheetId="7">#REF!</definedName>
    <definedName name="NOMEITEM" localSheetId="23">#REF!</definedName>
    <definedName name="NOMEITEM">#REF!</definedName>
    <definedName name="NOMEOBRA" localSheetId="12">#REF!</definedName>
    <definedName name="NOMEOBRA" localSheetId="30">#REF!</definedName>
    <definedName name="NOMEOBRA" localSheetId="28">#REF!</definedName>
    <definedName name="NOMEOBRA" localSheetId="27">#REF!</definedName>
    <definedName name="NOMEOBRA" localSheetId="18">#REF!</definedName>
    <definedName name="NOMEOBRA" localSheetId="7">#REF!</definedName>
    <definedName name="NOMEOBRA" localSheetId="23">#REF!</definedName>
    <definedName name="NOMEOBRA">#REF!</definedName>
    <definedName name="nov17RJ" localSheetId="12">#REF!</definedName>
    <definedName name="nov17RJ" localSheetId="30">#REF!</definedName>
    <definedName name="nov17RJ" localSheetId="28">#REF!</definedName>
    <definedName name="nov17RJ" localSheetId="27">#REF!</definedName>
    <definedName name="nov17RJ" localSheetId="18">#REF!</definedName>
    <definedName name="nov17RJ" localSheetId="7">#REF!</definedName>
    <definedName name="nov17RJ" localSheetId="23">#REF!</definedName>
    <definedName name="nov17RJ">#REF!</definedName>
    <definedName name="NOVE" localSheetId="12">#REF!</definedName>
    <definedName name="NOVE" localSheetId="30">#REF!</definedName>
    <definedName name="NOVE" localSheetId="28">#REF!</definedName>
    <definedName name="NOVE" localSheetId="27">#REF!</definedName>
    <definedName name="NOVE" localSheetId="21">#REF!</definedName>
    <definedName name="NOVE" localSheetId="18">#REF!</definedName>
    <definedName name="NOVE" localSheetId="7">#REF!</definedName>
    <definedName name="NOVE" localSheetId="23">#REF!</definedName>
    <definedName name="NOVE">#REF!</definedName>
    <definedName name="NOVEMBRO" localSheetId="12">#REF!</definedName>
    <definedName name="NOVEMBRO" localSheetId="30">#REF!</definedName>
    <definedName name="NOVEMBRO" localSheetId="28">#REF!</definedName>
    <definedName name="NOVEMBRO" localSheetId="27">#REF!</definedName>
    <definedName name="NOVEMBRO" localSheetId="18">#REF!</definedName>
    <definedName name="NOVEMBRO" localSheetId="7">#REF!</definedName>
    <definedName name="NOVEMBRO" localSheetId="23">#REF!</definedName>
    <definedName name="NOVEMBRO">#REF!</definedName>
    <definedName name="nsdkfndgfdnatf" localSheetId="3" hidden="1">{#N/A,#N/A,FALSE,"Plan1";#N/A,#N/A,FALSE,"Plan2"}</definedName>
    <definedName name="nsdkfndgfdnatf" localSheetId="33" hidden="1">{#N/A,#N/A,FALSE,"Plan1";#N/A,#N/A,FALSE,"Plan2"}</definedName>
    <definedName name="nsdkfndgfdnatf" localSheetId="35" hidden="1">{#N/A,#N/A,FALSE,"Plan1";#N/A,#N/A,FALSE,"Plan2"}</definedName>
    <definedName name="nsdkfndgfdnatf" hidden="1">{#N/A,#N/A,FALSE,"Plan1";#N/A,#N/A,FALSE,"Plan2"}</definedName>
    <definedName name="nsfljdiljrf" localSheetId="3" hidden="1">{#N/A,#N/A,FALSE,"Plan1";#N/A,#N/A,FALSE,"Plan2"}</definedName>
    <definedName name="nsfljdiljrf" localSheetId="33" hidden="1">{#N/A,#N/A,FALSE,"Plan1";#N/A,#N/A,FALSE,"Plan2"}</definedName>
    <definedName name="nsfljdiljrf" localSheetId="35" hidden="1">{#N/A,#N/A,FALSE,"Plan1";#N/A,#N/A,FALSE,"Plan2"}</definedName>
    <definedName name="nsfljdiljrf" hidden="1">{#N/A,#N/A,FALSE,"Plan1";#N/A,#N/A,FALSE,"Plan2"}</definedName>
    <definedName name="NUCOPIAS" localSheetId="12">#REF!</definedName>
    <definedName name="NUCOPIAS" localSheetId="30">#REF!</definedName>
    <definedName name="NUCOPIAS" localSheetId="28">#REF!</definedName>
    <definedName name="NUCOPIAS" localSheetId="27">#REF!</definedName>
    <definedName name="NUCOPIAS" localSheetId="18">#REF!</definedName>
    <definedName name="NUCOPIAS" localSheetId="7">#REF!</definedName>
    <definedName name="NUCOPIAS" localSheetId="23">#REF!</definedName>
    <definedName name="NUCOPIAS">#REF!</definedName>
    <definedName name="NUMOBRA" localSheetId="12">#REF!</definedName>
    <definedName name="NUMOBRA" localSheetId="30">#REF!</definedName>
    <definedName name="NUMOBRA" localSheetId="28">#REF!</definedName>
    <definedName name="NUMOBRA" localSheetId="27">#REF!</definedName>
    <definedName name="NUMOBRA" localSheetId="18">#REF!</definedName>
    <definedName name="NUMOBRA" localSheetId="7">#REF!</definedName>
    <definedName name="NUMOBRA" localSheetId="23">#REF!</definedName>
    <definedName name="NUMOBRA">#REF!</definedName>
    <definedName name="NutN" localSheetId="12">#REF!</definedName>
    <definedName name="NutN" localSheetId="30">#REF!</definedName>
    <definedName name="NutN" localSheetId="28">#REF!</definedName>
    <definedName name="NutN" localSheetId="27">#REF!</definedName>
    <definedName name="NutN" localSheetId="18">#REF!</definedName>
    <definedName name="NutN" localSheetId="7">#REF!</definedName>
    <definedName name="NutN" localSheetId="23">#REF!</definedName>
    <definedName name="NutN">#REF!</definedName>
    <definedName name="nzxcnnjkd" localSheetId="3" hidden="1">{#N/A,#N/A,FALSE,"Plan1";#N/A,#N/A,FALSE,"Plan2"}</definedName>
    <definedName name="nzxcnnjkd" localSheetId="33" hidden="1">{#N/A,#N/A,FALSE,"Plan1";#N/A,#N/A,FALSE,"Plan2"}</definedName>
    <definedName name="nzxcnnjkd" localSheetId="35" hidden="1">{#N/A,#N/A,FALSE,"Plan1";#N/A,#N/A,FALSE,"Plan2"}</definedName>
    <definedName name="nzxcnnjkd" hidden="1">{#N/A,#N/A,FALSE,"Plan1";#N/A,#N/A,FALSE,"Plan2"}</definedName>
    <definedName name="OAE" localSheetId="3">#REF!</definedName>
    <definedName name="OAE" localSheetId="12">#REF!</definedName>
    <definedName name="OAE" localSheetId="30">#REF!</definedName>
    <definedName name="OAE" localSheetId="28">#REF!</definedName>
    <definedName name="OAE" localSheetId="27">#REF!</definedName>
    <definedName name="OAE" localSheetId="18">#REF!</definedName>
    <definedName name="OAE" localSheetId="7">#REF!</definedName>
    <definedName name="OAE" localSheetId="23">#REF!</definedName>
    <definedName name="OAE">#REF!</definedName>
    <definedName name="OBRA" localSheetId="12">#REF!</definedName>
    <definedName name="OBRA" localSheetId="30">#REF!</definedName>
    <definedName name="OBRA" localSheetId="28">#REF!</definedName>
    <definedName name="OBRA" localSheetId="27">#REF!</definedName>
    <definedName name="OBRA" localSheetId="18">#REF!</definedName>
    <definedName name="OBRA" localSheetId="7">#REF!</definedName>
    <definedName name="OBRA" localSheetId="23">#REF!</definedName>
    <definedName name="OBRA">#REF!</definedName>
    <definedName name="Obra_Fin_Medição" localSheetId="12">#REF!</definedName>
    <definedName name="Obra_Fin_Medição" localSheetId="30">#REF!</definedName>
    <definedName name="Obra_Fin_Medição" localSheetId="28">#REF!</definedName>
    <definedName name="Obra_Fin_Medição" localSheetId="27">#REF!</definedName>
    <definedName name="Obra_Fin_Medição" localSheetId="18">#REF!</definedName>
    <definedName name="Obra_Fin_Medição" localSheetId="7">#REF!</definedName>
    <definedName name="Obra_Fin_Medição" localSheetId="23">#REF!</definedName>
    <definedName name="Obra_Fin_Medição">#REF!</definedName>
    <definedName name="OBRA_PROJETADO" localSheetId="12">#REF!</definedName>
    <definedName name="OBRA_PROJETADO" localSheetId="30">#REF!</definedName>
    <definedName name="OBRA_PROJETADO" localSheetId="28">#REF!</definedName>
    <definedName name="OBRA_PROJETADO" localSheetId="27">#REF!</definedName>
    <definedName name="OBRA_PROJETADO" localSheetId="18">#REF!</definedName>
    <definedName name="OBRA_PROJETADO" localSheetId="7">#REF!</definedName>
    <definedName name="OBRA_PROJETADO" localSheetId="23">#REF!</definedName>
    <definedName name="OBRA_PROJETADO">#REF!</definedName>
    <definedName name="Obra_Rel_Controladoria" localSheetId="12">#REF!</definedName>
    <definedName name="Obra_Rel_Controladoria" localSheetId="30">#REF!</definedName>
    <definedName name="Obra_Rel_Controladoria" localSheetId="28">#REF!</definedName>
    <definedName name="Obra_Rel_Controladoria" localSheetId="27">#REF!</definedName>
    <definedName name="Obra_Rel_Controladoria" localSheetId="18">#REF!</definedName>
    <definedName name="Obra_Rel_Controladoria" localSheetId="7">#REF!</definedName>
    <definedName name="Obra_Rel_Controladoria" localSheetId="23">#REF!</definedName>
    <definedName name="Obra_Rel_Controladoria">#REF!</definedName>
    <definedName name="Obra_Sienge" localSheetId="12">#REF!</definedName>
    <definedName name="Obra_Sienge" localSheetId="30">#REF!</definedName>
    <definedName name="Obra_Sienge" localSheetId="28">#REF!</definedName>
    <definedName name="Obra_Sienge" localSheetId="27">#REF!</definedName>
    <definedName name="Obra_Sienge" localSheetId="18">#REF!</definedName>
    <definedName name="Obra_Sienge" localSheetId="7">#REF!</definedName>
    <definedName name="Obra_Sienge" localSheetId="23">#REF!</definedName>
    <definedName name="Obra_Sienge">#REF!</definedName>
    <definedName name="Obra2_Fin_Medição" localSheetId="12">#REF!</definedName>
    <definedName name="Obra2_Fin_Medição" localSheetId="30">#REF!</definedName>
    <definedName name="Obra2_Fin_Medição" localSheetId="28">#REF!</definedName>
    <definedName name="Obra2_Fin_Medição" localSheetId="27">#REF!</definedName>
    <definedName name="Obra2_Fin_Medição" localSheetId="18">#REF!</definedName>
    <definedName name="Obra2_Fin_Medição" localSheetId="7">#REF!</definedName>
    <definedName name="Obra2_Fin_Medição" localSheetId="23">#REF!</definedName>
    <definedName name="Obra2_Fin_Medição">#REF!</definedName>
    <definedName name="OBRALOC" localSheetId="12">#REF!</definedName>
    <definedName name="OBRALOC" localSheetId="30">#REF!</definedName>
    <definedName name="OBRALOC" localSheetId="28">#REF!</definedName>
    <definedName name="OBRALOC" localSheetId="27">#REF!</definedName>
    <definedName name="OBRALOC" localSheetId="18">#REF!</definedName>
    <definedName name="OBRALOC" localSheetId="7">#REF!</definedName>
    <definedName name="OBRALOC" localSheetId="23">#REF!</definedName>
    <definedName name="OBRALOC">#REF!</definedName>
    <definedName name="OBRAS" localSheetId="12">#REF!</definedName>
    <definedName name="OBRAS" localSheetId="30">#REF!</definedName>
    <definedName name="OBRAS" localSheetId="28">#REF!</definedName>
    <definedName name="OBRAS" localSheetId="27">#REF!</definedName>
    <definedName name="OBRAS" localSheetId="18">#REF!</definedName>
    <definedName name="OBRAS" localSheetId="7">#REF!</definedName>
    <definedName name="OBRAS" localSheetId="23">#REF!</definedName>
    <definedName name="OBRAS">#REF!</definedName>
    <definedName name="Obras_Apoio_Rel_Controladoria" localSheetId="12">#REF!</definedName>
    <definedName name="Obras_Apoio_Rel_Controladoria" localSheetId="30">#REF!</definedName>
    <definedName name="Obras_Apoio_Rel_Controladoria" localSheetId="28">#REF!</definedName>
    <definedName name="Obras_Apoio_Rel_Controladoria" localSheetId="27">#REF!</definedName>
    <definedName name="Obras_Apoio_Rel_Controladoria" localSheetId="18">#REF!</definedName>
    <definedName name="Obras_Apoio_Rel_Controladoria" localSheetId="7">#REF!</definedName>
    <definedName name="Obras_Apoio_Rel_Controladoria" localSheetId="23">#REF!</definedName>
    <definedName name="Obras_Apoio_Rel_Controladoria">#REF!</definedName>
    <definedName name="OBRAS_REALIZADO" localSheetId="12">#REF!</definedName>
    <definedName name="OBRAS_REALIZADO" localSheetId="30">#REF!</definedName>
    <definedName name="OBRAS_REALIZADO" localSheetId="28">#REF!</definedName>
    <definedName name="OBRAS_REALIZADO" localSheetId="27">#REF!</definedName>
    <definedName name="OBRAS_REALIZADO" localSheetId="18">#REF!</definedName>
    <definedName name="OBRAS_REALIZADO" localSheetId="7">#REF!</definedName>
    <definedName name="OBRAS_REALIZADO" localSheetId="23">#REF!</definedName>
    <definedName name="OBRAS_REALIZADO">#REF!</definedName>
    <definedName name="OBRASEL" localSheetId="12">#REF!</definedName>
    <definedName name="OBRASEL" localSheetId="30">#REF!</definedName>
    <definedName name="OBRASEL" localSheetId="28">#REF!</definedName>
    <definedName name="OBRASEL" localSheetId="27">#REF!</definedName>
    <definedName name="OBRASEL" localSheetId="18">#REF!</definedName>
    <definedName name="OBRASEL" localSheetId="7">#REF!</definedName>
    <definedName name="OBRASEL" localSheetId="23">#REF!</definedName>
    <definedName name="OBRASEL">#REF!</definedName>
    <definedName name="odflgj" hidden="1">25</definedName>
    <definedName name="odfuudor" localSheetId="3" hidden="1">{#N/A,#N/A,FALSE,"Plan1";#N/A,#N/A,FALSE,"Plan2"}</definedName>
    <definedName name="odfuudor" localSheetId="33" hidden="1">{#N/A,#N/A,FALSE,"Plan1";#N/A,#N/A,FALSE,"Plan2"}</definedName>
    <definedName name="odfuudor" localSheetId="35" hidden="1">{#N/A,#N/A,FALSE,"Plan1";#N/A,#N/A,FALSE,"Plan2"}</definedName>
    <definedName name="odfuudor" hidden="1">{#N/A,#N/A,FALSE,"Plan1";#N/A,#N/A,FALSE,"Plan2"}</definedName>
    <definedName name="ODH" localSheetId="12" hidden="1">#REF!</definedName>
    <definedName name="ODH" localSheetId="30" hidden="1">#REF!</definedName>
    <definedName name="ODH" localSheetId="28" hidden="1">#REF!</definedName>
    <definedName name="ODH" localSheetId="27" hidden="1">#REF!</definedName>
    <definedName name="ODH" localSheetId="18" hidden="1">#REF!</definedName>
    <definedName name="ODH" localSheetId="7" hidden="1">#REF!</definedName>
    <definedName name="ODH" localSheetId="23" hidden="1">#REF!</definedName>
    <definedName name="ODH" hidden="1">#REF!</definedName>
    <definedName name="oficial_mes" localSheetId="12">#REF!</definedName>
    <definedName name="oficial_mes" localSheetId="30">#REF!</definedName>
    <definedName name="oficial_mes" localSheetId="28">#REF!</definedName>
    <definedName name="oficial_mes" localSheetId="27">#REF!</definedName>
    <definedName name="oficial_mes" localSheetId="18">#REF!</definedName>
    <definedName name="oficial_mes" localSheetId="7">#REF!</definedName>
    <definedName name="oficial_mes" localSheetId="23">#REF!</definedName>
    <definedName name="oficial_mes">#REF!</definedName>
    <definedName name="oficial2_mes" localSheetId="12">#REF!</definedName>
    <definedName name="oficial2_mes" localSheetId="30">#REF!</definedName>
    <definedName name="oficial2_mes" localSheetId="28">#REF!</definedName>
    <definedName name="oficial2_mes" localSheetId="27">#REF!</definedName>
    <definedName name="oficial2_mes" localSheetId="18">#REF!</definedName>
    <definedName name="oficial2_mes" localSheetId="7">#REF!</definedName>
    <definedName name="oficial2_mes" localSheetId="23">#REF!</definedName>
    <definedName name="oficial2_mes">#REF!</definedName>
    <definedName name="oiditrot" localSheetId="3" hidden="1">{#N/A,#N/A,FALSE,"Plan1";#N/A,#N/A,FALSE,"Plan2"}</definedName>
    <definedName name="oiditrot" localSheetId="33" hidden="1">{#N/A,#N/A,FALSE,"Plan1";#N/A,#N/A,FALSE,"Plan2"}</definedName>
    <definedName name="oiditrot" localSheetId="35" hidden="1">{#N/A,#N/A,FALSE,"Plan1";#N/A,#N/A,FALSE,"Plan2"}</definedName>
    <definedName name="oiditrot" hidden="1">{#N/A,#N/A,FALSE,"Plan1";#N/A,#N/A,FALSE,"Plan2"}</definedName>
    <definedName name="oio" localSheetId="3" hidden="1">{#N/A,#N/A,FALSE,"Plan1";#N/A,#N/A,FALSE,"Plan2"}</definedName>
    <definedName name="oio" localSheetId="33" hidden="1">{#N/A,#N/A,FALSE,"Plan1";#N/A,#N/A,FALSE,"Plan2"}</definedName>
    <definedName name="oio" localSheetId="35" hidden="1">{#N/A,#N/A,FALSE,"Plan1";#N/A,#N/A,FALSE,"Plan2"}</definedName>
    <definedName name="oio" hidden="1">{#N/A,#N/A,FALSE,"Plan1";#N/A,#N/A,FALSE,"Plan2"}</definedName>
    <definedName name="OITO" localSheetId="12">#REF!</definedName>
    <definedName name="OITO" localSheetId="30">#REF!</definedName>
    <definedName name="OITO" localSheetId="28">#REF!</definedName>
    <definedName name="OITO" localSheetId="27">#REF!</definedName>
    <definedName name="OITO" localSheetId="21">#REF!</definedName>
    <definedName name="OITO" localSheetId="18">#REF!</definedName>
    <definedName name="OITO" localSheetId="7">#REF!</definedName>
    <definedName name="OITO" localSheetId="23">#REF!</definedName>
    <definedName name="OITO">#REF!</definedName>
    <definedName name="oiufioorif" localSheetId="12" hidden="1">#REF!</definedName>
    <definedName name="oiufioorif" localSheetId="30" hidden="1">#REF!</definedName>
    <definedName name="oiufioorif" localSheetId="28" hidden="1">#REF!</definedName>
    <definedName name="oiufioorif" localSheetId="27" hidden="1">#REF!</definedName>
    <definedName name="oiufioorif" localSheetId="18" hidden="1">#REF!</definedName>
    <definedName name="oiufioorif" localSheetId="7" hidden="1">#REF!</definedName>
    <definedName name="oiufioorif" localSheetId="23" hidden="1">#REF!</definedName>
    <definedName name="oiufioorif" hidden="1">#REF!</definedName>
    <definedName name="OJÇLJ" localSheetId="3" hidden="1">{#N/A,#N/A,FALSE,"Plan1";#N/A,#N/A,FALSE,"Plan2"}</definedName>
    <definedName name="OJÇLJ" localSheetId="33" hidden="1">{#N/A,#N/A,FALSE,"Plan1";#N/A,#N/A,FALSE,"Plan2"}</definedName>
    <definedName name="OJÇLJ" localSheetId="35" hidden="1">{#N/A,#N/A,FALSE,"Plan1";#N/A,#N/A,FALSE,"Plan2"}</definedName>
    <definedName name="OJÇLJ" hidden="1">{#N/A,#N/A,FALSE,"Plan1";#N/A,#N/A,FALSE,"Plan2"}</definedName>
    <definedName name="ojkdfit" localSheetId="3" hidden="1">{#N/A,#N/A,FALSE,"Plan1";#N/A,#N/A,FALSE,"Plan2"}</definedName>
    <definedName name="ojkdfit" localSheetId="33" hidden="1">{#N/A,#N/A,FALSE,"Plan1";#N/A,#N/A,FALSE,"Plan2"}</definedName>
    <definedName name="ojkdfit" localSheetId="35" hidden="1">{#N/A,#N/A,FALSE,"Plan1";#N/A,#N/A,FALSE,"Plan2"}</definedName>
    <definedName name="ojkdfit" hidden="1">{#N/A,#N/A,FALSE,"Plan1";#N/A,#N/A,FALSE,"Plan2"}</definedName>
    <definedName name="oMISSOS" localSheetId="12" hidden="1">#REF!</definedName>
    <definedName name="oMISSOS" localSheetId="30" hidden="1">#REF!</definedName>
    <definedName name="oMISSOS" localSheetId="28" hidden="1">#REF!</definedName>
    <definedName name="oMISSOS" localSheetId="27" hidden="1">#REF!</definedName>
    <definedName name="oMISSOS" localSheetId="18" hidden="1">#REF!</definedName>
    <definedName name="oMISSOS" localSheetId="7" hidden="1">#REF!</definedName>
    <definedName name="oMISSOS" localSheetId="23" hidden="1">#REF!</definedName>
    <definedName name="oMISSOS" hidden="1">#REF!</definedName>
    <definedName name="ONZE" localSheetId="12">#REF!</definedName>
    <definedName name="ONZE" localSheetId="30">#REF!</definedName>
    <definedName name="ONZE" localSheetId="28">#REF!</definedName>
    <definedName name="ONZE" localSheetId="27">#REF!</definedName>
    <definedName name="ONZE" localSheetId="21">#REF!</definedName>
    <definedName name="ONZE" localSheetId="18">#REF!</definedName>
    <definedName name="ONZE" localSheetId="7">#REF!</definedName>
    <definedName name="ONZE" localSheetId="23">#REF!</definedName>
    <definedName name="ONZE">#REF!</definedName>
    <definedName name="ooo" localSheetId="3" hidden="1">{#N/A,#N/A,FALSE,"Plan1";#N/A,#N/A,FALSE,"Plan2"}</definedName>
    <definedName name="ooo" localSheetId="33" hidden="1">{#N/A,#N/A,FALSE,"Plan1";#N/A,#N/A,FALSE,"Plan2"}</definedName>
    <definedName name="ooo" localSheetId="35" hidden="1">{#N/A,#N/A,FALSE,"Plan1";#N/A,#N/A,FALSE,"Plan2"}</definedName>
    <definedName name="ooo" hidden="1">{#N/A,#N/A,FALSE,"Plan1";#N/A,#N/A,FALSE,"Plan2"}</definedName>
    <definedName name="OPASEDWED" localSheetId="3" hidden="1">{"Econ Consolidado",#N/A,FALSE,"Econ Consol";"Fluxo de Caixa",#N/A,FALSE,"Fluxo Caixa";"Investimentos",#N/A,FALSE,"Investimentos"}</definedName>
    <definedName name="OPASEDWED" localSheetId="33" hidden="1">{"Econ Consolidado",#N/A,FALSE,"Econ Consol";"Fluxo de Caixa",#N/A,FALSE,"Fluxo Caixa";"Investimentos",#N/A,FALSE,"Investimentos"}</definedName>
    <definedName name="OPASEDWED" localSheetId="35" hidden="1">{"Econ Consolidado",#N/A,FALSE,"Econ Consol";"Fluxo de Caixa",#N/A,FALSE,"Fluxo Caixa";"Investimentos",#N/A,FALSE,"Investimentos"}</definedName>
    <definedName name="OPASEDWED" hidden="1">{"Econ Consolidado",#N/A,FALSE,"Econ Consol";"Fluxo de Caixa",#N/A,FALSE,"Fluxo Caixa";"Investimentos",#N/A,FALSE,"Investimentos"}</definedName>
    <definedName name="opcao_taxa_desconto" localSheetId="12">#REF!</definedName>
    <definedName name="opcao_taxa_desconto" localSheetId="30">#REF!</definedName>
    <definedName name="opcao_taxa_desconto" localSheetId="28">#REF!</definedName>
    <definedName name="opcao_taxa_desconto" localSheetId="27">#REF!</definedName>
    <definedName name="opcao_taxa_desconto" localSheetId="18">#REF!</definedName>
    <definedName name="opcao_taxa_desconto" localSheetId="7">#REF!</definedName>
    <definedName name="opcao_taxa_desconto" localSheetId="23">#REF!</definedName>
    <definedName name="opcao_taxa_desconto">#REF!</definedName>
    <definedName name="opções" localSheetId="12">#REF!</definedName>
    <definedName name="opções" localSheetId="30">#REF!</definedName>
    <definedName name="opções" localSheetId="28">#REF!</definedName>
    <definedName name="opções" localSheetId="27">#REF!</definedName>
    <definedName name="opções" localSheetId="18">#REF!</definedName>
    <definedName name="opções" localSheetId="7">#REF!</definedName>
    <definedName name="opções" localSheetId="23">#REF!</definedName>
    <definedName name="opções">#REF!</definedName>
    <definedName name="opiwre" localSheetId="3" hidden="1">{#N/A,#N/A,FALSE,"Plan1";#N/A,#N/A,FALSE,"Plan2"}</definedName>
    <definedName name="opiwre" localSheetId="33" hidden="1">{#N/A,#N/A,FALSE,"Plan1";#N/A,#N/A,FALSE,"Plan2"}</definedName>
    <definedName name="opiwre" localSheetId="35" hidden="1">{#N/A,#N/A,FALSE,"Plan1";#N/A,#N/A,FALSE,"Plan2"}</definedName>
    <definedName name="opiwre" hidden="1">{#N/A,#N/A,FALSE,"Plan1";#N/A,#N/A,FALSE,"Plan2"}</definedName>
    <definedName name="ORCAMEN" localSheetId="12">#REF!</definedName>
    <definedName name="ORCAMEN" localSheetId="30">#REF!</definedName>
    <definedName name="ORCAMEN" localSheetId="28">#REF!</definedName>
    <definedName name="ORCAMEN" localSheetId="27">#REF!</definedName>
    <definedName name="ORCAMEN" localSheetId="18">#REF!</definedName>
    <definedName name="ORCAMEN" localSheetId="7">#REF!</definedName>
    <definedName name="ORCAMEN" localSheetId="23">#REF!</definedName>
    <definedName name="ORCAMEN">#REF!</definedName>
    <definedName name="Orcamentistas" localSheetId="12">#REF!</definedName>
    <definedName name="Orcamentistas" localSheetId="30">#REF!</definedName>
    <definedName name="Orcamentistas" localSheetId="28">#REF!</definedName>
    <definedName name="Orcamentistas" localSheetId="27">#REF!</definedName>
    <definedName name="Orcamentistas" localSheetId="18">#REF!</definedName>
    <definedName name="Orcamentistas" localSheetId="7">#REF!</definedName>
    <definedName name="Orcamentistas" localSheetId="23">#REF!</definedName>
    <definedName name="Orcamentistas">#REF!</definedName>
    <definedName name="origem_recebiveis" localSheetId="12">#REF!</definedName>
    <definedName name="origem_recebiveis" localSheetId="30">#REF!</definedName>
    <definedName name="origem_recebiveis" localSheetId="28">#REF!</definedName>
    <definedName name="origem_recebiveis" localSheetId="27">#REF!</definedName>
    <definedName name="origem_recebiveis" localSheetId="18">#REF!</definedName>
    <definedName name="origem_recebiveis" localSheetId="7">#REF!</definedName>
    <definedName name="origem_recebiveis" localSheetId="23">#REF!</definedName>
    <definedName name="origem_recebiveis">#REF!</definedName>
    <definedName name="origem_unidades" localSheetId="12">#REF!</definedName>
    <definedName name="origem_unidades" localSheetId="30">#REF!</definedName>
    <definedName name="origem_unidades" localSheetId="28">#REF!</definedName>
    <definedName name="origem_unidades" localSheetId="27">#REF!</definedName>
    <definedName name="origem_unidades" localSheetId="18">#REF!</definedName>
    <definedName name="origem_unidades" localSheetId="7">#REF!</definedName>
    <definedName name="origem_unidades" localSheetId="23">#REF!</definedName>
    <definedName name="origem_unidades">#REF!</definedName>
    <definedName name="Origem2_Recebimento_Fin_Medições" localSheetId="12">#REF!</definedName>
    <definedName name="Origem2_Recebimento_Fin_Medições" localSheetId="30">#REF!</definedName>
    <definedName name="Origem2_Recebimento_Fin_Medições" localSheetId="28">#REF!</definedName>
    <definedName name="Origem2_Recebimento_Fin_Medições" localSheetId="27">#REF!</definedName>
    <definedName name="Origem2_Recebimento_Fin_Medições" localSheetId="18">#REF!</definedName>
    <definedName name="Origem2_Recebimento_Fin_Medições" localSheetId="7">#REF!</definedName>
    <definedName name="Origem2_Recebimento_Fin_Medições" localSheetId="23">#REF!</definedName>
    <definedName name="Origem2_Recebimento_Fin_Medições">#REF!</definedName>
    <definedName name="os" localSheetId="33" hidden="1">{#N/A,#N/A,FALSE,"TABLE"}</definedName>
    <definedName name="os" localSheetId="35" hidden="1">{#N/A,#N/A,FALSE,"TABLE"}</definedName>
    <definedName name="os" hidden="1">{#N/A,#N/A,FALSE,"TABLE"}</definedName>
    <definedName name="osca_cdi" localSheetId="12">#REF!</definedName>
    <definedName name="osca_cdi" localSheetId="30">#REF!</definedName>
    <definedName name="osca_cdi" localSheetId="28">#REF!</definedName>
    <definedName name="osca_cdi" localSheetId="27">#REF!</definedName>
    <definedName name="osca_cdi" localSheetId="18">#REF!</definedName>
    <definedName name="osca_cdi" localSheetId="7">#REF!</definedName>
    <definedName name="osca_cdi" localSheetId="23">#REF!</definedName>
    <definedName name="osca_cdi">#REF!</definedName>
    <definedName name="osca_hist" localSheetId="12">#REF!</definedName>
    <definedName name="osca_hist" localSheetId="30">#REF!</definedName>
    <definedName name="osca_hist" localSheetId="28">#REF!</definedName>
    <definedName name="osca_hist" localSheetId="27">#REF!</definedName>
    <definedName name="osca_hist" localSheetId="18">#REF!</definedName>
    <definedName name="osca_hist" localSheetId="7">#REF!</definedName>
    <definedName name="osca_hist" localSheetId="23">#REF!</definedName>
    <definedName name="osca_hist">#REF!</definedName>
    <definedName name="osca_uss" localSheetId="12">#REF!</definedName>
    <definedName name="osca_uss" localSheetId="30">#REF!</definedName>
    <definedName name="osca_uss" localSheetId="28">#REF!</definedName>
    <definedName name="osca_uss" localSheetId="27">#REF!</definedName>
    <definedName name="osca_uss" localSheetId="18">#REF!</definedName>
    <definedName name="osca_uss" localSheetId="7">#REF!</definedName>
    <definedName name="osca_uss" localSheetId="23">#REF!</definedName>
    <definedName name="osca_uss">#REF!</definedName>
    <definedName name="otodgkrjglsrd" localSheetId="3" hidden="1">{#N/A,#N/A,FALSE,"Plan1";#N/A,#N/A,FALSE,"Plan2"}</definedName>
    <definedName name="otodgkrjglsrd" localSheetId="33" hidden="1">{#N/A,#N/A,FALSE,"Plan1";#N/A,#N/A,FALSE,"Plan2"}</definedName>
    <definedName name="otodgkrjglsrd" localSheetId="35" hidden="1">{#N/A,#N/A,FALSE,"Plan1";#N/A,#N/A,FALSE,"Plan2"}</definedName>
    <definedName name="otodgkrjglsrd" hidden="1">{#N/A,#N/A,FALSE,"Plan1";#N/A,#N/A,FALSE,"Plan2"}</definedName>
    <definedName name="OUERWRSR" localSheetId="3" hidden="1">{#N/A,#N/A,FALSE,"Plan1";#N/A,#N/A,FALSE,"Plan2"}</definedName>
    <definedName name="OUERWRSR" localSheetId="33" hidden="1">{#N/A,#N/A,FALSE,"Plan1";#N/A,#N/A,FALSE,"Plan2"}</definedName>
    <definedName name="OUERWRSR" localSheetId="35" hidden="1">{#N/A,#N/A,FALSE,"Plan1";#N/A,#N/A,FALSE,"Plan2"}</definedName>
    <definedName name="OUERWRSR" hidden="1">{#N/A,#N/A,FALSE,"Plan1";#N/A,#N/A,FALSE,"Plan2"}</definedName>
    <definedName name="out17RJ" localSheetId="12">#REF!</definedName>
    <definedName name="out17RJ" localSheetId="30">#REF!</definedName>
    <definedName name="out17RJ" localSheetId="28">#REF!</definedName>
    <definedName name="out17RJ" localSheetId="27">#REF!</definedName>
    <definedName name="out17RJ" localSheetId="18">#REF!</definedName>
    <definedName name="out17RJ" localSheetId="7">#REF!</definedName>
    <definedName name="out17RJ" localSheetId="23">#REF!</definedName>
    <definedName name="out17RJ">#REF!</definedName>
    <definedName name="outro" localSheetId="3" hidden="1">#REF!</definedName>
    <definedName name="outro" localSheetId="12" hidden="1">#REF!</definedName>
    <definedName name="outro" localSheetId="30" hidden="1">#REF!</definedName>
    <definedName name="outro" localSheetId="28" hidden="1">#REF!</definedName>
    <definedName name="outro" localSheetId="27" hidden="1">#REF!</definedName>
    <definedName name="outro" localSheetId="18" hidden="1">#REF!</definedName>
    <definedName name="outro" localSheetId="7" hidden="1">#REF!</definedName>
    <definedName name="outro" localSheetId="23" hidden="1">#REF!</definedName>
    <definedName name="outro" hidden="1">#REF!</definedName>
    <definedName name="OUTROS" localSheetId="12">#REF!</definedName>
    <definedName name="OUTROS" localSheetId="30">#REF!</definedName>
    <definedName name="OUTROS" localSheetId="28">#REF!</definedName>
    <definedName name="OUTROS" localSheetId="27">#REF!</definedName>
    <definedName name="OUTROS" localSheetId="18">#REF!</definedName>
    <definedName name="OUTROS" localSheetId="7">#REF!</definedName>
    <definedName name="OUTROS" localSheetId="23">#REF!</definedName>
    <definedName name="OUTROS">#REF!</definedName>
    <definedName name="OUTROS_CCUSTO" localSheetId="12">#REF!</definedName>
    <definedName name="OUTROS_CCUSTO" localSheetId="30">#REF!</definedName>
    <definedName name="OUTROS_CCUSTO" localSheetId="28">#REF!</definedName>
    <definedName name="OUTROS_CCUSTO" localSheetId="27">#REF!</definedName>
    <definedName name="OUTROS_CCUSTO" localSheetId="18">#REF!</definedName>
    <definedName name="OUTROS_CCUSTO" localSheetId="7">#REF!</definedName>
    <definedName name="OUTROS_CCUSTO" localSheetId="23">#REF!</definedName>
    <definedName name="OUTROS_CCUSTO">#REF!</definedName>
    <definedName name="Outros_Pisos" localSheetId="12">#REF!</definedName>
    <definedName name="Outros_Pisos" localSheetId="30">#REF!</definedName>
    <definedName name="Outros_Pisos" localSheetId="28">#REF!</definedName>
    <definedName name="Outros_Pisos" localSheetId="27">#REF!</definedName>
    <definedName name="Outros_Pisos" localSheetId="18">#REF!</definedName>
    <definedName name="Outros_Pisos" localSheetId="7">#REF!</definedName>
    <definedName name="Outros_Pisos" localSheetId="23">#REF!</definedName>
    <definedName name="Outros_Pisos">#REF!</definedName>
    <definedName name="Outros1" localSheetId="12">#REF!</definedName>
    <definedName name="Outros1" localSheetId="30">#REF!</definedName>
    <definedName name="Outros1" localSheetId="28">#REF!</definedName>
    <definedName name="Outros1" localSheetId="27">#REF!</definedName>
    <definedName name="Outros1" localSheetId="18">#REF!</definedName>
    <definedName name="Outros1" localSheetId="7">#REF!</definedName>
    <definedName name="Outros1" localSheetId="23">#REF!</definedName>
    <definedName name="Outros1">#REF!</definedName>
    <definedName name="OUTUBRO" localSheetId="12">#REF!</definedName>
    <definedName name="OUTUBRO" localSheetId="30">#REF!</definedName>
    <definedName name="OUTUBRO" localSheetId="28">#REF!</definedName>
    <definedName name="OUTUBRO" localSheetId="27">#REF!</definedName>
    <definedName name="OUTUBRO" localSheetId="18">#REF!</definedName>
    <definedName name="OUTUBRO" localSheetId="7">#REF!</definedName>
    <definedName name="OUTUBRO" localSheetId="23">#REF!</definedName>
    <definedName name="OUTUBRO">#REF!</definedName>
    <definedName name="overhaul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 localSheetId="12">#REF!</definedName>
    <definedName name="oxfo_cdi" localSheetId="30">#REF!</definedName>
    <definedName name="oxfo_cdi" localSheetId="28">#REF!</definedName>
    <definedName name="oxfo_cdi" localSheetId="27">#REF!</definedName>
    <definedName name="oxfo_cdi" localSheetId="18">#REF!</definedName>
    <definedName name="oxfo_cdi" localSheetId="7">#REF!</definedName>
    <definedName name="oxfo_cdi" localSheetId="23">#REF!</definedName>
    <definedName name="oxfo_cdi">#REF!</definedName>
    <definedName name="oxfo_hist" localSheetId="12">#REF!</definedName>
    <definedName name="oxfo_hist" localSheetId="30">#REF!</definedName>
    <definedName name="oxfo_hist" localSheetId="28">#REF!</definedName>
    <definedName name="oxfo_hist" localSheetId="27">#REF!</definedName>
    <definedName name="oxfo_hist" localSheetId="18">#REF!</definedName>
    <definedName name="oxfo_hist" localSheetId="7">#REF!</definedName>
    <definedName name="oxfo_hist" localSheetId="23">#REF!</definedName>
    <definedName name="oxfo_hist">#REF!</definedName>
    <definedName name="oxfo_uss" localSheetId="12">#REF!</definedName>
    <definedName name="oxfo_uss" localSheetId="30">#REF!</definedName>
    <definedName name="oxfo_uss" localSheetId="28">#REF!</definedName>
    <definedName name="oxfo_uss" localSheetId="27">#REF!</definedName>
    <definedName name="oxfo_uss" localSheetId="18">#REF!</definedName>
    <definedName name="oxfo_uss" localSheetId="7">#REF!</definedName>
    <definedName name="oxfo_uss" localSheetId="23">#REF!</definedName>
    <definedName name="oxfo_uss">#REF!</definedName>
    <definedName name="P" localSheetId="12">#REF!</definedName>
    <definedName name="P" localSheetId="30">#REF!</definedName>
    <definedName name="P" localSheetId="28">#REF!</definedName>
    <definedName name="P" localSheetId="27">#REF!</definedName>
    <definedName name="P" localSheetId="18">#REF!</definedName>
    <definedName name="P" localSheetId="7">#REF!</definedName>
    <definedName name="P" localSheetId="23">#REF!</definedName>
    <definedName name="P">#REF!</definedName>
    <definedName name="PA" localSheetId="12">#REF!</definedName>
    <definedName name="PA" localSheetId="30">#REF!</definedName>
    <definedName name="PA" localSheetId="28">#REF!</definedName>
    <definedName name="PA" localSheetId="27">#REF!</definedName>
    <definedName name="PA" localSheetId="18">#REF!</definedName>
    <definedName name="PA" localSheetId="7">#REF!</definedName>
    <definedName name="PA" localSheetId="23">#REF!</definedName>
    <definedName name="PA">#REF!</definedName>
    <definedName name="Padrao_A" localSheetId="12">#REF!</definedName>
    <definedName name="Padrao_A" localSheetId="30">#REF!</definedName>
    <definedName name="Padrao_A" localSheetId="28">#REF!</definedName>
    <definedName name="Padrao_A" localSheetId="27">#REF!</definedName>
    <definedName name="Padrao_A" localSheetId="18">#REF!</definedName>
    <definedName name="Padrao_A" localSheetId="7">#REF!</definedName>
    <definedName name="Padrao_A" localSheetId="23">#REF!</definedName>
    <definedName name="Padrao_A">#REF!</definedName>
    <definedName name="Padrao_B" localSheetId="12">#REF!</definedName>
    <definedName name="Padrao_B" localSheetId="30">#REF!</definedName>
    <definedName name="Padrao_B" localSheetId="28">#REF!</definedName>
    <definedName name="Padrao_B" localSheetId="27">#REF!</definedName>
    <definedName name="Padrao_B" localSheetId="18">#REF!</definedName>
    <definedName name="Padrao_B" localSheetId="7">#REF!</definedName>
    <definedName name="Padrao_B" localSheetId="23">#REF!</definedName>
    <definedName name="Padrao_B">#REF!</definedName>
    <definedName name="Padrao_C" localSheetId="12">#REF!</definedName>
    <definedName name="Padrao_C" localSheetId="30">#REF!</definedName>
    <definedName name="Padrao_C" localSheetId="28">#REF!</definedName>
    <definedName name="Padrao_C" localSheetId="27">#REF!</definedName>
    <definedName name="Padrao_C" localSheetId="18">#REF!</definedName>
    <definedName name="Padrao_C" localSheetId="7">#REF!</definedName>
    <definedName name="Padrao_C" localSheetId="23">#REF!</definedName>
    <definedName name="Padrao_C">#REF!</definedName>
    <definedName name="Padrao_D" localSheetId="12">#REF!</definedName>
    <definedName name="Padrao_D" localSheetId="30">#REF!</definedName>
    <definedName name="Padrao_D" localSheetId="28">#REF!</definedName>
    <definedName name="Padrao_D" localSheetId="27">#REF!</definedName>
    <definedName name="Padrao_D" localSheetId="18">#REF!</definedName>
    <definedName name="Padrao_D" localSheetId="7">#REF!</definedName>
    <definedName name="Padrao_D" localSheetId="23">#REF!</definedName>
    <definedName name="Padrao_D">#REF!</definedName>
    <definedName name="Padrao_E" localSheetId="12">#REF!</definedName>
    <definedName name="Padrao_E" localSheetId="30">#REF!</definedName>
    <definedName name="Padrao_E" localSheetId="28">#REF!</definedName>
    <definedName name="Padrao_E" localSheetId="27">#REF!</definedName>
    <definedName name="Padrao_E" localSheetId="18">#REF!</definedName>
    <definedName name="Padrao_E" localSheetId="7">#REF!</definedName>
    <definedName name="Padrao_E" localSheetId="23">#REF!</definedName>
    <definedName name="Padrao_E">#REF!</definedName>
    <definedName name="Padrao_F" localSheetId="12">#REF!</definedName>
    <definedName name="Padrao_F" localSheetId="30">#REF!</definedName>
    <definedName name="Padrao_F" localSheetId="28">#REF!</definedName>
    <definedName name="Padrao_F" localSheetId="27">#REF!</definedName>
    <definedName name="Padrao_F" localSheetId="18">#REF!</definedName>
    <definedName name="Padrao_F" localSheetId="7">#REF!</definedName>
    <definedName name="Padrao_F" localSheetId="23">#REF!</definedName>
    <definedName name="Padrao_F">#REF!</definedName>
    <definedName name="Pagamento_Num" localSheetId="12">ROW()-Linha_Cabeçalho</definedName>
    <definedName name="Pagamento_Num" localSheetId="30">ROW()-Linha_Cabeçalho</definedName>
    <definedName name="Pagamento_Num" localSheetId="28">ROW()-Linha_Cabeçalho</definedName>
    <definedName name="Pagamento_Num" localSheetId="27">ROW()-Linha_Cabeçalho</definedName>
    <definedName name="Pagamento_Num" localSheetId="33">ROW()-Linha_Cabeçalho</definedName>
    <definedName name="Pagamento_Num" localSheetId="18">ROW()-Linha_Cabeçalho</definedName>
    <definedName name="Pagamento_Num" localSheetId="7">ROW()-Linha_Cabeçalho</definedName>
    <definedName name="Pagamento_Num" localSheetId="23">ROW()-Linha_Cabeçalho</definedName>
    <definedName name="Pagamento_Num">ROW()-Linha_Cabeçalho</definedName>
    <definedName name="Pago_Até_2015_Controladoria" localSheetId="12">#REF!</definedName>
    <definedName name="Pago_Até_2015_Controladoria" localSheetId="30">#REF!</definedName>
    <definedName name="Pago_Até_2015_Controladoria" localSheetId="28">#REF!</definedName>
    <definedName name="Pago_Até_2015_Controladoria" localSheetId="27">#REF!</definedName>
    <definedName name="Pago_Até_2015_Controladoria" localSheetId="18">#REF!</definedName>
    <definedName name="Pago_Até_2015_Controladoria" localSheetId="7">#REF!</definedName>
    <definedName name="Pago_Até_2015_Controladoria" localSheetId="23">#REF!</definedName>
    <definedName name="Pago_Até_2015_Controladoria">#REF!</definedName>
    <definedName name="Pal_Workbook_GUID" hidden="1">"3HURD34M2XKWJ5V6M4BWCR5Q"</definedName>
    <definedName name="PAP" localSheetId="12">#REF!</definedName>
    <definedName name="PAP" localSheetId="30">#REF!</definedName>
    <definedName name="PAP" localSheetId="28">#REF!</definedName>
    <definedName name="PAP" localSheetId="27">#REF!</definedName>
    <definedName name="PAP" localSheetId="18">#REF!</definedName>
    <definedName name="PAP" localSheetId="7">#REF!</definedName>
    <definedName name="PAP" localSheetId="23">#REF!</definedName>
    <definedName name="PAP">#REF!</definedName>
    <definedName name="PARAM_FIS_1" localSheetId="12">#REF!</definedName>
    <definedName name="PARAM_FIS_1" localSheetId="30">#REF!</definedName>
    <definedName name="PARAM_FIS_1" localSheetId="28">#REF!</definedName>
    <definedName name="PARAM_FIS_1" localSheetId="27">#REF!</definedName>
    <definedName name="PARAM_FIS_1" localSheetId="18">#REF!</definedName>
    <definedName name="PARAM_FIS_1" localSheetId="7">#REF!</definedName>
    <definedName name="PARAM_FIS_1" localSheetId="23">#REF!</definedName>
    <definedName name="PARAM_FIS_1">#REF!</definedName>
    <definedName name="PARAM_FIS_2" localSheetId="12">#REF!</definedName>
    <definedName name="PARAM_FIS_2" localSheetId="30">#REF!</definedName>
    <definedName name="PARAM_FIS_2" localSheetId="28">#REF!</definedName>
    <definedName name="PARAM_FIS_2" localSheetId="27">#REF!</definedName>
    <definedName name="PARAM_FIS_2" localSheetId="18">#REF!</definedName>
    <definedName name="PARAM_FIS_2" localSheetId="7">#REF!</definedName>
    <definedName name="PARAM_FIS_2" localSheetId="23">#REF!</definedName>
    <definedName name="PARAM_FIS_2">#REF!</definedName>
    <definedName name="ParamValues1" localSheetId="12">#REF!</definedName>
    <definedName name="ParamValues1" localSheetId="30">#REF!</definedName>
    <definedName name="ParamValues1" localSheetId="28">#REF!</definedName>
    <definedName name="ParamValues1" localSheetId="27">#REF!</definedName>
    <definedName name="ParamValues1" localSheetId="18">#REF!</definedName>
    <definedName name="ParamValues1" localSheetId="35">[7]ParamValues!$A$1:$A$39</definedName>
    <definedName name="ParamValues1" localSheetId="7">#REF!</definedName>
    <definedName name="ParamValues1" localSheetId="23">#REF!</definedName>
    <definedName name="ParamValues1">#REF!</definedName>
    <definedName name="ParamValues2" localSheetId="12">#REF!</definedName>
    <definedName name="ParamValues2" localSheetId="30">#REF!</definedName>
    <definedName name="ParamValues2" localSheetId="28">#REF!</definedName>
    <definedName name="ParamValues2" localSheetId="27">#REF!</definedName>
    <definedName name="ParamValues2" localSheetId="18">#REF!</definedName>
    <definedName name="ParamValues2" localSheetId="7">#REF!</definedName>
    <definedName name="ParamValues2" localSheetId="23">#REF!</definedName>
    <definedName name="ParamValues2">#REF!</definedName>
    <definedName name="Parao_E" localSheetId="12">#REF!</definedName>
    <definedName name="Parao_E" localSheetId="30">#REF!</definedName>
    <definedName name="Parao_E" localSheetId="28">#REF!</definedName>
    <definedName name="Parao_E" localSheetId="27">#REF!</definedName>
    <definedName name="Parao_E" localSheetId="18">#REF!</definedName>
    <definedName name="Parao_E" localSheetId="7">#REF!</definedName>
    <definedName name="Parao_E" localSheetId="23">#REF!</definedName>
    <definedName name="Parao_E">#REF!</definedName>
    <definedName name="Parede1" localSheetId="12">#REF!</definedName>
    <definedName name="Parede1" localSheetId="30">#REF!</definedName>
    <definedName name="Parede1" localSheetId="28">#REF!</definedName>
    <definedName name="Parede1" localSheetId="27">#REF!</definedName>
    <definedName name="Parede1" localSheetId="18">#REF!</definedName>
    <definedName name="Parede1" localSheetId="7">#REF!</definedName>
    <definedName name="Parede1" localSheetId="23">#REF!</definedName>
    <definedName name="Parede1">#REF!</definedName>
    <definedName name="Parede2" localSheetId="12">#REF!</definedName>
    <definedName name="Parede2" localSheetId="30">#REF!</definedName>
    <definedName name="Parede2" localSheetId="28">#REF!</definedName>
    <definedName name="Parede2" localSheetId="27">#REF!</definedName>
    <definedName name="Parede2" localSheetId="18">#REF!</definedName>
    <definedName name="Parede2" localSheetId="7">#REF!</definedName>
    <definedName name="Parede2" localSheetId="23">#REF!</definedName>
    <definedName name="Parede2">#REF!</definedName>
    <definedName name="PAREDES" localSheetId="12">#REF!</definedName>
    <definedName name="PAREDES" localSheetId="30">#REF!</definedName>
    <definedName name="PAREDES" localSheetId="28">#REF!</definedName>
    <definedName name="PAREDES" localSheetId="27">#REF!</definedName>
    <definedName name="PAREDES" localSheetId="18">#REF!</definedName>
    <definedName name="PAREDES" localSheetId="7">#REF!</definedName>
    <definedName name="PAREDES" localSheetId="23">#REF!</definedName>
    <definedName name="PAREDES">#REF!</definedName>
    <definedName name="PAV" localSheetId="3">#REF!</definedName>
    <definedName name="PAV" localSheetId="12">#REF!</definedName>
    <definedName name="PAV" localSheetId="30">#REF!</definedName>
    <definedName name="PAV" localSheetId="28">#REF!</definedName>
    <definedName name="PAV" localSheetId="27">#REF!</definedName>
    <definedName name="PAV" localSheetId="18">#REF!</definedName>
    <definedName name="PAV" localSheetId="7">#REF!</definedName>
    <definedName name="PAV" localSheetId="23">#REF!</definedName>
    <definedName name="PAV">#REF!</definedName>
    <definedName name="PAVILHAO" localSheetId="12">#REF!</definedName>
    <definedName name="PAVILHAO" localSheetId="30">#REF!</definedName>
    <definedName name="PAVILHAO" localSheetId="28">#REF!</definedName>
    <definedName name="PAVILHAO" localSheetId="27">#REF!</definedName>
    <definedName name="PAVILHAO" localSheetId="18">#REF!</definedName>
    <definedName name="PAVILHAO" localSheetId="7">#REF!</definedName>
    <definedName name="PAVILHAO" localSheetId="23">#REF!</definedName>
    <definedName name="PAVILHAO">#REF!</definedName>
    <definedName name="PAVT" localSheetId="12">#REF!</definedName>
    <definedName name="PAVT" localSheetId="30">#REF!</definedName>
    <definedName name="PAVT" localSheetId="28">#REF!</definedName>
    <definedName name="PAVT" localSheetId="27">#REF!</definedName>
    <definedName name="PAVT" localSheetId="18">#REF!</definedName>
    <definedName name="PAVT" localSheetId="7">#REF!</definedName>
    <definedName name="PAVT" localSheetId="23">#REF!</definedName>
    <definedName name="PAVT">#REF!</definedName>
    <definedName name="pçgktr" localSheetId="12" hidden="1">#REF!</definedName>
    <definedName name="pçgktr" localSheetId="30" hidden="1">#REF!</definedName>
    <definedName name="pçgktr" localSheetId="28" hidden="1">#REF!</definedName>
    <definedName name="pçgktr" localSheetId="27" hidden="1">#REF!</definedName>
    <definedName name="pçgktr" localSheetId="18" hidden="1">#REF!</definedName>
    <definedName name="pçgktr" localSheetId="7" hidden="1">#REF!</definedName>
    <definedName name="pçgktr" localSheetId="23" hidden="1">#REF!</definedName>
    <definedName name="pçgktr" hidden="1">#REF!</definedName>
    <definedName name="PDER" localSheetId="12">#REF!</definedName>
    <definedName name="PDER" localSheetId="30">#REF!</definedName>
    <definedName name="PDER" localSheetId="28">#REF!</definedName>
    <definedName name="PDER" localSheetId="27">#REF!</definedName>
    <definedName name="PDER" localSheetId="18">#REF!</definedName>
    <definedName name="PDER" localSheetId="7">#REF!</definedName>
    <definedName name="PDER" localSheetId="23">#REF!</definedName>
    <definedName name="PDER">#REF!</definedName>
    <definedName name="PDIVERS" localSheetId="12">#REF!</definedName>
    <definedName name="PDIVERS" localSheetId="30">#REF!</definedName>
    <definedName name="PDIVERS" localSheetId="28">#REF!</definedName>
    <definedName name="PDIVERS" localSheetId="27">#REF!</definedName>
    <definedName name="PDIVERS" localSheetId="18">#REF!</definedName>
    <definedName name="PDIVERS" localSheetId="7">#REF!</definedName>
    <definedName name="PDIVERS" localSheetId="23">#REF!</definedName>
    <definedName name="PDIVERS">#REF!</definedName>
    <definedName name="PE" localSheetId="12">#REF!</definedName>
    <definedName name="PE" localSheetId="30">#REF!</definedName>
    <definedName name="PE" localSheetId="28">#REF!</definedName>
    <definedName name="PE" localSheetId="27">#REF!</definedName>
    <definedName name="PE" localSheetId="18">#REF!</definedName>
    <definedName name="PE" localSheetId="7">#REF!</definedName>
    <definedName name="PE" localSheetId="23">#REF!</definedName>
    <definedName name="PE">#REF!</definedName>
    <definedName name="PEMD" localSheetId="12">#REF!</definedName>
    <definedName name="PEMD" localSheetId="30">#REF!</definedName>
    <definedName name="PEMD" localSheetId="28">#REF!</definedName>
    <definedName name="PEMD" localSheetId="27">#REF!</definedName>
    <definedName name="PEMD" localSheetId="18">#REF!</definedName>
    <definedName name="PEMD" localSheetId="7">#REF!</definedName>
    <definedName name="PEMD" localSheetId="23">#REF!</definedName>
    <definedName name="PEMD">#REF!</definedName>
    <definedName name="Pendencia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 localSheetId="12">#REF!</definedName>
    <definedName name="perfura" localSheetId="30">#REF!</definedName>
    <definedName name="perfura" localSheetId="28">#REF!</definedName>
    <definedName name="perfura" localSheetId="27">#REF!</definedName>
    <definedName name="perfura" localSheetId="18">#REF!</definedName>
    <definedName name="perfura" localSheetId="7">#REF!</definedName>
    <definedName name="perfura" localSheetId="23">#REF!</definedName>
    <definedName name="perfura">#REF!</definedName>
    <definedName name="Perímetro_lajão" localSheetId="12">#REF!</definedName>
    <definedName name="Perímetro_lajão" localSheetId="30">#REF!</definedName>
    <definedName name="Perímetro_lajão" localSheetId="28">#REF!</definedName>
    <definedName name="Perímetro_lajão" localSheetId="27">#REF!</definedName>
    <definedName name="Perímetro_lajão" localSheetId="18">#REF!</definedName>
    <definedName name="Perímetro_lajão" localSheetId="35">#REF!</definedName>
    <definedName name="Perímetro_lajão" localSheetId="7">#REF!</definedName>
    <definedName name="Perímetro_lajão" localSheetId="23">#REF!</definedName>
    <definedName name="Perímetro_lajão">#REF!</definedName>
    <definedName name="Perímetro_Terreno" localSheetId="12">#REF!</definedName>
    <definedName name="Perímetro_Terreno" localSheetId="30">#REF!</definedName>
    <definedName name="Perímetro_Terreno" localSheetId="28">#REF!</definedName>
    <definedName name="Perímetro_Terreno" localSheetId="27">#REF!</definedName>
    <definedName name="Perímetro_Terreno" localSheetId="18">#REF!</definedName>
    <definedName name="Perímetro_Terreno" localSheetId="35">#REF!</definedName>
    <definedName name="Perímetro_Terreno" localSheetId="7">#REF!</definedName>
    <definedName name="Perímetro_Terreno" localSheetId="23">#REF!</definedName>
    <definedName name="Perímetro_Terreno">#REF!</definedName>
    <definedName name="Perímetro_torre" localSheetId="12">#REF!</definedName>
    <definedName name="Perímetro_torre" localSheetId="30">#REF!</definedName>
    <definedName name="Perímetro_torre" localSheetId="28">#REF!</definedName>
    <definedName name="Perímetro_torre" localSheetId="27">#REF!</definedName>
    <definedName name="Perímetro_torre" localSheetId="18">#REF!</definedName>
    <definedName name="Perímetro_torre" localSheetId="35">#REF!</definedName>
    <definedName name="Perímetro_torre" localSheetId="7">#REF!</definedName>
    <definedName name="Perímetro_torre" localSheetId="23">#REF!</definedName>
    <definedName name="Perímetro_torre">#REF!</definedName>
    <definedName name="pessoal" localSheetId="12">#REF!</definedName>
    <definedName name="pessoal" localSheetId="30">#REF!</definedName>
    <definedName name="pessoal" localSheetId="28">#REF!</definedName>
    <definedName name="pessoal" localSheetId="27">#REF!</definedName>
    <definedName name="pessoal" localSheetId="18">#REF!</definedName>
    <definedName name="pessoal" localSheetId="7">#REF!</definedName>
    <definedName name="pessoal" localSheetId="23">#REF!</definedName>
    <definedName name="pessoal">#REF!</definedName>
    <definedName name="petro2" localSheetId="12" hidden="1">#REF!</definedName>
    <definedName name="petro2" localSheetId="30" hidden="1">#REF!</definedName>
    <definedName name="petro2" localSheetId="28" hidden="1">#REF!</definedName>
    <definedName name="petro2" localSheetId="27" hidden="1">#REF!</definedName>
    <definedName name="petro2" localSheetId="18" hidden="1">#REF!</definedName>
    <definedName name="petro2" localSheetId="7" hidden="1">#REF!</definedName>
    <definedName name="petro2" localSheetId="23" hidden="1">#REF!</definedName>
    <definedName name="petro2" hidden="1">#REF!</definedName>
    <definedName name="PhyG" localSheetId="12">#REF!</definedName>
    <definedName name="PhyG" localSheetId="30">#REF!</definedName>
    <definedName name="PhyG" localSheetId="28">#REF!</definedName>
    <definedName name="PhyG" localSheetId="27">#REF!</definedName>
    <definedName name="PhyG" localSheetId="18">#REF!</definedName>
    <definedName name="PhyG" localSheetId="7">#REF!</definedName>
    <definedName name="PhyG" localSheetId="23">#REF!</definedName>
    <definedName name="PhyG">#REF!</definedName>
    <definedName name="PhyGS" localSheetId="12">#REF!</definedName>
    <definedName name="PhyGS" localSheetId="30">#REF!</definedName>
    <definedName name="PhyGS" localSheetId="28">#REF!</definedName>
    <definedName name="PhyGS" localSheetId="27">#REF!</definedName>
    <definedName name="PhyGS" localSheetId="18">#REF!</definedName>
    <definedName name="PhyGS" localSheetId="7">#REF!</definedName>
    <definedName name="PhyGS" localSheetId="23">#REF!</definedName>
    <definedName name="PhyGS">#REF!</definedName>
    <definedName name="PI" localSheetId="12">#REF!</definedName>
    <definedName name="PI" localSheetId="30">#REF!</definedName>
    <definedName name="PI" localSheetId="28">#REF!</definedName>
    <definedName name="PI" localSheetId="27">#REF!</definedName>
    <definedName name="PI" localSheetId="18">#REF!</definedName>
    <definedName name="PI" localSheetId="7">#REF!</definedName>
    <definedName name="PI" localSheetId="23">#REF!</definedName>
    <definedName name="PI">#REF!</definedName>
    <definedName name="piaz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 localSheetId="12">#REF!</definedName>
    <definedName name="PIEQUIP" localSheetId="30">#REF!</definedName>
    <definedName name="PIEQUIP" localSheetId="28">#REF!</definedName>
    <definedName name="PIEQUIP" localSheetId="27">#REF!</definedName>
    <definedName name="PIEQUIP" localSheetId="18">#REF!</definedName>
    <definedName name="PIEQUIP" localSheetId="7">#REF!</definedName>
    <definedName name="PIEQUIP" localSheetId="23">#REF!</definedName>
    <definedName name="PIEQUIP">#REF!</definedName>
    <definedName name="Pintura">'[2]M.O.'!#REF!</definedName>
    <definedName name="PIS_COFINS" localSheetId="12">#REF!</definedName>
    <definedName name="PIS_COFINS" localSheetId="30">#REF!</definedName>
    <definedName name="PIS_COFINS" localSheetId="28">#REF!</definedName>
    <definedName name="PIS_COFINS" localSheetId="27">#REF!</definedName>
    <definedName name="PIS_COFINS" localSheetId="18">#REF!</definedName>
    <definedName name="PIS_COFINS" localSheetId="7">#REF!</definedName>
    <definedName name="PIS_COFINS" localSheetId="23">#REF!</definedName>
    <definedName name="PIS_COFINS">#REF!</definedName>
    <definedName name="PisCofins" localSheetId="12">#REF!</definedName>
    <definedName name="PisCofins" localSheetId="30">#REF!</definedName>
    <definedName name="PisCofins" localSheetId="28">#REF!</definedName>
    <definedName name="PisCofins" localSheetId="27">#REF!</definedName>
    <definedName name="PisCofins" localSheetId="18">#REF!</definedName>
    <definedName name="PisCofins" localSheetId="7">#REF!</definedName>
    <definedName name="PisCofins" localSheetId="23">#REF!</definedName>
    <definedName name="PisCofins">#REF!</definedName>
    <definedName name="Piso1" localSheetId="12">#REF!</definedName>
    <definedName name="Piso1" localSheetId="30">#REF!</definedName>
    <definedName name="Piso1" localSheetId="28">#REF!</definedName>
    <definedName name="Piso1" localSheetId="27">#REF!</definedName>
    <definedName name="Piso1" localSheetId="18">#REF!</definedName>
    <definedName name="Piso1" localSheetId="7">#REF!</definedName>
    <definedName name="Piso1" localSheetId="23">#REF!</definedName>
    <definedName name="Piso1">#REF!</definedName>
    <definedName name="Piso2" localSheetId="12">#REF!</definedName>
    <definedName name="Piso2" localSheetId="30">#REF!</definedName>
    <definedName name="Piso2" localSheetId="28">#REF!</definedName>
    <definedName name="Piso2" localSheetId="27">#REF!</definedName>
    <definedName name="Piso2" localSheetId="18">#REF!</definedName>
    <definedName name="Piso2" localSheetId="7">#REF!</definedName>
    <definedName name="Piso2" localSheetId="23">#REF!</definedName>
    <definedName name="Piso2">#REF!</definedName>
    <definedName name="PISOS" localSheetId="12">#REF!</definedName>
    <definedName name="PISOS" localSheetId="30">#REF!</definedName>
    <definedName name="PISOS" localSheetId="28">#REF!</definedName>
    <definedName name="PISOS" localSheetId="27">#REF!</definedName>
    <definedName name="PISOS" localSheetId="18">#REF!</definedName>
    <definedName name="PISOS" localSheetId="7">#REF!</definedName>
    <definedName name="PISOS" localSheetId="23">#REF!</definedName>
    <definedName name="PISOS">#REF!</definedName>
    <definedName name="PL" localSheetId="12">#REF!</definedName>
    <definedName name="PL" localSheetId="30">#REF!</definedName>
    <definedName name="PL" localSheetId="28">#REF!</definedName>
    <definedName name="PL" localSheetId="27">#REF!</definedName>
    <definedName name="PL" localSheetId="18">#REF!</definedName>
    <definedName name="PL" localSheetId="7">#REF!</definedName>
    <definedName name="PL" localSheetId="23">#REF!</definedName>
    <definedName name="PL">#REF!</definedName>
    <definedName name="PLACAS" localSheetId="33" hidden="1">{#N/A,#N/A,TRUE,"Quinzena 01 à 15-04-98 "}</definedName>
    <definedName name="PLACAS" localSheetId="35" hidden="1">{#N/A,#N/A,TRUE,"Quinzena 01 à 15-04-98 "}</definedName>
    <definedName name="PLACAS" hidden="1">{#N/A,#N/A,TRUE,"Quinzena 01 à 15-04-98 "}</definedName>
    <definedName name="Placas_Areas" localSheetId="33" hidden="1">{#N/A,#N/A,TRUE,"Quinzena 01 à 15-04-98 "}</definedName>
    <definedName name="Placas_Areas" localSheetId="35" hidden="1">{#N/A,#N/A,TRUE,"Quinzena 01 à 15-04-98 "}</definedName>
    <definedName name="Placas_Areas" hidden="1">{#N/A,#N/A,TRUE,"Quinzena 01 à 15-04-98 "}</definedName>
    <definedName name="PLAN" localSheetId="12">#REF!</definedName>
    <definedName name="PLAN" localSheetId="30">#REF!</definedName>
    <definedName name="PLAN" localSheetId="28">#REF!</definedName>
    <definedName name="PLAN" localSheetId="27">#REF!</definedName>
    <definedName name="PLAN" localSheetId="18">#REF!</definedName>
    <definedName name="plan" localSheetId="35" hidden="1">#REF!</definedName>
    <definedName name="PLAN" localSheetId="7">#REF!</definedName>
    <definedName name="PLAN" localSheetId="23">#REF!</definedName>
    <definedName name="PLAN">#REF!</definedName>
    <definedName name="plan2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 localSheetId="12">#REF!</definedName>
    <definedName name="PLANILHA" localSheetId="30">#REF!</definedName>
    <definedName name="PLANILHA" localSheetId="28">#REF!</definedName>
    <definedName name="PLANILHA" localSheetId="27">#REF!</definedName>
    <definedName name="PLANILHA" localSheetId="18">#REF!</definedName>
    <definedName name="PLANILHA" localSheetId="7">#REF!</definedName>
    <definedName name="PLANILHA" localSheetId="23">#REF!</definedName>
    <definedName name="PLANILHA">#REF!</definedName>
    <definedName name="Planilha2" localSheetId="12">#REF!</definedName>
    <definedName name="Planilha2" localSheetId="30">#REF!</definedName>
    <definedName name="Planilha2" localSheetId="28">#REF!</definedName>
    <definedName name="Planilha2" localSheetId="27">#REF!</definedName>
    <definedName name="Planilha2" localSheetId="18">#REF!</definedName>
    <definedName name="Planilha2" localSheetId="7">#REF!</definedName>
    <definedName name="Planilha2" localSheetId="23">#REF!</definedName>
    <definedName name="Planilha2">#REF!</definedName>
    <definedName name="plasçdeaw" localSheetId="3" hidden="1">{#N/A,#N/A,FALSE,"Plan1";#N/A,#N/A,FALSE,"Plan2"}</definedName>
    <definedName name="plasçdeaw" localSheetId="33" hidden="1">{#N/A,#N/A,FALSE,"Plan1";#N/A,#N/A,FALSE,"Plan2"}</definedName>
    <definedName name="plasçdeaw" localSheetId="35" hidden="1">{#N/A,#N/A,FALSE,"Plan1";#N/A,#N/A,FALSE,"Plan2"}</definedName>
    <definedName name="plasçdeaw" hidden="1">{#N/A,#N/A,FALSE,"Plan1";#N/A,#N/A,FALSE,"Plan2"}</definedName>
    <definedName name="plaslrswe" localSheetId="3" hidden="1">{#N/A,#N/A,FALSE,"Plan1";#N/A,#N/A,FALSE,"Plan2"}</definedName>
    <definedName name="plaslrswe" localSheetId="33" hidden="1">{#N/A,#N/A,FALSE,"Plan1";#N/A,#N/A,FALSE,"Plan2"}</definedName>
    <definedName name="plaslrswe" localSheetId="35" hidden="1">{#N/A,#N/A,FALSE,"Plan1";#N/A,#N/A,FALSE,"Plan2"}</definedName>
    <definedName name="plaslrswe" hidden="1">{#N/A,#N/A,FALSE,"Plan1";#N/A,#N/A,FALSE,"Plan2"}</definedName>
    <definedName name="pls" localSheetId="3" hidden="1">#REF!</definedName>
    <definedName name="pls" localSheetId="12" hidden="1">#REF!</definedName>
    <definedName name="pls" localSheetId="30" hidden="1">#REF!</definedName>
    <definedName name="pls" localSheetId="28" hidden="1">#REF!</definedName>
    <definedName name="pls" localSheetId="27" hidden="1">#REF!</definedName>
    <definedName name="pls" localSheetId="18" hidden="1">#REF!</definedName>
    <definedName name="pls" localSheetId="7" hidden="1">#REF!</definedName>
    <definedName name="pls" localSheetId="23" hidden="1">#REF!</definedName>
    <definedName name="pls" hidden="1">#REF!</definedName>
    <definedName name="plsearpef" localSheetId="3" hidden="1">{#N/A,#N/A,FALSE,"Plan1";#N/A,#N/A,FALSE,"Plan2"}</definedName>
    <definedName name="plsearpef" localSheetId="33" hidden="1">{#N/A,#N/A,FALSE,"Plan1";#N/A,#N/A,FALSE,"Plan2"}</definedName>
    <definedName name="plsearpef" localSheetId="35" hidden="1">{#N/A,#N/A,FALSE,"Plan1";#N/A,#N/A,FALSE,"Plan2"}</definedName>
    <definedName name="plsearpef" hidden="1">{#N/A,#N/A,FALSE,"Plan1";#N/A,#N/A,FALSE,"Plan2"}</definedName>
    <definedName name="plss" localSheetId="3" hidden="1">{#N/A,#N/A,FALSE,"Plan1";#N/A,#N/A,FALSE,"Plan2"}</definedName>
    <definedName name="plss" localSheetId="33" hidden="1">{#N/A,#N/A,FALSE,"Plan1";#N/A,#N/A,FALSE,"Plan2"}</definedName>
    <definedName name="plss" localSheetId="35" hidden="1">{#N/A,#N/A,FALSE,"Plan1";#N/A,#N/A,FALSE,"Plan2"}</definedName>
    <definedName name="plss" hidden="1">{#N/A,#N/A,FALSE,"Plan1";#N/A,#N/A,FALSE,"Plan2"}</definedName>
    <definedName name="PMUR" localSheetId="12">#REF!</definedName>
    <definedName name="PMUR" localSheetId="30">#REF!</definedName>
    <definedName name="PMUR" localSheetId="28">#REF!</definedName>
    <definedName name="PMUR" localSheetId="27">#REF!</definedName>
    <definedName name="PMUR" localSheetId="18">#REF!</definedName>
    <definedName name="PMUR" localSheetId="7">#REF!</definedName>
    <definedName name="PMUR" localSheetId="23">#REF!</definedName>
    <definedName name="PMUR">#REF!</definedName>
    <definedName name="PN2건축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 localSheetId="12">#REF!</definedName>
    <definedName name="Ponderações" localSheetId="30">#REF!</definedName>
    <definedName name="Ponderações" localSheetId="28">#REF!</definedName>
    <definedName name="Ponderações" localSheetId="27">#REF!</definedName>
    <definedName name="Ponderações" localSheetId="18">#REF!</definedName>
    <definedName name="Ponderações" localSheetId="7">#REF!</definedName>
    <definedName name="Ponderações" localSheetId="23">#REF!</definedName>
    <definedName name="Ponderações">#REF!</definedName>
    <definedName name="Pós_Chaves" localSheetId="12">#REF!</definedName>
    <definedName name="Pós_Chaves" localSheetId="30">#REF!</definedName>
    <definedName name="Pós_Chaves" localSheetId="28">#REF!</definedName>
    <definedName name="Pós_Chaves" localSheetId="27">#REF!</definedName>
    <definedName name="Pós_Chaves" localSheetId="18">#REF!</definedName>
    <definedName name="Pós_Chaves" localSheetId="7">#REF!</definedName>
    <definedName name="Pós_Chaves" localSheetId="23">#REF!</definedName>
    <definedName name="Pós_Chaves">#REF!</definedName>
    <definedName name="pr" localSheetId="3">#REF!</definedName>
    <definedName name="pr" localSheetId="12">#REF!</definedName>
    <definedName name="pr" localSheetId="30">#REF!</definedName>
    <definedName name="pr" localSheetId="28">#REF!</definedName>
    <definedName name="pr" localSheetId="27">#REF!</definedName>
    <definedName name="pr" localSheetId="18">#REF!</definedName>
    <definedName name="pr" localSheetId="7">#REF!</definedName>
    <definedName name="pr" localSheetId="23">#REF!</definedName>
    <definedName name="pr">#REF!</definedName>
    <definedName name="PRAZO" localSheetId="12">#REF!</definedName>
    <definedName name="PRAZO" localSheetId="30">#REF!</definedName>
    <definedName name="PRAZO" localSheetId="28">#REF!</definedName>
    <definedName name="PRAZO" localSheetId="27">#REF!</definedName>
    <definedName name="PRAZO" localSheetId="18">#REF!</definedName>
    <definedName name="PRAZO" localSheetId="7">#REF!</definedName>
    <definedName name="PRAZO" localSheetId="23">#REF!</definedName>
    <definedName name="PRAZO">#REF!</definedName>
    <definedName name="Prazo_da_Estrutura" localSheetId="12">#REF!</definedName>
    <definedName name="Prazo_da_Estrutura" localSheetId="30">#REF!</definedName>
    <definedName name="Prazo_da_Estrutura" localSheetId="28">#REF!</definedName>
    <definedName name="Prazo_da_Estrutura" localSheetId="27">#REF!</definedName>
    <definedName name="Prazo_da_Estrutura" localSheetId="18">#REF!</definedName>
    <definedName name="Prazo_da_Estrutura" localSheetId="35">#REF!</definedName>
    <definedName name="Prazo_da_Estrutura" localSheetId="7">#REF!</definedName>
    <definedName name="Prazo_da_Estrutura" localSheetId="23">#REF!</definedName>
    <definedName name="Prazo_da_Estrutura">#REF!</definedName>
    <definedName name="PRAZO_EDITAL" localSheetId="12">#REF!</definedName>
    <definedName name="PRAZO_EDITAL" localSheetId="30">#REF!</definedName>
    <definedName name="PRAZO_EDITAL" localSheetId="28">#REF!</definedName>
    <definedName name="PRAZO_EDITAL" localSheetId="27">#REF!</definedName>
    <definedName name="PRAZO_EDITAL" localSheetId="18">#REF!</definedName>
    <definedName name="PRAZO_EDITAL" localSheetId="7">#REF!</definedName>
    <definedName name="PRAZO_EDITAL" localSheetId="23">#REF!</definedName>
    <definedName name="PRAZO_EDITAL">#REF!</definedName>
    <definedName name="Prazo_Obra" localSheetId="12">#REF!</definedName>
    <definedName name="Prazo_Obra" localSheetId="30">#REF!</definedName>
    <definedName name="Prazo_Obra" localSheetId="28">#REF!</definedName>
    <definedName name="Prazo_Obra" localSheetId="27">#REF!</definedName>
    <definedName name="Prazo_Obra" localSheetId="18">#REF!</definedName>
    <definedName name="Prazo_Obra" localSheetId="35">#REF!</definedName>
    <definedName name="Prazo_Obra" localSheetId="7">#REF!</definedName>
    <definedName name="Prazo_Obra" localSheetId="23">#REF!</definedName>
    <definedName name="Prazo_Obra">#REF!</definedName>
    <definedName name="PRAZO_ORC" localSheetId="12">#REF!</definedName>
    <definedName name="PRAZO_ORC" localSheetId="30">#REF!</definedName>
    <definedName name="PRAZO_ORC" localSheetId="28">#REF!</definedName>
    <definedName name="PRAZO_ORC" localSheetId="27">#REF!</definedName>
    <definedName name="PRAZO_ORC" localSheetId="18">#REF!</definedName>
    <definedName name="PRAZO_ORC" localSheetId="7">#REF!</definedName>
    <definedName name="PRAZO_ORC" localSheetId="23">#REF!</definedName>
    <definedName name="PRAZO_ORC">#REF!</definedName>
    <definedName name="prazo2" localSheetId="12">#REF!</definedName>
    <definedName name="prazo2" localSheetId="30">#REF!</definedName>
    <definedName name="prazo2" localSheetId="28">#REF!</definedName>
    <definedName name="prazo2" localSheetId="27">#REF!</definedName>
    <definedName name="prazo2" localSheetId="18">#REF!</definedName>
    <definedName name="prazo2" localSheetId="7">#REF!</definedName>
    <definedName name="prazo2" localSheetId="23">#REF!</definedName>
    <definedName name="prazo2">#REF!</definedName>
    <definedName name="PRE" localSheetId="3">#REF!</definedName>
    <definedName name="PRE" localSheetId="12">#REF!</definedName>
    <definedName name="PRE" localSheetId="30">#REF!</definedName>
    <definedName name="PRE" localSheetId="28">#REF!</definedName>
    <definedName name="PRE" localSheetId="27">#REF!</definedName>
    <definedName name="PRE" localSheetId="18">#REF!</definedName>
    <definedName name="PRE" localSheetId="7">#REF!</definedName>
    <definedName name="PRE" localSheetId="23">#REF!</definedName>
    <definedName name="PRE">#REF!</definedName>
    <definedName name="PREÇ" localSheetId="12">OFFSET(#REF!,0,0,COUNTA(#REF!),1)</definedName>
    <definedName name="PREÇ" localSheetId="30">OFFSET(#REF!,0,0,COUNTA(#REF!),1)</definedName>
    <definedName name="PREÇ" localSheetId="28">OFFSET(#REF!,0,0,COUNTA(#REF!),1)</definedName>
    <definedName name="PREÇ" localSheetId="27">OFFSET(#REF!,0,0,COUNTA(#REF!),1)</definedName>
    <definedName name="PREÇ" localSheetId="18">OFFSET(#REF!,0,0,COUNTA(#REF!),1)</definedName>
    <definedName name="PREÇ" localSheetId="7">OFFSET(#REF!,0,0,COUNTA(#REF!),1)</definedName>
    <definedName name="PREÇ" localSheetId="23">OFFSET(#REF!,0,0,COUNTA(#REF!),1)</definedName>
    <definedName name="PREÇ">OFFSET(#REF!,0,0,COUNTA(#REF!),1)</definedName>
    <definedName name="Previsão_Inicial_abr_16" localSheetId="12">#REF!</definedName>
    <definedName name="Previsão_Inicial_abr_16" localSheetId="30">#REF!</definedName>
    <definedName name="Previsão_Inicial_abr_16" localSheetId="28">#REF!</definedName>
    <definedName name="Previsão_Inicial_abr_16" localSheetId="27">#REF!</definedName>
    <definedName name="Previsão_Inicial_abr_16" localSheetId="18">#REF!</definedName>
    <definedName name="Previsão_Inicial_abr_16" localSheetId="7">#REF!</definedName>
    <definedName name="Previsão_Inicial_abr_16" localSheetId="23">#REF!</definedName>
    <definedName name="Previsão_Inicial_abr_16">#REF!</definedName>
    <definedName name="Previsão_Inicial_ago_16" localSheetId="12">#REF!</definedName>
    <definedName name="Previsão_Inicial_ago_16" localSheetId="30">#REF!</definedName>
    <definedName name="Previsão_Inicial_ago_16" localSheetId="28">#REF!</definedName>
    <definedName name="Previsão_Inicial_ago_16" localSheetId="27">#REF!</definedName>
    <definedName name="Previsão_Inicial_ago_16" localSheetId="18">#REF!</definedName>
    <definedName name="Previsão_Inicial_ago_16" localSheetId="7">#REF!</definedName>
    <definedName name="Previsão_Inicial_ago_16" localSheetId="23">#REF!</definedName>
    <definedName name="Previsão_Inicial_ago_16">#REF!</definedName>
    <definedName name="Previsão_Inicial_dez_16" localSheetId="12">#REF!</definedName>
    <definedName name="Previsão_Inicial_dez_16" localSheetId="30">#REF!</definedName>
    <definedName name="Previsão_Inicial_dez_16" localSheetId="28">#REF!</definedName>
    <definedName name="Previsão_Inicial_dez_16" localSheetId="27">#REF!</definedName>
    <definedName name="Previsão_Inicial_dez_16" localSheetId="18">#REF!</definedName>
    <definedName name="Previsão_Inicial_dez_16" localSheetId="7">#REF!</definedName>
    <definedName name="Previsão_Inicial_dez_16" localSheetId="23">#REF!</definedName>
    <definedName name="Previsão_Inicial_dez_16">#REF!</definedName>
    <definedName name="Previsão_Inicial_fev_16" localSheetId="12">#REF!</definedName>
    <definedName name="Previsão_Inicial_fev_16" localSheetId="30">#REF!</definedName>
    <definedName name="Previsão_Inicial_fev_16" localSheetId="28">#REF!</definedName>
    <definedName name="Previsão_Inicial_fev_16" localSheetId="27">#REF!</definedName>
    <definedName name="Previsão_Inicial_fev_16" localSheetId="18">#REF!</definedName>
    <definedName name="Previsão_Inicial_fev_16" localSheetId="7">#REF!</definedName>
    <definedName name="Previsão_Inicial_fev_16" localSheetId="23">#REF!</definedName>
    <definedName name="Previsão_Inicial_fev_16">#REF!</definedName>
    <definedName name="Previsão_Inicial_jan_16" localSheetId="12">#REF!</definedName>
    <definedName name="Previsão_Inicial_jan_16" localSheetId="30">#REF!</definedName>
    <definedName name="Previsão_Inicial_jan_16" localSheetId="28">#REF!</definedName>
    <definedName name="Previsão_Inicial_jan_16" localSheetId="27">#REF!</definedName>
    <definedName name="Previsão_Inicial_jan_16" localSheetId="18">#REF!</definedName>
    <definedName name="Previsão_Inicial_jan_16" localSheetId="7">#REF!</definedName>
    <definedName name="Previsão_Inicial_jan_16" localSheetId="23">#REF!</definedName>
    <definedName name="Previsão_Inicial_jan_16">#REF!</definedName>
    <definedName name="Previsão_Inicial_jul_16" localSheetId="12">#REF!</definedName>
    <definedName name="Previsão_Inicial_jul_16" localSheetId="30">#REF!</definedName>
    <definedName name="Previsão_Inicial_jul_16" localSheetId="28">#REF!</definedName>
    <definedName name="Previsão_Inicial_jul_16" localSheetId="27">#REF!</definedName>
    <definedName name="Previsão_Inicial_jul_16" localSheetId="18">#REF!</definedName>
    <definedName name="Previsão_Inicial_jul_16" localSheetId="7">#REF!</definedName>
    <definedName name="Previsão_Inicial_jul_16" localSheetId="23">#REF!</definedName>
    <definedName name="Previsão_Inicial_jul_16">#REF!</definedName>
    <definedName name="Previsão_Inicial_jun_16" localSheetId="12">#REF!</definedName>
    <definedName name="Previsão_Inicial_jun_16" localSheetId="30">#REF!</definedName>
    <definedName name="Previsão_Inicial_jun_16" localSheetId="28">#REF!</definedName>
    <definedName name="Previsão_Inicial_jun_16" localSheetId="27">#REF!</definedName>
    <definedName name="Previsão_Inicial_jun_16" localSheetId="18">#REF!</definedName>
    <definedName name="Previsão_Inicial_jun_16" localSheetId="7">#REF!</definedName>
    <definedName name="Previsão_Inicial_jun_16" localSheetId="23">#REF!</definedName>
    <definedName name="Previsão_Inicial_jun_16">#REF!</definedName>
    <definedName name="Previsão_Inicial_mai_16" localSheetId="12">#REF!</definedName>
    <definedName name="Previsão_Inicial_mai_16" localSheetId="30">#REF!</definedName>
    <definedName name="Previsão_Inicial_mai_16" localSheetId="28">#REF!</definedName>
    <definedName name="Previsão_Inicial_mai_16" localSheetId="27">#REF!</definedName>
    <definedName name="Previsão_Inicial_mai_16" localSheetId="18">#REF!</definedName>
    <definedName name="Previsão_Inicial_mai_16" localSheetId="7">#REF!</definedName>
    <definedName name="Previsão_Inicial_mai_16" localSheetId="23">#REF!</definedName>
    <definedName name="Previsão_Inicial_mai_16">#REF!</definedName>
    <definedName name="Previsão_Inicial_mar_16" localSheetId="12">#REF!</definedName>
    <definedName name="Previsão_Inicial_mar_16" localSheetId="30">#REF!</definedName>
    <definedName name="Previsão_Inicial_mar_16" localSheetId="28">#REF!</definedName>
    <definedName name="Previsão_Inicial_mar_16" localSheetId="27">#REF!</definedName>
    <definedName name="Previsão_Inicial_mar_16" localSheetId="18">#REF!</definedName>
    <definedName name="Previsão_Inicial_mar_16" localSheetId="7">#REF!</definedName>
    <definedName name="Previsão_Inicial_mar_16" localSheetId="23">#REF!</definedName>
    <definedName name="Previsão_Inicial_mar_16">#REF!</definedName>
    <definedName name="Previsão_Inicial_nov_16" localSheetId="12">#REF!</definedName>
    <definedName name="Previsão_Inicial_nov_16" localSheetId="30">#REF!</definedName>
    <definedName name="Previsão_Inicial_nov_16" localSheetId="28">#REF!</definedName>
    <definedName name="Previsão_Inicial_nov_16" localSheetId="27">#REF!</definedName>
    <definedName name="Previsão_Inicial_nov_16" localSheetId="18">#REF!</definedName>
    <definedName name="Previsão_Inicial_nov_16" localSheetId="7">#REF!</definedName>
    <definedName name="Previsão_Inicial_nov_16" localSheetId="23">#REF!</definedName>
    <definedName name="Previsão_Inicial_nov_16">#REF!</definedName>
    <definedName name="Previsão_Inicial_out_16" localSheetId="12">#REF!</definedName>
    <definedName name="Previsão_Inicial_out_16" localSheetId="30">#REF!</definedName>
    <definedName name="Previsão_Inicial_out_16" localSheetId="28">#REF!</definedName>
    <definedName name="Previsão_Inicial_out_16" localSheetId="27">#REF!</definedName>
    <definedName name="Previsão_Inicial_out_16" localSheetId="18">#REF!</definedName>
    <definedName name="Previsão_Inicial_out_16" localSheetId="7">#REF!</definedName>
    <definedName name="Previsão_Inicial_out_16" localSheetId="23">#REF!</definedName>
    <definedName name="Previsão_Inicial_out_16">#REF!</definedName>
    <definedName name="Previsão_Inicial_set_16" localSheetId="12">#REF!</definedName>
    <definedName name="Previsão_Inicial_set_16" localSheetId="30">#REF!</definedName>
    <definedName name="Previsão_Inicial_set_16" localSheetId="28">#REF!</definedName>
    <definedName name="Previsão_Inicial_set_16" localSheetId="27">#REF!</definedName>
    <definedName name="Previsão_Inicial_set_16" localSheetId="18">#REF!</definedName>
    <definedName name="Previsão_Inicial_set_16" localSheetId="7">#REF!</definedName>
    <definedName name="Previsão_Inicial_set_16" localSheetId="23">#REF!</definedName>
    <definedName name="Previsão_Inicial_set_16">#REF!</definedName>
    <definedName name="Previsão_Vento1" localSheetId="12">#REF!</definedName>
    <definedName name="Previsão_Vento1" localSheetId="30">#REF!</definedName>
    <definedName name="Previsão_Vento1" localSheetId="28">#REF!</definedName>
    <definedName name="Previsão_Vento1" localSheetId="27">#REF!</definedName>
    <definedName name="Previsão_Vento1" localSheetId="18">#REF!</definedName>
    <definedName name="Previsão_Vento1" localSheetId="7">#REF!</definedName>
    <definedName name="Previsão_Vento1" localSheetId="23">#REF!</definedName>
    <definedName name="Previsão_Vento1">#REF!</definedName>
    <definedName name="Previsto_a_medir_Fin_Medições" localSheetId="12">#REF!</definedName>
    <definedName name="Previsto_a_medir_Fin_Medições" localSheetId="30">#REF!</definedName>
    <definedName name="Previsto_a_medir_Fin_Medições" localSheetId="28">#REF!</definedName>
    <definedName name="Previsto_a_medir_Fin_Medições" localSheetId="27">#REF!</definedName>
    <definedName name="Previsto_a_medir_Fin_Medições" localSheetId="18">#REF!</definedName>
    <definedName name="Previsto_a_medir_Fin_Medições" localSheetId="7">#REF!</definedName>
    <definedName name="Previsto_a_medir_Fin_Medições" localSheetId="23">#REF!</definedName>
    <definedName name="Previsto_a_medir_Fin_Medições">#REF!</definedName>
    <definedName name="print" localSheetId="33" hidden="1">{#N/A,#N/A,FALSE,"$170M Cash";#N/A,#N/A,FALSE,"$250M Cash";#N/A,#N/A,FALSE,"$325M Cash"}</definedName>
    <definedName name="print" localSheetId="35" hidden="1">{#N/A,#N/A,FALSE,"$170M Cash";#N/A,#N/A,FALSE,"$250M Cash";#N/A,#N/A,FALSE,"$325M Cash"}</definedName>
    <definedName name="print" hidden="1">{#N/A,#N/A,FALSE,"$170M Cash";#N/A,#N/A,FALSE,"$250M Cash";#N/A,#N/A,FALSE,"$325M Cash"}</definedName>
    <definedName name="Print_Area">#REF!</definedName>
    <definedName name="Print_Area_MI" localSheetId="3">#REF!</definedName>
    <definedName name="Print_Area_MI" localSheetId="12">#REF!</definedName>
    <definedName name="Print_Area_MI" localSheetId="30">#REF!</definedName>
    <definedName name="Print_Area_MI" localSheetId="28">#REF!</definedName>
    <definedName name="Print_Area_MI" localSheetId="27">#REF!</definedName>
    <definedName name="Print_Area_MI" localSheetId="18">#REF!</definedName>
    <definedName name="Print_Area_MI" localSheetId="7">#REF!</definedName>
    <definedName name="Print_Area_MI" localSheetId="23">#REF!</definedName>
    <definedName name="Print_Area_MI">#REF!</definedName>
    <definedName name="Print_Titles">#REF!</definedName>
    <definedName name="PRINT_TITLES_MI" localSheetId="12">#REF!</definedName>
    <definedName name="PRINT_TITLES_MI" localSheetId="30">#REF!</definedName>
    <definedName name="PRINT_TITLES_MI" localSheetId="28">#REF!</definedName>
    <definedName name="PRINT_TITLES_MI" localSheetId="27">#REF!</definedName>
    <definedName name="PRINT_TITLES_MI" localSheetId="18">#REF!</definedName>
    <definedName name="PRINT_TITLES_MI" localSheetId="7">#REF!</definedName>
    <definedName name="PRINT_TITLES_MI" localSheetId="23">#REF!</definedName>
    <definedName name="PRINT_TITLES_MI">#REF!</definedName>
    <definedName name="programa" localSheetId="12">#REF!</definedName>
    <definedName name="programa" localSheetId="30">#REF!</definedName>
    <definedName name="programa" localSheetId="28">#REF!</definedName>
    <definedName name="programa" localSheetId="27">#REF!</definedName>
    <definedName name="programa" localSheetId="18">#REF!</definedName>
    <definedName name="programa" localSheetId="7">#REF!</definedName>
    <definedName name="programa" localSheetId="23">#REF!</definedName>
    <definedName name="programa">#REF!</definedName>
    <definedName name="Programaa" localSheetId="12">#REF!</definedName>
    <definedName name="Programaa" localSheetId="30">#REF!</definedName>
    <definedName name="Programaa" localSheetId="28">#REF!</definedName>
    <definedName name="Programaa" localSheetId="27">#REF!</definedName>
    <definedName name="Programaa" localSheetId="18">#REF!</definedName>
    <definedName name="Programaa" localSheetId="7">#REF!</definedName>
    <definedName name="Programaa" localSheetId="23">#REF!</definedName>
    <definedName name="Programaa">#REF!</definedName>
    <definedName name="Projeção_torre" localSheetId="12">#REF!</definedName>
    <definedName name="Projeção_torre" localSheetId="30">#REF!</definedName>
    <definedName name="Projeção_torre" localSheetId="28">#REF!</definedName>
    <definedName name="Projeção_torre" localSheetId="27">#REF!</definedName>
    <definedName name="Projeção_torre" localSheetId="18">#REF!</definedName>
    <definedName name="Projeção_torre" localSheetId="35">#REF!</definedName>
    <definedName name="Projeção_torre" localSheetId="7">#REF!</definedName>
    <definedName name="Projeção_torre" localSheetId="23">#REF!</definedName>
    <definedName name="Projeção_torre">#REF!</definedName>
    <definedName name="projeto_nome_com" localSheetId="12">IF((COUNTA(#REF!)-2)&gt;1,"TERRENO "&amp;VLOOKUP(#REF!,#REF!,8,0),VLOOKUP(#REF!,#REF!,3,0))</definedName>
    <definedName name="projeto_nome_com" localSheetId="30">IF((COUNTA(#REF!)-2)&gt;1,"TERRENO "&amp;VLOOKUP(#REF!,#REF!,8,0),VLOOKUP(#REF!,#REF!,3,0))</definedName>
    <definedName name="projeto_nome_com" localSheetId="28">IF((COUNTA(#REF!)-2)&gt;1,"TERRENO "&amp;VLOOKUP(#REF!,#REF!,8,0),VLOOKUP(#REF!,#REF!,3,0))</definedName>
    <definedName name="projeto_nome_com" localSheetId="27">IF((COUNTA(#REF!)-2)&gt;1,"TERRENO "&amp;VLOOKUP(#REF!,#REF!,8,0),VLOOKUP(#REF!,#REF!,3,0))</definedName>
    <definedName name="projeto_nome_com" localSheetId="18">IF((COUNTA(#REF!)-2)&gt;1,"TERRENO "&amp;VLOOKUP(#REF!,#REF!,8,0),VLOOKUP(#REF!,#REF!,3,0))</definedName>
    <definedName name="projeto_nome_com" localSheetId="7">IF((COUNTA(#REF!)-2)&gt;1,"TERRENO "&amp;VLOOKUP(#REF!,#REF!,8,0),VLOOKUP(#REF!,#REF!,3,0))</definedName>
    <definedName name="projeto_nome_com" localSheetId="23">IF((COUNTA(#REF!)-2)&gt;1,"TERRENO "&amp;VLOOKUP(#REF!,#REF!,8,0),VLOOKUP(#REF!,#REF!,3,0))</definedName>
    <definedName name="projeto_nome_com">IF((COUNTA(#REF!)-2)&gt;1,"TERRENO "&amp;VLOOKUP(#REF!,#REF!,8,0),VLOOKUP(#REF!,#REF!,3,0))</definedName>
    <definedName name="PROPAGANDA" localSheetId="12">#REF!</definedName>
    <definedName name="PROPAGANDA" localSheetId="30">#REF!</definedName>
    <definedName name="PROPAGANDA" localSheetId="28">#REF!</definedName>
    <definedName name="PROPAGANDA" localSheetId="27">#REF!</definedName>
    <definedName name="PROPAGANDA" localSheetId="18">#REF!</definedName>
    <definedName name="PROPAGANDA" localSheetId="7">#REF!</definedName>
    <definedName name="PROPAGANDA" localSheetId="23">#REF!</definedName>
    <definedName name="PROPAGANDA">#REF!</definedName>
    <definedName name="ptirigyiotut" localSheetId="3" hidden="1">{#N/A,#N/A,FALSE,"Plan1";#N/A,#N/A,FALSE,"Plan2"}</definedName>
    <definedName name="ptirigyiotut" localSheetId="33" hidden="1">{#N/A,#N/A,FALSE,"Plan1";#N/A,#N/A,FALSE,"Plan2"}</definedName>
    <definedName name="ptirigyiotut" localSheetId="35" hidden="1">{#N/A,#N/A,FALSE,"Plan1";#N/A,#N/A,FALSE,"Plan2"}</definedName>
    <definedName name="ptirigyiotut" hidden="1">{#N/A,#N/A,FALSE,"Plan1";#N/A,#N/A,FALSE,"Plan2"}</definedName>
    <definedName name="PWER3" localSheetId="3" hidden="1">{#N/A,#N/A,FALSE,"Plan1";#N/A,#N/A,FALSE,"Plan2"}</definedName>
    <definedName name="PWER3" localSheetId="33" hidden="1">{#N/A,#N/A,FALSE,"Plan1";#N/A,#N/A,FALSE,"Plan2"}</definedName>
    <definedName name="PWER3" localSheetId="35" hidden="1">{#N/A,#N/A,FALSE,"Plan1";#N/A,#N/A,FALSE,"Plan2"}</definedName>
    <definedName name="PWER3" hidden="1">{#N/A,#N/A,FALSE,"Plan1";#N/A,#N/A,FALSE,"Plan2"}</definedName>
    <definedName name="q" localSheetId="12">#REF!</definedName>
    <definedName name="q" localSheetId="30">#REF!</definedName>
    <definedName name="q" localSheetId="28">#REF!</definedName>
    <definedName name="q" localSheetId="27">#REF!</definedName>
    <definedName name="q" localSheetId="18">#REF!</definedName>
    <definedName name="q" localSheetId="35" hidden="1">#REF!</definedName>
    <definedName name="q" localSheetId="7">#REF!</definedName>
    <definedName name="q" localSheetId="23">#REF!</definedName>
    <definedName name="q">#REF!</definedName>
    <definedName name="QCLIENTE_PCLIENTE" localSheetId="12">#REF!</definedName>
    <definedName name="QCLIENTE_PCLIENTE" localSheetId="30">#REF!</definedName>
    <definedName name="QCLIENTE_PCLIENTE" localSheetId="28">#REF!</definedName>
    <definedName name="QCLIENTE_PCLIENTE" localSheetId="27">#REF!</definedName>
    <definedName name="QCLIENTE_PCLIENTE" localSheetId="18">#REF!</definedName>
    <definedName name="QCLIENTE_PCLIENTE" localSheetId="7">#REF!</definedName>
    <definedName name="QCLIENTE_PCLIENTE" localSheetId="23">#REF!</definedName>
    <definedName name="QCLIENTE_PCLIENTE">#REF!</definedName>
    <definedName name="QCliente_PCliente1" localSheetId="12">#REF!</definedName>
    <definedName name="QCliente_PCliente1" localSheetId="30">#REF!</definedName>
    <definedName name="QCliente_PCliente1" localSheetId="28">#REF!</definedName>
    <definedName name="QCliente_PCliente1" localSheetId="27">#REF!</definedName>
    <definedName name="QCliente_PCliente1" localSheetId="18">#REF!</definedName>
    <definedName name="QCliente_PCliente1" localSheetId="7">#REF!</definedName>
    <definedName name="QCliente_PCliente1" localSheetId="23">#REF!</definedName>
    <definedName name="QCliente_PCliente1">#REF!</definedName>
    <definedName name="qe" localSheetId="3">#REF!</definedName>
    <definedName name="qe" localSheetId="12">#REF!</definedName>
    <definedName name="qe" localSheetId="30">#REF!</definedName>
    <definedName name="qe" localSheetId="28">#REF!</definedName>
    <definedName name="qe" localSheetId="27">#REF!</definedName>
    <definedName name="qe" localSheetId="18">#REF!</definedName>
    <definedName name="qe" localSheetId="7">#REF!</definedName>
    <definedName name="qe" localSheetId="23">#REF!</definedName>
    <definedName name="qe">#REF!</definedName>
    <definedName name="qee" localSheetId="3">#REF!</definedName>
    <definedName name="qee" localSheetId="12">#REF!</definedName>
    <definedName name="qee" localSheetId="30">#REF!</definedName>
    <definedName name="qee" localSheetId="28">#REF!</definedName>
    <definedName name="qee" localSheetId="27">#REF!</definedName>
    <definedName name="qee" localSheetId="18">#REF!</definedName>
    <definedName name="qee" localSheetId="7">#REF!</definedName>
    <definedName name="qee" localSheetId="23">#REF!</definedName>
    <definedName name="qee">#REF!</definedName>
    <definedName name="qkqh1" localSheetId="33" hidden="1">{#N/A,#N/A,FALSE,"명세표"}</definedName>
    <definedName name="qkqh1" localSheetId="35" hidden="1">{#N/A,#N/A,FALSE,"명세표"}</definedName>
    <definedName name="qkqh1" hidden="1">{#N/A,#N/A,FALSE,"명세표"}</definedName>
    <definedName name="QOAS_POAS" localSheetId="12">#REF!</definedName>
    <definedName name="QOAS_POAS" localSheetId="30">#REF!</definedName>
    <definedName name="QOAS_POAS" localSheetId="28">#REF!</definedName>
    <definedName name="QOAS_POAS" localSheetId="27">#REF!</definedName>
    <definedName name="QOAS_POAS" localSheetId="18">#REF!</definedName>
    <definedName name="QOAS_POAS" localSheetId="7">#REF!</definedName>
    <definedName name="QOAS_POAS" localSheetId="23">#REF!</definedName>
    <definedName name="QOAS_POAS">#REF!</definedName>
    <definedName name="QQ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 localSheetId="12">#REF!:#REF!</definedName>
    <definedName name="QQQ" localSheetId="30">#REF!:#REF!</definedName>
    <definedName name="QQQ" localSheetId="28">#REF!:#REF!</definedName>
    <definedName name="QQQ" localSheetId="27">#REF!:#REF!</definedName>
    <definedName name="QQQ" localSheetId="18">#REF!:#REF!</definedName>
    <definedName name="QQQ" localSheetId="7">#REF!:#REF!</definedName>
    <definedName name="QQQ" localSheetId="23">#REF!:#REF!</definedName>
    <definedName name="QQQ">#REF!:#REF!</definedName>
    <definedName name="QQQQQQQQ" localSheetId="12" hidden="1">#REF!</definedName>
    <definedName name="QQQQQQQQ" localSheetId="30" hidden="1">#REF!</definedName>
    <definedName name="QQQQQQQQ" localSheetId="28" hidden="1">#REF!</definedName>
    <definedName name="QQQQQQQQ" localSheetId="27" hidden="1">#REF!</definedName>
    <definedName name="QQQQQQQQ" localSheetId="18" hidden="1">#REF!</definedName>
    <definedName name="QQQQQQQQ" localSheetId="7" hidden="1">#REF!</definedName>
    <definedName name="QQQQQQQQ" localSheetId="23" hidden="1">#REF!</definedName>
    <definedName name="QQQQQQQQ" hidden="1">#REF!</definedName>
    <definedName name="QREAL_PCLIENTE" localSheetId="12">#REF!</definedName>
    <definedName name="QREAL_PCLIENTE" localSheetId="30">#REF!</definedName>
    <definedName name="QREAL_PCLIENTE" localSheetId="28">#REF!</definedName>
    <definedName name="QREAL_PCLIENTE" localSheetId="27">#REF!</definedName>
    <definedName name="QREAL_PCLIENTE" localSheetId="18">#REF!</definedName>
    <definedName name="QREAL_PCLIENTE" localSheetId="7">#REF!</definedName>
    <definedName name="QREAL_PCLIENTE" localSheetId="23">#REF!</definedName>
    <definedName name="QREAL_PCLIENTE">#REF!</definedName>
    <definedName name="QReal_PCliente1" localSheetId="12">#REF!</definedName>
    <definedName name="QReal_PCliente1" localSheetId="30">#REF!</definedName>
    <definedName name="QReal_PCliente1" localSheetId="28">#REF!</definedName>
    <definedName name="QReal_PCliente1" localSheetId="27">#REF!</definedName>
    <definedName name="QReal_PCliente1" localSheetId="18">#REF!</definedName>
    <definedName name="QReal_PCliente1" localSheetId="7">#REF!</definedName>
    <definedName name="QReal_PCliente1" localSheetId="23">#REF!</definedName>
    <definedName name="QReal_PCliente1">#REF!</definedName>
    <definedName name="QSQWSE" localSheetId="3" hidden="1">{#N/A,#N/A,FALSE,"Plan1";#N/A,#N/A,FALSE,"Plan2"}</definedName>
    <definedName name="QSQWSE" localSheetId="33" hidden="1">{#N/A,#N/A,FALSE,"Plan1";#N/A,#N/A,FALSE,"Plan2"}</definedName>
    <definedName name="QSQWSE" localSheetId="35" hidden="1">{#N/A,#N/A,FALSE,"Plan1";#N/A,#N/A,FALSE,"Plan2"}</definedName>
    <definedName name="QSQWSE" hidden="1">{#N/A,#N/A,FALSE,"Plan1";#N/A,#N/A,FALSE,"Plan2"}</definedName>
    <definedName name="qtd_mensal" localSheetId="12">#REF!</definedName>
    <definedName name="qtd_mensal" localSheetId="30">#REF!</definedName>
    <definedName name="qtd_mensal" localSheetId="28">#REF!</definedName>
    <definedName name="qtd_mensal" localSheetId="27">#REF!</definedName>
    <definedName name="qtd_mensal" localSheetId="18">#REF!</definedName>
    <definedName name="qtd_mensal" localSheetId="7">#REF!</definedName>
    <definedName name="qtd_mensal" localSheetId="23">#REF!</definedName>
    <definedName name="qtd_mensal">#REF!</definedName>
    <definedName name="qtd3esta" localSheetId="12">#REF!</definedName>
    <definedName name="qtd3esta" localSheetId="30">#REF!</definedName>
    <definedName name="qtd3esta" localSheetId="28">#REF!</definedName>
    <definedName name="qtd3esta" localSheetId="27">#REF!</definedName>
    <definedName name="qtd3esta" localSheetId="18">#REF!</definedName>
    <definedName name="qtd3esta" localSheetId="7">#REF!</definedName>
    <definedName name="qtd3esta" localSheetId="23">#REF!</definedName>
    <definedName name="qtd3esta">#REF!</definedName>
    <definedName name="qtdbase" localSheetId="12">#REF!</definedName>
    <definedName name="qtdbase" localSheetId="30">#REF!</definedName>
    <definedName name="qtdbase" localSheetId="28">#REF!</definedName>
    <definedName name="qtdbase" localSheetId="27">#REF!</definedName>
    <definedName name="qtdbase" localSheetId="18">#REF!</definedName>
    <definedName name="qtdbase" localSheetId="7">#REF!</definedName>
    <definedName name="qtdbase" localSheetId="23">#REF!</definedName>
    <definedName name="qtdbase">#REF!</definedName>
    <definedName name="qtdbltub" localSheetId="12">#REF!</definedName>
    <definedName name="qtdbltub" localSheetId="30">#REF!</definedName>
    <definedName name="qtdbltub" localSheetId="28">#REF!</definedName>
    <definedName name="qtdbltub" localSheetId="27">#REF!</definedName>
    <definedName name="qtdbltub" localSheetId="18">#REF!</definedName>
    <definedName name="qtdbltub" localSheetId="7">#REF!</definedName>
    <definedName name="qtdbltub" localSheetId="23">#REF!</definedName>
    <definedName name="qtdbltub">#REF!</definedName>
    <definedName name="qtdestac" localSheetId="12">#REF!</definedName>
    <definedName name="qtdestac" localSheetId="30">#REF!</definedName>
    <definedName name="qtdestac" localSheetId="28">#REF!</definedName>
    <definedName name="qtdestac" localSheetId="27">#REF!</definedName>
    <definedName name="qtdestac" localSheetId="18">#REF!</definedName>
    <definedName name="qtdestac" localSheetId="7">#REF!</definedName>
    <definedName name="qtdestac" localSheetId="23">#REF!</definedName>
    <definedName name="qtdestac">#REF!</definedName>
    <definedName name="qtdsap" localSheetId="12">#REF!</definedName>
    <definedName name="qtdsap" localSheetId="30">#REF!</definedName>
    <definedName name="qtdsap" localSheetId="28">#REF!</definedName>
    <definedName name="qtdsap" localSheetId="27">#REF!</definedName>
    <definedName name="qtdsap" localSheetId="18">#REF!</definedName>
    <definedName name="qtdsap" localSheetId="7">#REF!</definedName>
    <definedName name="qtdsap" localSheetId="23">#REF!</definedName>
    <definedName name="qtdsap">#REF!</definedName>
    <definedName name="qtdtub" localSheetId="12">#REF!</definedName>
    <definedName name="qtdtub" localSheetId="30">#REF!</definedName>
    <definedName name="qtdtub" localSheetId="28">#REF!</definedName>
    <definedName name="qtdtub" localSheetId="27">#REF!</definedName>
    <definedName name="qtdtub" localSheetId="18">#REF!</definedName>
    <definedName name="qtdtub" localSheetId="7">#REF!</definedName>
    <definedName name="qtdtub" localSheetId="23">#REF!</definedName>
    <definedName name="qtdtub">#REF!</definedName>
    <definedName name="QTNULO" localSheetId="12">#REF!</definedName>
    <definedName name="QTNULO" localSheetId="30">#REF!</definedName>
    <definedName name="QTNULO" localSheetId="28">#REF!</definedName>
    <definedName name="QTNULO" localSheetId="27">#REF!</definedName>
    <definedName name="QTNULO" localSheetId="18">#REF!</definedName>
    <definedName name="QTNULO" localSheetId="7">#REF!</definedName>
    <definedName name="QTNULO" localSheetId="23">#REF!</definedName>
    <definedName name="QTNULO">#REF!</definedName>
    <definedName name="QTPADRAO" localSheetId="12">#REF!</definedName>
    <definedName name="QTPADRAO" localSheetId="30">#REF!</definedName>
    <definedName name="QTPADRAO" localSheetId="28">#REF!</definedName>
    <definedName name="QTPADRAO" localSheetId="27">#REF!</definedName>
    <definedName name="QTPADRAO" localSheetId="18">#REF!</definedName>
    <definedName name="QTPADRAO" localSheetId="7">#REF!</definedName>
    <definedName name="QTPADRAO" localSheetId="23">#REF!</definedName>
    <definedName name="QTPADRAO">#REF!</definedName>
    <definedName name="QTRES" localSheetId="12">#REF!</definedName>
    <definedName name="QTRES" localSheetId="30">#REF!</definedName>
    <definedName name="QTRES" localSheetId="28">#REF!</definedName>
    <definedName name="QTRES" localSheetId="27">#REF!</definedName>
    <definedName name="QTRES" localSheetId="18">#REF!</definedName>
    <definedName name="QTRES" localSheetId="7">#REF!</definedName>
    <definedName name="QTRES" localSheetId="23">#REF!</definedName>
    <definedName name="QTRES">#REF!</definedName>
    <definedName name="QuadraE" localSheetId="12">#REF!</definedName>
    <definedName name="QuadraE" localSheetId="30">#REF!</definedName>
    <definedName name="QuadraE" localSheetId="28">#REF!</definedName>
    <definedName name="QuadraE" localSheetId="27">#REF!</definedName>
    <definedName name="QuadraE" localSheetId="21">#REF!</definedName>
    <definedName name="QuadraE" localSheetId="18">#REF!</definedName>
    <definedName name="QuadraE" localSheetId="7">#REF!</definedName>
    <definedName name="QuadraE" localSheetId="23">#REF!</definedName>
    <definedName name="QuadraE">#REF!</definedName>
    <definedName name="quadrocompar." localSheetId="12">#REF!</definedName>
    <definedName name="quadrocompar." localSheetId="30">#REF!</definedName>
    <definedName name="quadrocompar." localSheetId="28">#REF!</definedName>
    <definedName name="quadrocompar." localSheetId="27">#REF!</definedName>
    <definedName name="quadrocompar." localSheetId="18">#REF!</definedName>
    <definedName name="quadrocompar." localSheetId="7">#REF!</definedName>
    <definedName name="quadrocompar." localSheetId="23">#REF!</definedName>
    <definedName name="quadrocompar.">#REF!</definedName>
    <definedName name="QUANT" localSheetId="12">#REF!</definedName>
    <definedName name="QUANT" localSheetId="30">#REF!</definedName>
    <definedName name="QUANT" localSheetId="28">#REF!</definedName>
    <definedName name="QUANT" localSheetId="27">#REF!</definedName>
    <definedName name="QUANT" localSheetId="18">#REF!</definedName>
    <definedName name="QUANT" localSheetId="7">#REF!</definedName>
    <definedName name="QUANT" localSheetId="23">#REF!</definedName>
    <definedName name="QUANT">#REF!</definedName>
    <definedName name="Quant_Aptos" localSheetId="12">#REF!</definedName>
    <definedName name="Quant_Aptos" localSheetId="30">#REF!</definedName>
    <definedName name="Quant_Aptos" localSheetId="28">#REF!</definedName>
    <definedName name="Quant_Aptos" localSheetId="27">#REF!</definedName>
    <definedName name="Quant_Aptos" localSheetId="18">#REF!</definedName>
    <definedName name="Quant_Aptos" localSheetId="35">#REF!</definedName>
    <definedName name="Quant_Aptos" localSheetId="7">#REF!</definedName>
    <definedName name="Quant_Aptos" localSheetId="23">#REF!</definedName>
    <definedName name="Quant_Aptos">#REF!</definedName>
    <definedName name="Quant_Cremalheira" localSheetId="12">#REF!</definedName>
    <definedName name="Quant_Cremalheira" localSheetId="30">#REF!</definedName>
    <definedName name="Quant_Cremalheira" localSheetId="28">#REF!</definedName>
    <definedName name="Quant_Cremalheira" localSheetId="27">#REF!</definedName>
    <definedName name="Quant_Cremalheira" localSheetId="18">#REF!</definedName>
    <definedName name="Quant_Cremalheira" localSheetId="35">#REF!</definedName>
    <definedName name="Quant_Cremalheira" localSheetId="7">#REF!</definedName>
    <definedName name="Quant_Cremalheira" localSheetId="23">#REF!</definedName>
    <definedName name="Quant_Cremalheira">#REF!</definedName>
    <definedName name="Quant_grua" localSheetId="12">#REF!</definedName>
    <definedName name="Quant_grua" localSheetId="30">#REF!</definedName>
    <definedName name="Quant_grua" localSheetId="28">#REF!</definedName>
    <definedName name="Quant_grua" localSheetId="27">#REF!</definedName>
    <definedName name="Quant_grua" localSheetId="18">#REF!</definedName>
    <definedName name="Quant_grua" localSheetId="35">#REF!</definedName>
    <definedName name="Quant_grua" localSheetId="7">#REF!</definedName>
    <definedName name="Quant_grua" localSheetId="23">#REF!</definedName>
    <definedName name="Quant_grua">#REF!</definedName>
    <definedName name="Quant_pav_lajão" localSheetId="12">#REF!</definedName>
    <definedName name="Quant_pav_lajão" localSheetId="30">#REF!</definedName>
    <definedName name="Quant_pav_lajão" localSheetId="28">#REF!</definedName>
    <definedName name="Quant_pav_lajão" localSheetId="27">#REF!</definedName>
    <definedName name="Quant_pav_lajão" localSheetId="18">#REF!</definedName>
    <definedName name="Quant_pav_lajão" localSheetId="35">#REF!</definedName>
    <definedName name="Quant_pav_lajão" localSheetId="7">#REF!</definedName>
    <definedName name="Quant_pav_lajão" localSheetId="23">#REF!</definedName>
    <definedName name="Quant_pav_lajão">#REF!</definedName>
    <definedName name="Quant_tipo" localSheetId="12">#REF!</definedName>
    <definedName name="Quant_tipo" localSheetId="30">#REF!</definedName>
    <definedName name="Quant_tipo" localSheetId="28">#REF!</definedName>
    <definedName name="Quant_tipo" localSheetId="27">#REF!</definedName>
    <definedName name="Quant_tipo" localSheetId="18">#REF!</definedName>
    <definedName name="Quant_tipo" localSheetId="35">#REF!</definedName>
    <definedName name="Quant_tipo" localSheetId="7">#REF!</definedName>
    <definedName name="Quant_tipo" localSheetId="23">#REF!</definedName>
    <definedName name="Quant_tipo">#REF!</definedName>
    <definedName name="Quant_torres" localSheetId="12">#REF!</definedName>
    <definedName name="Quant_torres" localSheetId="30">#REF!</definedName>
    <definedName name="Quant_torres" localSheetId="28">#REF!</definedName>
    <definedName name="Quant_torres" localSheetId="27">#REF!</definedName>
    <definedName name="Quant_torres" localSheetId="18">#REF!</definedName>
    <definedName name="Quant_torres" localSheetId="35">#REF!</definedName>
    <definedName name="Quant_torres" localSheetId="7">#REF!</definedName>
    <definedName name="Quant_torres" localSheetId="23">#REF!</definedName>
    <definedName name="Quant_torres">#REF!</definedName>
    <definedName name="Quantidade_Elevadores" localSheetId="12">#REF!</definedName>
    <definedName name="Quantidade_Elevadores" localSheetId="30">#REF!</definedName>
    <definedName name="Quantidade_Elevadores" localSheetId="28">#REF!</definedName>
    <definedName name="Quantidade_Elevadores" localSheetId="27">#REF!</definedName>
    <definedName name="Quantidade_Elevadores" localSheetId="18">#REF!</definedName>
    <definedName name="Quantidade_Elevadores" localSheetId="35">#REF!</definedName>
    <definedName name="Quantidade_Elevadores" localSheetId="7">#REF!</definedName>
    <definedName name="Quantidade_Elevadores" localSheetId="23">#REF!</definedName>
    <definedName name="Quantidade_Elevadores">#REF!</definedName>
    <definedName name="QUANTP" localSheetId="12">#REF!</definedName>
    <definedName name="QUANTP" localSheetId="30">#REF!</definedName>
    <definedName name="QUANTP" localSheetId="28">#REF!</definedName>
    <definedName name="QUANTP" localSheetId="27">#REF!</definedName>
    <definedName name="QUANTP" localSheetId="18">#REF!</definedName>
    <definedName name="QUANTP" localSheetId="7">#REF!</definedName>
    <definedName name="QUANTP" localSheetId="23">#REF!</definedName>
    <definedName name="QUANTP">#REF!</definedName>
    <definedName name="QUATRO" localSheetId="12">#REF!</definedName>
    <definedName name="QUATRO" localSheetId="30">#REF!</definedName>
    <definedName name="QUATRO" localSheetId="28">#REF!</definedName>
    <definedName name="QUATRO" localSheetId="27">#REF!</definedName>
    <definedName name="QUATRO" localSheetId="21">#REF!</definedName>
    <definedName name="QUATRO" localSheetId="18">#REF!</definedName>
    <definedName name="QUATRO" localSheetId="7">#REF!</definedName>
    <definedName name="QUATRO" localSheetId="23">#REF!</definedName>
    <definedName name="QUATRO">#REF!</definedName>
    <definedName name="QUINZE" localSheetId="12">#REF!</definedName>
    <definedName name="QUINZE" localSheetId="30">#REF!</definedName>
    <definedName name="QUINZE" localSheetId="28">#REF!</definedName>
    <definedName name="QUINZE" localSheetId="27">#REF!</definedName>
    <definedName name="QUINZE" localSheetId="21">#REF!</definedName>
    <definedName name="QUINZE" localSheetId="18">#REF!</definedName>
    <definedName name="QUINZE" localSheetId="7">#REF!</definedName>
    <definedName name="QUINZE" localSheetId="23">#REF!</definedName>
    <definedName name="QUINZE">#REF!</definedName>
    <definedName name="qwdqw" localSheetId="33" hidden="1">{#N/A,#N/A,FALSE,"Plan1";#N/A,#N/A,FALSE,"Plan2"}</definedName>
    <definedName name="qwdqw" localSheetId="35" hidden="1">{#N/A,#N/A,FALSE,"Plan1";#N/A,#N/A,FALSE,"Plan2"}</definedName>
    <definedName name="qwdqw" hidden="1">{#N/A,#N/A,FALSE,"Plan1";#N/A,#N/A,FALSE,"Plan2"}</definedName>
    <definedName name="qweqwe" localSheetId="3" hidden="1">{#N/A,#N/A,FALSE,"Plan1";#N/A,#N/A,FALSE,"Plan2"}</definedName>
    <definedName name="qweqwe" localSheetId="33" hidden="1">{#N/A,#N/A,FALSE,"Plan1";#N/A,#N/A,FALSE,"Plan2"}</definedName>
    <definedName name="qweqwe" localSheetId="35" hidden="1">{#N/A,#N/A,FALSE,"Plan1";#N/A,#N/A,FALSE,"Plan2"}</definedName>
    <definedName name="qweqwe" hidden="1">{#N/A,#N/A,FALSE,"Plan1";#N/A,#N/A,FALSE,"Plan2"}</definedName>
    <definedName name="qweqwe4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3" hidden="1">#REF!</definedName>
    <definedName name="qwewqe" localSheetId="12" hidden="1">#REF!</definedName>
    <definedName name="qwewqe" localSheetId="30" hidden="1">#REF!</definedName>
    <definedName name="qwewqe" localSheetId="28" hidden="1">#REF!</definedName>
    <definedName name="qwewqe" localSheetId="27" hidden="1">#REF!</definedName>
    <definedName name="qwewqe" localSheetId="18" hidden="1">#REF!</definedName>
    <definedName name="qwewqe" localSheetId="7" hidden="1">#REF!</definedName>
    <definedName name="qwewqe" localSheetId="23" hidden="1">#REF!</definedName>
    <definedName name="qwewqe" hidden="1">#REF!</definedName>
    <definedName name="qwqw" localSheetId="12" hidden="1">#REF!</definedName>
    <definedName name="qwqw" localSheetId="30" hidden="1">#REF!</definedName>
    <definedName name="qwqw" localSheetId="28" hidden="1">#REF!</definedName>
    <definedName name="qwqw" localSheetId="27" hidden="1">#REF!</definedName>
    <definedName name="qwqw" localSheetId="18" hidden="1">#REF!</definedName>
    <definedName name="qwqw" localSheetId="7" hidden="1">#REF!</definedName>
    <definedName name="qwqw" localSheetId="23" hidden="1">#REF!</definedName>
    <definedName name="qwqw" hidden="1">#REF!</definedName>
    <definedName name="R.imobAtualiz" localSheetId="12">#REF!</definedName>
    <definedName name="R.imobAtualiz" localSheetId="30">#REF!</definedName>
    <definedName name="R.imobAtualiz" localSheetId="28">#REF!</definedName>
    <definedName name="R.imobAtualiz" localSheetId="27">#REF!</definedName>
    <definedName name="R.imobAtualiz" localSheetId="18">#REF!</definedName>
    <definedName name="R.imobAtualiz" localSheetId="7">#REF!</definedName>
    <definedName name="R.imobAtualiz" localSheetId="23">#REF!</definedName>
    <definedName name="R.imobAtualiz">#REF!</definedName>
    <definedName name="R_CorretAtualiz" localSheetId="12">#REF!</definedName>
    <definedName name="R_CorretAtualiz" localSheetId="30">#REF!</definedName>
    <definedName name="R_CorretAtualiz" localSheetId="28">#REF!</definedName>
    <definedName name="R_CorretAtualiz" localSheetId="27">#REF!</definedName>
    <definedName name="R_CorretAtualiz" localSheetId="18">#REF!</definedName>
    <definedName name="R_CorretAtualiz" localSheetId="7">#REF!</definedName>
    <definedName name="R_CorretAtualiz" localSheetId="23">#REF!</definedName>
    <definedName name="R_CorretAtualiz">#REF!</definedName>
    <definedName name="R_G.Cobr.Atualiz" localSheetId="12">#REF!</definedName>
    <definedName name="R_G.Cobr.Atualiz" localSheetId="30">#REF!</definedName>
    <definedName name="R_G.Cobr.Atualiz" localSheetId="28">#REF!</definedName>
    <definedName name="R_G.Cobr.Atualiz" localSheetId="27">#REF!</definedName>
    <definedName name="R_G.Cobr.Atualiz" localSheetId="18">#REF!</definedName>
    <definedName name="R_G.Cobr.Atualiz" localSheetId="7">#REF!</definedName>
    <definedName name="R_G.Cobr.Atualiz" localSheetId="23">#REF!</definedName>
    <definedName name="R_G.Cobr.Atualiz">#REF!</definedName>
    <definedName name="R_PmaisJAtualiz" localSheetId="12">#REF!</definedName>
    <definedName name="R_PmaisJAtualiz" localSheetId="30">#REF!</definedName>
    <definedName name="R_PmaisJAtualiz" localSheetId="28">#REF!</definedName>
    <definedName name="R_PmaisJAtualiz" localSheetId="27">#REF!</definedName>
    <definedName name="R_PmaisJAtualiz" localSheetId="18">#REF!</definedName>
    <definedName name="R_PmaisJAtualiz" localSheetId="7">#REF!</definedName>
    <definedName name="R_PmaisJAtualiz" localSheetId="23">#REF!</definedName>
    <definedName name="R_PmaisJAtualiz">#REF!</definedName>
    <definedName name="R_Prev.PerdaAtualiz" localSheetId="12">#REF!</definedName>
    <definedName name="R_Prev.PerdaAtualiz" localSheetId="30">#REF!</definedName>
    <definedName name="R_Prev.PerdaAtualiz" localSheetId="28">#REF!</definedName>
    <definedName name="R_Prev.PerdaAtualiz" localSheetId="27">#REF!</definedName>
    <definedName name="R_Prev.PerdaAtualiz" localSheetId="18">#REF!</definedName>
    <definedName name="R_Prev.PerdaAtualiz" localSheetId="7">#REF!</definedName>
    <definedName name="R_Prev.PerdaAtualiz" localSheetId="23">#REF!</definedName>
    <definedName name="R_Prev.PerdaAtualiz">#REF!</definedName>
    <definedName name="RADIO" localSheetId="33" hidden="1">{"HW",#N/A,FALSE,"1998"}</definedName>
    <definedName name="RADIO" localSheetId="35" hidden="1">{"HW",#N/A,FALSE,"1998"}</definedName>
    <definedName name="RADIO" hidden="1">{"HW",#N/A,FALSE,"1998"}</definedName>
    <definedName name="RANGE" localSheetId="12">#REF!</definedName>
    <definedName name="RANGE" localSheetId="30">#REF!</definedName>
    <definedName name="RANGE" localSheetId="28">#REF!</definedName>
    <definedName name="RANGE" localSheetId="27">#REF!</definedName>
    <definedName name="RANGE" localSheetId="18">#REF!</definedName>
    <definedName name="RANGE" localSheetId="7">#REF!</definedName>
    <definedName name="RANGE" localSheetId="23">#REF!</definedName>
    <definedName name="RANGE">#REF!</definedName>
    <definedName name="RANGE1" localSheetId="12">#REF!</definedName>
    <definedName name="RANGE1" localSheetId="30">#REF!</definedName>
    <definedName name="RANGE1" localSheetId="28">#REF!</definedName>
    <definedName name="RANGE1" localSheetId="27">#REF!</definedName>
    <definedName name="RANGE1" localSheetId="18">#REF!</definedName>
    <definedName name="RANGE1" localSheetId="7">#REF!</definedName>
    <definedName name="RANGE1" localSheetId="23">#REF!</definedName>
    <definedName name="RANGE1">#REF!</definedName>
    <definedName name="RANGE2" localSheetId="12">#REF!</definedName>
    <definedName name="RANGE2" localSheetId="30">#REF!</definedName>
    <definedName name="RANGE2" localSheetId="28">#REF!</definedName>
    <definedName name="RANGE2" localSheetId="27">#REF!</definedName>
    <definedName name="RANGE2" localSheetId="18">#REF!</definedName>
    <definedName name="RANGE2" localSheetId="7">#REF!</definedName>
    <definedName name="RANGE2" localSheetId="23">#REF!</definedName>
    <definedName name="RANGE2">#REF!</definedName>
    <definedName name="RARQIMP" localSheetId="12">#REF!</definedName>
    <definedName name="RARQIMP" localSheetId="30">#REF!</definedName>
    <definedName name="RARQIMP" localSheetId="28">#REF!</definedName>
    <definedName name="RARQIMP" localSheetId="27">#REF!</definedName>
    <definedName name="RARQIMP" localSheetId="18">#REF!</definedName>
    <definedName name="RARQIMP" localSheetId="7">#REF!</definedName>
    <definedName name="RARQIMP" localSheetId="23">#REF!</definedName>
    <definedName name="RARQIMP">#REF!</definedName>
    <definedName name="RawData" localSheetId="12">#REF!</definedName>
    <definedName name="RawData" localSheetId="30">#REF!</definedName>
    <definedName name="RawData" localSheetId="28">#REF!</definedName>
    <definedName name="RawData" localSheetId="27">#REF!</definedName>
    <definedName name="RawData" localSheetId="18">#REF!</definedName>
    <definedName name="RawData" localSheetId="7">#REF!</definedName>
    <definedName name="RawData" localSheetId="23">#REF!</definedName>
    <definedName name="RawData">#REF!</definedName>
    <definedName name="RE" localSheetId="12">#REF!</definedName>
    <definedName name="RE" localSheetId="30">#REF!</definedName>
    <definedName name="RE" localSheetId="28">#REF!</definedName>
    <definedName name="RE" localSheetId="27">#REF!</definedName>
    <definedName name="RE" localSheetId="18">#REF!</definedName>
    <definedName name="RE" localSheetId="7">#REF!</definedName>
    <definedName name="RE" localSheetId="23">#REF!</definedName>
    <definedName name="RE">#REF!</definedName>
    <definedName name="RECADUC" localSheetId="12">#REF!</definedName>
    <definedName name="RECADUC" localSheetId="30">#REF!</definedName>
    <definedName name="RECADUC" localSheetId="28">#REF!</definedName>
    <definedName name="RECADUC" localSheetId="27">#REF!</definedName>
    <definedName name="RECADUC" localSheetId="18">#REF!</definedName>
    <definedName name="RECADUC" localSheetId="7">#REF!</definedName>
    <definedName name="RECADUC" localSheetId="23">#REF!</definedName>
    <definedName name="RECADUC">#REF!</definedName>
    <definedName name="Recebido_Acumulado_2015_Controladoria" localSheetId="12">#REF!</definedName>
    <definedName name="Recebido_Acumulado_2015_Controladoria" localSheetId="30">#REF!</definedName>
    <definedName name="Recebido_Acumulado_2015_Controladoria" localSheetId="28">#REF!</definedName>
    <definedName name="Recebido_Acumulado_2015_Controladoria" localSheetId="27">#REF!</definedName>
    <definedName name="Recebido_Acumulado_2015_Controladoria" localSheetId="18">#REF!</definedName>
    <definedName name="Recebido_Acumulado_2015_Controladoria" localSheetId="7">#REF!</definedName>
    <definedName name="Recebido_Acumulado_2015_Controladoria" localSheetId="23">#REF!</definedName>
    <definedName name="Recebido_Acumulado_2015_Controladoria">#REF!</definedName>
    <definedName name="RE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3">#REF!</definedName>
    <definedName name="reforsu" localSheetId="12">#REF!</definedName>
    <definedName name="reforsu" localSheetId="30">#REF!</definedName>
    <definedName name="reforsu" localSheetId="28">#REF!</definedName>
    <definedName name="reforsu" localSheetId="27">#REF!</definedName>
    <definedName name="reforsu" localSheetId="18">#REF!</definedName>
    <definedName name="reforsu" localSheetId="7">#REF!</definedName>
    <definedName name="reforsu" localSheetId="23">#REF!</definedName>
    <definedName name="reforsu">#REF!</definedName>
    <definedName name="REL_RJ" localSheetId="12">#REF!</definedName>
    <definedName name="REL_RJ" localSheetId="30">#REF!</definedName>
    <definedName name="REL_RJ" localSheetId="28">#REF!</definedName>
    <definedName name="REL_RJ" localSheetId="27">#REF!</definedName>
    <definedName name="REL_RJ" localSheetId="18">#REF!</definedName>
    <definedName name="REL_RJ" localSheetId="7">#REF!</definedName>
    <definedName name="REL_RJ" localSheetId="23">#REF!</definedName>
    <definedName name="REL_RJ">#REF!</definedName>
    <definedName name="REL_SP" localSheetId="12">#REF!</definedName>
    <definedName name="REL_SP" localSheetId="30">#REF!</definedName>
    <definedName name="REL_SP" localSheetId="28">#REF!</definedName>
    <definedName name="REL_SP" localSheetId="27">#REF!</definedName>
    <definedName name="REL_SP" localSheetId="18">#REF!</definedName>
    <definedName name="REL_SP" localSheetId="7">#REF!</definedName>
    <definedName name="REL_SP" localSheetId="23">#REF!</definedName>
    <definedName name="REL_SP">#REF!</definedName>
    <definedName name="relat3" localSheetId="12">#REF!</definedName>
    <definedName name="relat3" localSheetId="30">#REF!</definedName>
    <definedName name="relat3" localSheetId="28">#REF!</definedName>
    <definedName name="relat3" localSheetId="27">#REF!</definedName>
    <definedName name="relat3" localSheetId="18">#REF!</definedName>
    <definedName name="relat3" localSheetId="7">#REF!</definedName>
    <definedName name="relat3" localSheetId="23">#REF!</definedName>
    <definedName name="relat3">#REF!</definedName>
    <definedName name="ren" localSheetId="3">#REF!</definedName>
    <definedName name="ren" localSheetId="12">#REF!</definedName>
    <definedName name="ren" localSheetId="30">#REF!</definedName>
    <definedName name="ren" localSheetId="28">#REF!</definedName>
    <definedName name="ren" localSheetId="27">#REF!</definedName>
    <definedName name="ren" localSheetId="18">#REF!</definedName>
    <definedName name="ren" localSheetId="7">#REF!</definedName>
    <definedName name="ren" localSheetId="23">#REF!</definedName>
    <definedName name="ren">#REF!</definedName>
    <definedName name="REPETIÇÃO" localSheetId="12">#REF!</definedName>
    <definedName name="REPETIÇÃO" localSheetId="30">#REF!</definedName>
    <definedName name="REPETIÇÃO" localSheetId="28">#REF!</definedName>
    <definedName name="REPETIÇÃO" localSheetId="27">#REF!</definedName>
    <definedName name="REPETIÇÃO" localSheetId="21">#REF!</definedName>
    <definedName name="REPETIÇÃO" localSheetId="18">#REF!</definedName>
    <definedName name="REPETIÇÃO" localSheetId="7">#REF!</definedName>
    <definedName name="REPETIÇÃO" localSheetId="23">#REF!</definedName>
    <definedName name="REPETIÇÃO">#REF!</definedName>
    <definedName name="ReqC" localSheetId="12">#REF!</definedName>
    <definedName name="ReqC" localSheetId="30">#REF!</definedName>
    <definedName name="ReqC" localSheetId="28">#REF!</definedName>
    <definedName name="ReqC" localSheetId="27">#REF!</definedName>
    <definedName name="ReqC" localSheetId="18">#REF!</definedName>
    <definedName name="ReqC" localSheetId="7">#REF!</definedName>
    <definedName name="ReqC" localSheetId="23">#REF!</definedName>
    <definedName name="ReqC">#REF!</definedName>
    <definedName name="Responsável_Rel_Controladoria" localSheetId="12">#REF!</definedName>
    <definedName name="Responsável_Rel_Controladoria" localSheetId="30">#REF!</definedName>
    <definedName name="Responsável_Rel_Controladoria" localSheetId="28">#REF!</definedName>
    <definedName name="Responsável_Rel_Controladoria" localSheetId="27">#REF!</definedName>
    <definedName name="Responsável_Rel_Controladoria" localSheetId="18">#REF!</definedName>
    <definedName name="Responsável_Rel_Controladoria" localSheetId="7">#REF!</definedName>
    <definedName name="Responsável_Rel_Controladoria" localSheetId="23">#REF!</definedName>
    <definedName name="Responsável_Rel_Controladoria">#REF!</definedName>
    <definedName name="resum" localSheetId="3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35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 localSheetId="12">#REF!</definedName>
    <definedName name="RESUMO" localSheetId="30">#REF!</definedName>
    <definedName name="RESUMO" localSheetId="28">#REF!</definedName>
    <definedName name="RESUMO" localSheetId="27">#REF!</definedName>
    <definedName name="RESUMO" localSheetId="18">#REF!</definedName>
    <definedName name="RESUMO" localSheetId="7">#REF!</definedName>
    <definedName name="RESUMO" localSheetId="23">#REF!</definedName>
    <definedName name="RESUMO">#REF!</definedName>
    <definedName name="RESUMO2" localSheetId="33" hidden="1">{#N/A,#N/A,TRUE,"Quinzena 01 à 15-04-98 "}</definedName>
    <definedName name="RESUMO2" localSheetId="35" hidden="1">{#N/A,#N/A,TRUE,"Quinzena 01 à 15-04-98 "}</definedName>
    <definedName name="RESUMO2" hidden="1">{#N/A,#N/A,TRUE,"Quinzena 01 à 15-04-98 "}</definedName>
    <definedName name="REV" localSheetId="3">#REF!</definedName>
    <definedName name="REV" localSheetId="12">#REF!</definedName>
    <definedName name="REV" localSheetId="30">#REF!</definedName>
    <definedName name="REV" localSheetId="28">#REF!</definedName>
    <definedName name="REV" localSheetId="27">#REF!</definedName>
    <definedName name="REV" localSheetId="18">#REF!</definedName>
    <definedName name="REV" localSheetId="7">#REF!</definedName>
    <definedName name="REV" localSheetId="23">#REF!</definedName>
    <definedName name="REV">#REF!</definedName>
    <definedName name="RF" localSheetId="33" hidden="1">{#N/A,#N/A,FALSE,"CCTV"}</definedName>
    <definedName name="RF" localSheetId="35" hidden="1">{#N/A,#N/A,FALSE,"CCTV"}</definedName>
    <definedName name="RF" hidden="1">{#N/A,#N/A,FALSE,"CCTV"}</definedName>
    <definedName name="rgedrfrgfdg" localSheetId="3" hidden="1">{#N/A,#N/A,FALSE,"Plan1";#N/A,#N/A,FALSE,"Plan2"}</definedName>
    <definedName name="rgedrfrgfdg" localSheetId="33" hidden="1">{#N/A,#N/A,FALSE,"Plan1";#N/A,#N/A,FALSE,"Plan2"}</definedName>
    <definedName name="rgedrfrgfdg" localSheetId="35" hidden="1">{#N/A,#N/A,FALSE,"Plan1";#N/A,#N/A,FALSE,"Plan2"}</definedName>
    <definedName name="rgedrfrgfdg" hidden="1">{#N/A,#N/A,FALSE,"Plan1";#N/A,#N/A,FALSE,"Plan2"}</definedName>
    <definedName name="rhdrmq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 localSheetId="12">#REF!</definedName>
    <definedName name="RI" localSheetId="30">#REF!</definedName>
    <definedName name="RI" localSheetId="28">#REF!</definedName>
    <definedName name="RI" localSheetId="27">#REF!</definedName>
    <definedName name="RI" localSheetId="18">#REF!</definedName>
    <definedName name="RI" localSheetId="7">#REF!</definedName>
    <definedName name="RI" localSheetId="23">#REF!</definedName>
    <definedName name="RI">#REF!</definedName>
    <definedName name="ridbeb" localSheetId="12">#REF!</definedName>
    <definedName name="ridbeb" localSheetId="30">#REF!</definedName>
    <definedName name="ridbeb" localSheetId="28">#REF!</definedName>
    <definedName name="ridbeb" localSheetId="27">#REF!</definedName>
    <definedName name="ridbeb" localSheetId="18">#REF!</definedName>
    <definedName name="ridbeb" localSheetId="7">#REF!</definedName>
    <definedName name="ridbeb" localSheetId="23">#REF!</definedName>
    <definedName name="ridbeb">#REF!</definedName>
    <definedName name="RIDCHAF" localSheetId="12">#REF!</definedName>
    <definedName name="RIDCHAF" localSheetId="30">#REF!</definedName>
    <definedName name="RIDCHAF" localSheetId="28">#REF!</definedName>
    <definedName name="RIDCHAF" localSheetId="27">#REF!</definedName>
    <definedName name="RIDCHAF" localSheetId="18">#REF!</definedName>
    <definedName name="RIDCHAF" localSheetId="7">#REF!</definedName>
    <definedName name="RIDCHAF" localSheetId="23">#REF!</definedName>
    <definedName name="RIDCHAF">#REF!</definedName>
    <definedName name="ridres05" localSheetId="12">#REF!</definedName>
    <definedName name="ridres05" localSheetId="30">#REF!</definedName>
    <definedName name="ridres05" localSheetId="28">#REF!</definedName>
    <definedName name="ridres05" localSheetId="27">#REF!</definedName>
    <definedName name="ridres05" localSheetId="18">#REF!</definedName>
    <definedName name="ridres05" localSheetId="7">#REF!</definedName>
    <definedName name="ridres05" localSheetId="23">#REF!</definedName>
    <definedName name="ridres05">#REF!</definedName>
    <definedName name="RIDRES10" localSheetId="12">#REF!</definedName>
    <definedName name="RIDRES10" localSheetId="30">#REF!</definedName>
    <definedName name="RIDRES10" localSheetId="28">#REF!</definedName>
    <definedName name="RIDRES10" localSheetId="27">#REF!</definedName>
    <definedName name="RIDRES10" localSheetId="18">#REF!</definedName>
    <definedName name="RIDRES10" localSheetId="7">#REF!</definedName>
    <definedName name="RIDRES10" localSheetId="23">#REF!</definedName>
    <definedName name="RIDRES10">#REF!</definedName>
    <definedName name="RIDRES15" localSheetId="12">#REF!</definedName>
    <definedName name="RIDRES15" localSheetId="30">#REF!</definedName>
    <definedName name="RIDRES15" localSheetId="28">#REF!</definedName>
    <definedName name="RIDRES15" localSheetId="27">#REF!</definedName>
    <definedName name="RIDRES15" localSheetId="18">#REF!</definedName>
    <definedName name="RIDRES15" localSheetId="7">#REF!</definedName>
    <definedName name="RIDRES15" localSheetId="23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 localSheetId="12">#REF!</definedName>
    <definedName name="RO" localSheetId="30">#REF!</definedName>
    <definedName name="RO" localSheetId="28">#REF!</definedName>
    <definedName name="RO" localSheetId="27">#REF!</definedName>
    <definedName name="RO" localSheetId="18">#REF!</definedName>
    <definedName name="RO" localSheetId="7">#REF!</definedName>
    <definedName name="RO" localSheetId="23">#REF!</definedName>
    <definedName name="RO">#REF!</definedName>
    <definedName name="Rodapé" localSheetId="12">#REF!</definedName>
    <definedName name="Rodapé" localSheetId="30">#REF!</definedName>
    <definedName name="Rodapé" localSheetId="28">#REF!</definedName>
    <definedName name="Rodapé" localSheetId="27">#REF!</definedName>
    <definedName name="Rodapé" localSheetId="18">#REF!</definedName>
    <definedName name="Rodapé" localSheetId="7">#REF!</definedName>
    <definedName name="Rodapé" localSheetId="23">#REF!</definedName>
    <definedName name="Rodapé">#REF!</definedName>
    <definedName name="RODAPÉS" localSheetId="12">#REF!</definedName>
    <definedName name="RODAPÉS" localSheetId="30">#REF!</definedName>
    <definedName name="RODAPÉS" localSheetId="28">#REF!</definedName>
    <definedName name="RODAPÉS" localSheetId="27">#REF!</definedName>
    <definedName name="RODAPÉS" localSheetId="18">#REF!</definedName>
    <definedName name="RODAPÉS" localSheetId="7">#REF!</definedName>
    <definedName name="RODAPÉS" localSheetId="23">#REF!</definedName>
    <definedName name="RODAPÉS">#REF!</definedName>
    <definedName name="ROMANO" localSheetId="12">#REF!</definedName>
    <definedName name="ROMANO" localSheetId="30">#REF!</definedName>
    <definedName name="ROMANO" localSheetId="28">#REF!</definedName>
    <definedName name="ROMANO" localSheetId="27">#REF!</definedName>
    <definedName name="ROMANO" localSheetId="18">#REF!</definedName>
    <definedName name="ROMANO" localSheetId="7">#REF!</definedName>
    <definedName name="ROMANO" localSheetId="23">#REF!</definedName>
    <definedName name="ROMANO">#REF!</definedName>
    <definedName name="ROTCOMP" localSheetId="12">#REF!</definedName>
    <definedName name="ROTCOMP" localSheetId="30">#REF!</definedName>
    <definedName name="ROTCOMP" localSheetId="28">#REF!</definedName>
    <definedName name="ROTCOMP" localSheetId="27">#REF!</definedName>
    <definedName name="ROTCOMP" localSheetId="18">#REF!</definedName>
    <definedName name="ROTCOMP" localSheetId="7">#REF!</definedName>
    <definedName name="ROTCOMP" localSheetId="23">#REF!</definedName>
    <definedName name="ROTCOMP">#REF!</definedName>
    <definedName name="ROTIMP" localSheetId="12">#REF!</definedName>
    <definedName name="ROTIMP" localSheetId="30">#REF!</definedName>
    <definedName name="ROTIMP" localSheetId="28">#REF!</definedName>
    <definedName name="ROTIMP" localSheetId="27">#REF!</definedName>
    <definedName name="ROTIMP" localSheetId="18">#REF!</definedName>
    <definedName name="ROTIMP" localSheetId="7">#REF!</definedName>
    <definedName name="ROTIMP" localSheetId="23">#REF!</definedName>
    <definedName name="ROTIMP">#REF!</definedName>
    <definedName name="ROTRES" localSheetId="12">#REF!</definedName>
    <definedName name="ROTRES" localSheetId="30">#REF!</definedName>
    <definedName name="ROTRES" localSheetId="28">#REF!</definedName>
    <definedName name="ROTRES" localSheetId="27">#REF!</definedName>
    <definedName name="ROTRES" localSheetId="18">#REF!</definedName>
    <definedName name="ROTRES" localSheetId="7">#REF!</definedName>
    <definedName name="ROTRES" localSheetId="23">#REF!</definedName>
    <definedName name="ROTRES">#REF!</definedName>
    <definedName name="RQTADUC" localSheetId="12">#REF!</definedName>
    <definedName name="RQTADUC" localSheetId="30">#REF!</definedName>
    <definedName name="RQTADUC" localSheetId="28">#REF!</definedName>
    <definedName name="RQTADUC" localSheetId="27">#REF!</definedName>
    <definedName name="RQTADUC" localSheetId="18">#REF!</definedName>
    <definedName name="RQTADUC" localSheetId="7">#REF!</definedName>
    <definedName name="RQTADUC" localSheetId="23">#REF!</definedName>
    <definedName name="RQTADUC">#REF!</definedName>
    <definedName name="rqtbeb" localSheetId="12">#REF!</definedName>
    <definedName name="rqtbeb" localSheetId="30">#REF!</definedName>
    <definedName name="rqtbeb" localSheetId="28">#REF!</definedName>
    <definedName name="rqtbeb" localSheetId="27">#REF!</definedName>
    <definedName name="rqtbeb" localSheetId="18">#REF!</definedName>
    <definedName name="rqtbeb" localSheetId="7">#REF!</definedName>
    <definedName name="rqtbeb" localSheetId="23">#REF!</definedName>
    <definedName name="rqtbeb">#REF!</definedName>
    <definedName name="RQTCHAF" localSheetId="12">#REF!</definedName>
    <definedName name="RQTCHAF" localSheetId="30">#REF!</definedName>
    <definedName name="RQTCHAF" localSheetId="28">#REF!</definedName>
    <definedName name="RQTCHAF" localSheetId="27">#REF!</definedName>
    <definedName name="RQTCHAF" localSheetId="18">#REF!</definedName>
    <definedName name="RQTCHAF" localSheetId="7">#REF!</definedName>
    <definedName name="RQTCHAF" localSheetId="23">#REF!</definedName>
    <definedName name="RQTCHAF">#REF!</definedName>
    <definedName name="RQTDERV" localSheetId="12">#REF!</definedName>
    <definedName name="RQTDERV" localSheetId="30">#REF!</definedName>
    <definedName name="RQTDERV" localSheetId="28">#REF!</definedName>
    <definedName name="RQTDERV" localSheetId="27">#REF!</definedName>
    <definedName name="RQTDERV" localSheetId="18">#REF!</definedName>
    <definedName name="RQTDERV" localSheetId="7">#REF!</definedName>
    <definedName name="RQTDERV" localSheetId="23">#REF!</definedName>
    <definedName name="RQTDERV">#REF!</definedName>
    <definedName name="rres05" localSheetId="12">#REF!</definedName>
    <definedName name="rres05" localSheetId="30">#REF!</definedName>
    <definedName name="rres05" localSheetId="28">#REF!</definedName>
    <definedName name="rres05" localSheetId="27">#REF!</definedName>
    <definedName name="rres05" localSheetId="18">#REF!</definedName>
    <definedName name="rres05" localSheetId="7">#REF!</definedName>
    <definedName name="rres05" localSheetId="23">#REF!</definedName>
    <definedName name="rres05">#REF!</definedName>
    <definedName name="RRES10" localSheetId="12">#REF!</definedName>
    <definedName name="RRES10" localSheetId="30">#REF!</definedName>
    <definedName name="RRES10" localSheetId="28">#REF!</definedName>
    <definedName name="RRES10" localSheetId="27">#REF!</definedName>
    <definedName name="RRES10" localSheetId="18">#REF!</definedName>
    <definedName name="RRES10" localSheetId="7">#REF!</definedName>
    <definedName name="RRES10" localSheetId="23">#REF!</definedName>
    <definedName name="RRES10">#REF!</definedName>
    <definedName name="RRES15" localSheetId="12">#REF!</definedName>
    <definedName name="RRES15" localSheetId="30">#REF!</definedName>
    <definedName name="RRES15" localSheetId="28">#REF!</definedName>
    <definedName name="RRES15" localSheetId="27">#REF!</definedName>
    <definedName name="RRES15" localSheetId="18">#REF!</definedName>
    <definedName name="RRES15" localSheetId="7">#REF!</definedName>
    <definedName name="RRES15" localSheetId="23">#REF!</definedName>
    <definedName name="RRES15">#REF!</definedName>
    <definedName name="RRES20" localSheetId="12">#REF!</definedName>
    <definedName name="RRES20" localSheetId="30">#REF!</definedName>
    <definedName name="RRES20" localSheetId="28">#REF!</definedName>
    <definedName name="RRES20" localSheetId="27">#REF!</definedName>
    <definedName name="RRES20" localSheetId="18">#REF!</definedName>
    <definedName name="RRES20" localSheetId="7">#REF!</definedName>
    <definedName name="RRES20" localSheetId="23">#REF!</definedName>
    <definedName name="RRES20">#REF!</definedName>
    <definedName name="RRR" localSheetId="12" hidden="1">#REF!</definedName>
    <definedName name="RRR" localSheetId="30" hidden="1">#REF!</definedName>
    <definedName name="RRR" localSheetId="28" hidden="1">#REF!</definedName>
    <definedName name="RRR" localSheetId="27" hidden="1">#REF!</definedName>
    <definedName name="RRR" localSheetId="18" hidden="1">#REF!</definedName>
    <definedName name="RRR" localSheetId="7" hidden="1">#REF!</definedName>
    <definedName name="RRR" localSheetId="23" hidden="1">#REF!</definedName>
    <definedName name="RRR" hidden="1">#REF!</definedName>
    <definedName name="rrrrr" localSheetId="33" hidden="1">{"'장비'!$A$3:$M$12"}</definedName>
    <definedName name="rrrrr" localSheetId="35" hidden="1">{"'장비'!$A$3:$M$12"}</definedName>
    <definedName name="rrrrr" hidden="1">{"'장비'!$A$3:$M$12"}</definedName>
    <definedName name="rrrrrrrr" localSheetId="33" hidden="1">{"'장비'!$A$3:$M$12"}</definedName>
    <definedName name="rrrrrrrr" localSheetId="35" hidden="1">{"'장비'!$A$3:$M$12"}</definedName>
    <definedName name="rrrrrrrr" hidden="1">{"'장비'!$A$3:$M$12"}</definedName>
    <definedName name="rrrrrrrrrrr" localSheetId="33" hidden="1">{#N/A,#N/A,TRUE,"Quinzena 01 à 15-04-98 "}</definedName>
    <definedName name="rrrrrrrrrrr" localSheetId="35" hidden="1">{#N/A,#N/A,TRUE,"Quinzena 01 à 15-04-98 "}</definedName>
    <definedName name="rrrrrrrrrrr" hidden="1">{#N/A,#N/A,TRUE,"Quinzena 01 à 15-04-98 "}</definedName>
    <definedName name="RSEQ" localSheetId="12">#REF!</definedName>
    <definedName name="RSEQ" localSheetId="30">#REF!</definedName>
    <definedName name="RSEQ" localSheetId="28">#REF!</definedName>
    <definedName name="RSEQ" localSheetId="27">#REF!</definedName>
    <definedName name="RSEQ" localSheetId="18">#REF!</definedName>
    <definedName name="RSEQ" localSheetId="7">#REF!</definedName>
    <definedName name="RSEQ" localSheetId="23">#REF!</definedName>
    <definedName name="RSEQ">#REF!</definedName>
    <definedName name="RSUBTOT" localSheetId="12">#REF!</definedName>
    <definedName name="RSUBTOT" localSheetId="30">#REF!</definedName>
    <definedName name="RSUBTOT" localSheetId="28">#REF!</definedName>
    <definedName name="RSUBTOT" localSheetId="27">#REF!</definedName>
    <definedName name="RSUBTOT" localSheetId="18">#REF!</definedName>
    <definedName name="RSUBTOT" localSheetId="7">#REF!</definedName>
    <definedName name="RSUBTOT" localSheetId="23">#REF!</definedName>
    <definedName name="RSUBTOT">#REF!</definedName>
    <definedName name="rtitbeb" localSheetId="12">#REF!</definedName>
    <definedName name="rtitbeb" localSheetId="30">#REF!</definedName>
    <definedName name="rtitbeb" localSheetId="28">#REF!</definedName>
    <definedName name="rtitbeb" localSheetId="27">#REF!</definedName>
    <definedName name="rtitbeb" localSheetId="18">#REF!</definedName>
    <definedName name="rtitbeb" localSheetId="7">#REF!</definedName>
    <definedName name="rtitbeb" localSheetId="23">#REF!</definedName>
    <definedName name="rtitbeb">#REF!</definedName>
    <definedName name="RTITCHAF" localSheetId="12">#REF!</definedName>
    <definedName name="RTITCHAF" localSheetId="30">#REF!</definedName>
    <definedName name="RTITCHAF" localSheetId="28">#REF!</definedName>
    <definedName name="RTITCHAF" localSheetId="27">#REF!</definedName>
    <definedName name="RTITCHAF" localSheetId="18">#REF!</definedName>
    <definedName name="RTITCHAF" localSheetId="7">#REF!</definedName>
    <definedName name="RTITCHAF" localSheetId="23">#REF!</definedName>
    <definedName name="RTITCHAF">#REF!</definedName>
    <definedName name="rtubos" localSheetId="12">#REF!</definedName>
    <definedName name="rtubos" localSheetId="30">#REF!</definedName>
    <definedName name="rtubos" localSheetId="28">#REF!</definedName>
    <definedName name="rtubos" localSheetId="27">#REF!</definedName>
    <definedName name="rtubos" localSheetId="18">#REF!</definedName>
    <definedName name="rtubos" localSheetId="7">#REF!</definedName>
    <definedName name="rtubos" localSheetId="23">#REF!</definedName>
    <definedName name="rtubos">#REF!</definedName>
    <definedName name="RTYE" localSheetId="33" hidden="1">{"'장비'!$A$3:$M$12"}</definedName>
    <definedName name="RTYE" localSheetId="35" hidden="1">{"'장비'!$A$3:$M$12"}</definedName>
    <definedName name="RTYE" hidden="1">{"'장비'!$A$3:$M$12"}</definedName>
    <definedName name="s" localSheetId="12">#REF!</definedName>
    <definedName name="s" localSheetId="30">#REF!</definedName>
    <definedName name="s" localSheetId="28">#REF!</definedName>
    <definedName name="s" localSheetId="27">#REF!</definedName>
    <definedName name="s" localSheetId="18">#REF!</definedName>
    <definedName name="s" localSheetId="7">#REF!</definedName>
    <definedName name="s" localSheetId="23">#REF!</definedName>
    <definedName name="s">#REF!</definedName>
    <definedName name="sa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3" hidden="1">{#N/A,#N/A,FALSE,"Plan1";#N/A,#N/A,FALSE,"Plan2"}</definedName>
    <definedName name="sadasd" localSheetId="33" hidden="1">{#N/A,#N/A,FALSE,"Plan1";#N/A,#N/A,FALSE,"Plan2"}</definedName>
    <definedName name="sadasd" localSheetId="35" hidden="1">{#N/A,#N/A,FALSE,"Plan1";#N/A,#N/A,FALSE,"Plan2"}</definedName>
    <definedName name="sadasd" hidden="1">{#N/A,#N/A,FALSE,"Plan1";#N/A,#N/A,FALSE,"Plan2"}</definedName>
    <definedName name="sadke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3" hidden="1">{#N/A,#N/A,FALSE,"Plan1";#N/A,#N/A,FALSE,"Plan2"}</definedName>
    <definedName name="sadkrjkedft" localSheetId="33" hidden="1">{#N/A,#N/A,FALSE,"Plan1";#N/A,#N/A,FALSE,"Plan2"}</definedName>
    <definedName name="sadkrjkedft" localSheetId="35" hidden="1">{#N/A,#N/A,FALSE,"Plan1";#N/A,#N/A,FALSE,"Plan2"}</definedName>
    <definedName name="sadkrjkedft" hidden="1">{#N/A,#N/A,FALSE,"Plan1";#N/A,#N/A,FALSE,"Plan2"}</definedName>
    <definedName name="SADSRTR" localSheetId="3" hidden="1">{#N/A,#N/A,FALSE,"Plan1";#N/A,#N/A,FALSE,"Plan2"}</definedName>
    <definedName name="SADSRTR" localSheetId="33" hidden="1">{#N/A,#N/A,FALSE,"Plan1";#N/A,#N/A,FALSE,"Plan2"}</definedName>
    <definedName name="SADSRTR" localSheetId="35" hidden="1">{#N/A,#N/A,FALSE,"Plan1";#N/A,#N/A,FALSE,"Plan2"}</definedName>
    <definedName name="SADSRTR" hidden="1">{#N/A,#N/A,FALSE,"Plan1";#N/A,#N/A,FALSE,"Plan2"}</definedName>
    <definedName name="sadwde" localSheetId="3" hidden="1">{#N/A,#N/A,FALSE,"Plan1";#N/A,#N/A,FALSE,"Plan2"}</definedName>
    <definedName name="sadwde" localSheetId="33" hidden="1">{#N/A,#N/A,FALSE,"Plan1";#N/A,#N/A,FALSE,"Plan2"}</definedName>
    <definedName name="sadwde" localSheetId="35" hidden="1">{#N/A,#N/A,FALSE,"Plan1";#N/A,#N/A,FALSE,"Plan2"}</definedName>
    <definedName name="sadwde" hidden="1">{#N/A,#N/A,FALSE,"Plan1";#N/A,#N/A,FALSE,"Plan2"}</definedName>
    <definedName name="Salas" localSheetId="12">#REF!</definedName>
    <definedName name="Salas" localSheetId="30">#REF!</definedName>
    <definedName name="Salas" localSheetId="28">#REF!</definedName>
    <definedName name="Salas" localSheetId="27">#REF!</definedName>
    <definedName name="Salas" localSheetId="18">#REF!</definedName>
    <definedName name="Salas" localSheetId="7">#REF!</definedName>
    <definedName name="Salas" localSheetId="23">#REF!</definedName>
    <definedName name="Salas">#REF!</definedName>
    <definedName name="sanjay" localSheetId="33" hidden="1">{#N/A,#N/A,FALSE,"TABLE"}</definedName>
    <definedName name="sanjay" localSheetId="35" hidden="1">{#N/A,#N/A,FALSE,"TABLE"}</definedName>
    <definedName name="sanjay" hidden="1">{#N/A,#N/A,FALSE,"TABLE"}</definedName>
    <definedName name="sapata" localSheetId="12">#REF!</definedName>
    <definedName name="sapata" localSheetId="30">#REF!</definedName>
    <definedName name="sapata" localSheetId="28">#REF!</definedName>
    <definedName name="sapata" localSheetId="27">#REF!</definedName>
    <definedName name="sapata" localSheetId="18">#REF!</definedName>
    <definedName name="sapata" localSheetId="7">#REF!</definedName>
    <definedName name="sapata" localSheetId="23">#REF!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localSheetId="3" hidden="1">{#N/A,#N/A,FALSE,"Plan1";#N/A,#N/A,FALSE,"Plan2"}</definedName>
    <definedName name="SAS" localSheetId="33" hidden="1">{#N/A,#N/A,FALSE,"Plan1";#N/A,#N/A,FALSE,"Plan2"}</definedName>
    <definedName name="SAS" localSheetId="35" hidden="1">{#N/A,#N/A,FALSE,"Plan1";#N/A,#N/A,FALSE,"Plan2"}</definedName>
    <definedName name="SAS" hidden="1">{#N/A,#N/A,FALSE,"Plan1";#N/A,#N/A,FALSE,"Plan2"}</definedName>
    <definedName name="sasads" localSheetId="3" hidden="1">{#N/A,#N/A,FALSE,"Plan1";#N/A,#N/A,FALSE,"Plan2"}</definedName>
    <definedName name="sasads" localSheetId="33" hidden="1">{#N/A,#N/A,FALSE,"Plan1";#N/A,#N/A,FALSE,"Plan2"}</definedName>
    <definedName name="sasads" localSheetId="35" hidden="1">{#N/A,#N/A,FALSE,"Plan1";#N/A,#N/A,FALSE,"Plan2"}</definedName>
    <definedName name="sasads" hidden="1">{#N/A,#N/A,FALSE,"Plan1";#N/A,#N/A,FALSE,"Plan2"}</definedName>
    <definedName name="SC" localSheetId="12" hidden="1">#REF!</definedName>
    <definedName name="SC" localSheetId="30" hidden="1">#REF!</definedName>
    <definedName name="SC" localSheetId="28" hidden="1">#REF!</definedName>
    <definedName name="SC" localSheetId="27" hidden="1">#REF!</definedName>
    <definedName name="SC" localSheetId="18" hidden="1">#REF!</definedName>
    <definedName name="SC" localSheetId="7" hidden="1">#REF!</definedName>
    <definedName name="SC" localSheetId="23" hidden="1">#REF!</definedName>
    <definedName name="SC" hidden="1">#REF!</definedName>
    <definedName name="sçadldfsfd" hidden="1">25</definedName>
    <definedName name="sda" localSheetId="12">#REF!</definedName>
    <definedName name="sda" localSheetId="30">#REF!</definedName>
    <definedName name="sda" localSheetId="28">#REF!</definedName>
    <definedName name="sda" localSheetId="27">#REF!</definedName>
    <definedName name="sda" localSheetId="18">#REF!</definedName>
    <definedName name="sda" localSheetId="7">#REF!</definedName>
    <definedName name="sda" localSheetId="23">#REF!</definedName>
    <definedName name="sda">#REF!</definedName>
    <definedName name="sda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3" hidden="1">{#N/A,#N/A,FALSE,"Plan1";#N/A,#N/A,FALSE,"Plan2"}</definedName>
    <definedName name="SDAOTGFR" localSheetId="33" hidden="1">{#N/A,#N/A,FALSE,"Plan1";#N/A,#N/A,FALSE,"Plan2"}</definedName>
    <definedName name="SDAOTGFR" localSheetId="35" hidden="1">{#N/A,#N/A,FALSE,"Plan1";#N/A,#N/A,FALSE,"Plan2"}</definedName>
    <definedName name="SDAOTGFR" hidden="1">{#N/A,#N/A,FALSE,"Plan1";#N/A,#N/A,FALSE,"Plan2"}</definedName>
    <definedName name="sdckd" localSheetId="3" hidden="1">{#N/A,#N/A,FALSE,"Plan1";#N/A,#N/A,FALSE,"Plan2"}</definedName>
    <definedName name="sdckd" localSheetId="33" hidden="1">{#N/A,#N/A,FALSE,"Plan1";#N/A,#N/A,FALSE,"Plan2"}</definedName>
    <definedName name="sdckd" localSheetId="35" hidden="1">{#N/A,#N/A,FALSE,"Plan1";#N/A,#N/A,FALSE,"Plan2"}</definedName>
    <definedName name="sdckd" hidden="1">{#N/A,#N/A,FALSE,"Plan1";#N/A,#N/A,FALSE,"Plan2"}</definedName>
    <definedName name="SDDFKSEDE" localSheetId="3" hidden="1">{#N/A,#N/A,FALSE,"Plan1";#N/A,#N/A,FALSE,"Plan2"}</definedName>
    <definedName name="SDDFKSEDE" localSheetId="33" hidden="1">{#N/A,#N/A,FALSE,"Plan1";#N/A,#N/A,FALSE,"Plan2"}</definedName>
    <definedName name="SDDFKSEDE" localSheetId="35" hidden="1">{#N/A,#N/A,FALSE,"Plan1";#N/A,#N/A,FALSE,"Plan2"}</definedName>
    <definedName name="SDDFKSEDE" hidden="1">{#N/A,#N/A,FALSE,"Plan1";#N/A,#N/A,FALSE,"Plan2"}</definedName>
    <definedName name="sddkslker" localSheetId="3" hidden="1">{#N/A,#N/A,FALSE,"Plan1";#N/A,#N/A,FALSE,"Plan2"}</definedName>
    <definedName name="sddkslker" localSheetId="33" hidden="1">{#N/A,#N/A,FALSE,"Plan1";#N/A,#N/A,FALSE,"Plan2"}</definedName>
    <definedName name="sddkslker" localSheetId="35" hidden="1">{#N/A,#N/A,FALSE,"Plan1";#N/A,#N/A,FALSE,"Plan2"}</definedName>
    <definedName name="sddkslker" hidden="1">{#N/A,#N/A,FALSE,"Plan1";#N/A,#N/A,FALSE,"Plan2"}</definedName>
    <definedName name="sdefr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3" hidden="1">#REF!</definedName>
    <definedName name="sdert" localSheetId="12" hidden="1">#REF!</definedName>
    <definedName name="sdert" localSheetId="30" hidden="1">#REF!</definedName>
    <definedName name="sdert" localSheetId="28" hidden="1">#REF!</definedName>
    <definedName name="sdert" localSheetId="27" hidden="1">#REF!</definedName>
    <definedName name="sdert" localSheetId="18" hidden="1">#REF!</definedName>
    <definedName name="sdert" localSheetId="7" hidden="1">#REF!</definedName>
    <definedName name="sdert" localSheetId="23" hidden="1">#REF!</definedName>
    <definedName name="sdert" hidden="1">#REF!</definedName>
    <definedName name="sdf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3" hidden="1">{#N/A,#N/A,FALSE,"Plan1";#N/A,#N/A,FALSE,"Plan2"}</definedName>
    <definedName name="sdfdds" localSheetId="33" hidden="1">{#N/A,#N/A,FALSE,"Plan1";#N/A,#N/A,FALSE,"Plan2"}</definedName>
    <definedName name="sdfdds" localSheetId="35" hidden="1">{#N/A,#N/A,FALSE,"Plan1";#N/A,#N/A,FALSE,"Plan2"}</definedName>
    <definedName name="sdfdds" hidden="1">{#N/A,#N/A,FALSE,"Plan1";#N/A,#N/A,FALSE,"Plan2"}</definedName>
    <definedName name="sdfdfc" localSheetId="3" hidden="1">{#N/A,#N/A,FALSE,"Plan1";#N/A,#N/A,FALSE,"Plan2"}</definedName>
    <definedName name="sdfdfc" localSheetId="33" hidden="1">{#N/A,#N/A,FALSE,"Plan1";#N/A,#N/A,FALSE,"Plan2"}</definedName>
    <definedName name="sdfdfc" localSheetId="35" hidden="1">{#N/A,#N/A,FALSE,"Plan1";#N/A,#N/A,FALSE,"Plan2"}</definedName>
    <definedName name="sdfdfc" hidden="1">{#N/A,#N/A,FALSE,"Plan1";#N/A,#N/A,FALSE,"Plan2"}</definedName>
    <definedName name="sdfdf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3" hidden="1">{#N/A,#N/A,FALSE,"Plan1";#N/A,#N/A,FALSE,"Plan2"}</definedName>
    <definedName name="sdfdgft" localSheetId="33" hidden="1">{#N/A,#N/A,FALSE,"Plan1";#N/A,#N/A,FALSE,"Plan2"}</definedName>
    <definedName name="sdfdgft" localSheetId="35" hidden="1">{#N/A,#N/A,FALSE,"Plan1";#N/A,#N/A,FALSE,"Plan2"}</definedName>
    <definedName name="sdfdgft" hidden="1">{#N/A,#N/A,FALSE,"Plan1";#N/A,#N/A,FALSE,"Plan2"}</definedName>
    <definedName name="sdfdsf" localSheetId="3" hidden="1">{#N/A,#N/A,FALSE,"Plan1";#N/A,#N/A,FALSE,"Plan2"}</definedName>
    <definedName name="sdfdsf" localSheetId="33" hidden="1">{#N/A,#N/A,FALSE,"Plan1";#N/A,#N/A,FALSE,"Plan2"}</definedName>
    <definedName name="sdfdsf" localSheetId="35" hidden="1">{#N/A,#N/A,FALSE,"Plan1";#N/A,#N/A,FALSE,"Plan2"}</definedName>
    <definedName name="sdfdsf" hidden="1">{#N/A,#N/A,FALSE,"Plan1";#N/A,#N/A,FALSE,"Plan2"}</definedName>
    <definedName name="sdfdsf\da" localSheetId="3" hidden="1">{#N/A,#N/A,FALSE,"Plan1";#N/A,#N/A,FALSE,"Plan2"}</definedName>
    <definedName name="sdfdsf\da" localSheetId="33" hidden="1">{#N/A,#N/A,FALSE,"Plan1";#N/A,#N/A,FALSE,"Plan2"}</definedName>
    <definedName name="sdfdsf\da" localSheetId="35" hidden="1">{#N/A,#N/A,FALSE,"Plan1";#N/A,#N/A,FALSE,"Plan2"}</definedName>
    <definedName name="sdfdsf\da" hidden="1">{#N/A,#N/A,FALSE,"Plan1";#N/A,#N/A,FALSE,"Plan2"}</definedName>
    <definedName name="SDFEDRT" localSheetId="3" hidden="1">{#N/A,#N/A,FALSE,"Plan1";#N/A,#N/A,FALSE,"Plan2"}</definedName>
    <definedName name="SDFEDRT" localSheetId="33" hidden="1">{#N/A,#N/A,FALSE,"Plan1";#N/A,#N/A,FALSE,"Plan2"}</definedName>
    <definedName name="SDFEDRT" localSheetId="35" hidden="1">{#N/A,#N/A,FALSE,"Plan1";#N/A,#N/A,FALSE,"Plan2"}</definedName>
    <definedName name="SDFEDRT" hidden="1">{#N/A,#N/A,FALSE,"Plan1";#N/A,#N/A,FALSE,"Plan2"}</definedName>
    <definedName name="sdfer" localSheetId="3" hidden="1">{#N/A,#N/A,FALSE,"Plan1";#N/A,#N/A,FALSE,"Plan2"}</definedName>
    <definedName name="sdfer" localSheetId="33" hidden="1">{#N/A,#N/A,FALSE,"Plan1";#N/A,#N/A,FALSE,"Plan2"}</definedName>
    <definedName name="sdfer" localSheetId="35" hidden="1">{#N/A,#N/A,FALSE,"Plan1";#N/A,#N/A,FALSE,"Plan2"}</definedName>
    <definedName name="sdfer" hidden="1">{#N/A,#N/A,FALSE,"Plan1";#N/A,#N/A,FALSE,"Plan2"}</definedName>
    <definedName name="sdferr" localSheetId="3" hidden="1">{#N/A,#N/A,FALSE,"Plan1";#N/A,#N/A,FALSE,"Plan2"}</definedName>
    <definedName name="sdferr" localSheetId="33" hidden="1">{#N/A,#N/A,FALSE,"Plan1";#N/A,#N/A,FALSE,"Plan2"}</definedName>
    <definedName name="sdferr" localSheetId="35" hidden="1">{#N/A,#N/A,FALSE,"Plan1";#N/A,#N/A,FALSE,"Plan2"}</definedName>
    <definedName name="sdferr" hidden="1">{#N/A,#N/A,FALSE,"Plan1";#N/A,#N/A,FALSE,"Plan2"}</definedName>
    <definedName name="sdfe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3" hidden="1">{#N/A,#N/A,FALSE,"Plan1";#N/A,#N/A,FALSE,"Plan2"}</definedName>
    <definedName name="SDFGJFSRF" localSheetId="33" hidden="1">{#N/A,#N/A,FALSE,"Plan1";#N/A,#N/A,FALSE,"Plan2"}</definedName>
    <definedName name="SDFGJFSRF" localSheetId="35" hidden="1">{#N/A,#N/A,FALSE,"Plan1";#N/A,#N/A,FALSE,"Plan2"}</definedName>
    <definedName name="SDFGJFSRF" hidden="1">{#N/A,#N/A,FALSE,"Plan1";#N/A,#N/A,FALSE,"Plan2"}</definedName>
    <definedName name="sdfgtr" localSheetId="3" hidden="1">{#N/A,#N/A,FALSE,"Plan1";#N/A,#N/A,FALSE,"Plan2"}</definedName>
    <definedName name="sdfgtr" localSheetId="33" hidden="1">{#N/A,#N/A,FALSE,"Plan1";#N/A,#N/A,FALSE,"Plan2"}</definedName>
    <definedName name="sdfgtr" localSheetId="35" hidden="1">{#N/A,#N/A,FALSE,"Plan1";#N/A,#N/A,FALSE,"Plan2"}</definedName>
    <definedName name="sdfgtr" hidden="1">{#N/A,#N/A,FALSE,"Plan1";#N/A,#N/A,FALSE,"Plan2"}</definedName>
    <definedName name="sdfjdetrt" localSheetId="3" hidden="1">{#N/A,#N/A,FALSE,"Plan1";#N/A,#N/A,FALSE,"Plan2"}</definedName>
    <definedName name="sdfjdetrt" localSheetId="33" hidden="1">{#N/A,#N/A,FALSE,"Plan1";#N/A,#N/A,FALSE,"Plan2"}</definedName>
    <definedName name="sdfjdetrt" localSheetId="35" hidden="1">{#N/A,#N/A,FALSE,"Plan1";#N/A,#N/A,FALSE,"Plan2"}</definedName>
    <definedName name="sdfjdetrt" hidden="1">{#N/A,#N/A,FALSE,"Plan1";#N/A,#N/A,FALSE,"Plan2"}</definedName>
    <definedName name="SDFJDRTJEIDR" localSheetId="3" hidden="1">{#N/A,#N/A,FALSE,"Plan1";#N/A,#N/A,FALSE,"Plan2"}</definedName>
    <definedName name="SDFJDRTJEIDR" localSheetId="33" hidden="1">{#N/A,#N/A,FALSE,"Plan1";#N/A,#N/A,FALSE,"Plan2"}</definedName>
    <definedName name="SDFJDRTJEIDR" localSheetId="35" hidden="1">{#N/A,#N/A,FALSE,"Plan1";#N/A,#N/A,FALSE,"Plan2"}</definedName>
    <definedName name="SDFJDRTJEIDR" hidden="1">{#N/A,#N/A,FALSE,"Plan1";#N/A,#N/A,FALSE,"Plan2"}</definedName>
    <definedName name="sdfjergtij" localSheetId="3" hidden="1">{#N/A,#N/A,FALSE,"Plan1";#N/A,#N/A,FALSE,"Plan2"}</definedName>
    <definedName name="sdfjergtij" localSheetId="33" hidden="1">{#N/A,#N/A,FALSE,"Plan1";#N/A,#N/A,FALSE,"Plan2"}</definedName>
    <definedName name="sdfjergtij" localSheetId="35" hidden="1">{#N/A,#N/A,FALSE,"Plan1";#N/A,#N/A,FALSE,"Plan2"}</definedName>
    <definedName name="sdfjergtij" hidden="1">{#N/A,#N/A,FALSE,"Plan1";#N/A,#N/A,FALSE,"Plan2"}</definedName>
    <definedName name="SDFOPJKWE" localSheetId="3" hidden="1">{#N/A,#N/A,FALSE,"Plan1";#N/A,#N/A,FALSE,"Plan2"}</definedName>
    <definedName name="SDFOPJKWE" localSheetId="33" hidden="1">{#N/A,#N/A,FALSE,"Plan1";#N/A,#N/A,FALSE,"Plan2"}</definedName>
    <definedName name="SDFOPJKWE" localSheetId="35" hidden="1">{#N/A,#N/A,FALSE,"Plan1";#N/A,#N/A,FALSE,"Plan2"}</definedName>
    <definedName name="SDFOPJKWE" hidden="1">{#N/A,#N/A,FALSE,"Plan1";#N/A,#N/A,FALSE,"Plan2"}</definedName>
    <definedName name="sdfrdt5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3" hidden="1">{#N/A,#N/A,FALSE,"Plan1";#N/A,#N/A,FALSE,"Plan2"}</definedName>
    <definedName name="sdfrt" localSheetId="33" hidden="1">{#N/A,#N/A,FALSE,"Plan1";#N/A,#N/A,FALSE,"Plan2"}</definedName>
    <definedName name="sdfrt" localSheetId="35" hidden="1">{#N/A,#N/A,FALSE,"Plan1";#N/A,#N/A,FALSE,"Plan2"}</definedName>
    <definedName name="sdfrt" hidden="1">{#N/A,#N/A,FALSE,"Plan1";#N/A,#N/A,FALSE,"Plan2"}</definedName>
    <definedName name="SDFRTKK" localSheetId="3" hidden="1">{#N/A,#N/A,FALSE,"Plan1";#N/A,#N/A,FALSE,"Plan2"}</definedName>
    <definedName name="SDFRTKK" localSheetId="33" hidden="1">{#N/A,#N/A,FALSE,"Plan1";#N/A,#N/A,FALSE,"Plan2"}</definedName>
    <definedName name="SDFRTKK" localSheetId="35" hidden="1">{#N/A,#N/A,FALSE,"Plan1";#N/A,#N/A,FALSE,"Plan2"}</definedName>
    <definedName name="SDFRTKK" hidden="1">{#N/A,#N/A,FALSE,"Plan1";#N/A,#N/A,FALSE,"Plan2"}</definedName>
    <definedName name="SDFRTR" localSheetId="3" hidden="1">{#N/A,#N/A,FALSE,"Plan1";#N/A,#N/A,FALSE,"Plan2"}</definedName>
    <definedName name="SDFRTR" localSheetId="33" hidden="1">{#N/A,#N/A,FALSE,"Plan1";#N/A,#N/A,FALSE,"Plan2"}</definedName>
    <definedName name="SDFRTR" localSheetId="35" hidden="1">{#N/A,#N/A,FALSE,"Plan1";#N/A,#N/A,FALSE,"Plan2"}</definedName>
    <definedName name="SDFRTR" hidden="1">{#N/A,#N/A,FALSE,"Plan1";#N/A,#N/A,FALSE,"Plan2"}</definedName>
    <definedName name="sdfry6" localSheetId="3" hidden="1">{#N/A,#N/A,FALSE,"Plan1";#N/A,#N/A,FALSE,"Plan2"}</definedName>
    <definedName name="sdfry6" localSheetId="33" hidden="1">{#N/A,#N/A,FALSE,"Plan1";#N/A,#N/A,FALSE,"Plan2"}</definedName>
    <definedName name="sdfry6" localSheetId="35" hidden="1">{#N/A,#N/A,FALSE,"Plan1";#N/A,#N/A,FALSE,"Plan2"}</definedName>
    <definedName name="sdfry6" hidden="1">{#N/A,#N/A,FALSE,"Plan1";#N/A,#N/A,FALSE,"Plan2"}</definedName>
    <definedName name="sdfsaf" localSheetId="3" hidden="1">{#N/A,#N/A,FALSE,"Plan1";#N/A,#N/A,FALSE,"Plan2"}</definedName>
    <definedName name="sdfsaf" localSheetId="33" hidden="1">{#N/A,#N/A,FALSE,"Plan1";#N/A,#N/A,FALSE,"Plan2"}</definedName>
    <definedName name="sdfsaf" localSheetId="35" hidden="1">{#N/A,#N/A,FALSE,"Plan1";#N/A,#N/A,FALSE,"Plan2"}</definedName>
    <definedName name="sdfsaf" hidden="1">{#N/A,#N/A,FALSE,"Plan1";#N/A,#N/A,FALSE,"Plan2"}</definedName>
    <definedName name="sdfsd" localSheetId="33" hidden="1">{"'Estimativa de Lançamento-JAN'!$A$1:$AI$85"}</definedName>
    <definedName name="sdfsd" localSheetId="35" hidden="1">{"'Estimativa de Lançamento-JAN'!$A$1:$AI$85"}</definedName>
    <definedName name="sdfsd" hidden="1">{"'Estimativa de Lançamento-JAN'!$A$1:$AI$85"}</definedName>
    <definedName name="sdfsdfg" localSheetId="3" hidden="1">{#N/A,#N/A,FALSE,"Plan1";#N/A,#N/A,FALSE,"Plan2"}</definedName>
    <definedName name="sdfsdfg" localSheetId="33" hidden="1">{#N/A,#N/A,FALSE,"Plan1";#N/A,#N/A,FALSE,"Plan2"}</definedName>
    <definedName name="sdfsdfg" localSheetId="35" hidden="1">{#N/A,#N/A,FALSE,"Plan1";#N/A,#N/A,FALSE,"Plan2"}</definedName>
    <definedName name="sdfsdfg" hidden="1">{#N/A,#N/A,FALSE,"Plan1";#N/A,#N/A,FALSE,"Plan2"}</definedName>
    <definedName name="SDFSDFK" localSheetId="3" hidden="1">{#N/A,#N/A,FALSE,"Plan1";#N/A,#N/A,FALSE,"Plan2"}</definedName>
    <definedName name="SDFSDFK" localSheetId="33" hidden="1">{#N/A,#N/A,FALSE,"Plan1";#N/A,#N/A,FALSE,"Plan2"}</definedName>
    <definedName name="SDFSDFK" localSheetId="35" hidden="1">{#N/A,#N/A,FALSE,"Plan1";#N/A,#N/A,FALSE,"Plan2"}</definedName>
    <definedName name="SDFSDFK" hidden="1">{#N/A,#N/A,FALSE,"Plan1";#N/A,#N/A,FALSE,"Plan2"}</definedName>
    <definedName name="sdfsdgftret" localSheetId="3" hidden="1">{#N/A,#N/A,FALSE,"Plan1";#N/A,#N/A,FALSE,"Plan2"}</definedName>
    <definedName name="sdfsdgftret" localSheetId="33" hidden="1">{#N/A,#N/A,FALSE,"Plan1";#N/A,#N/A,FALSE,"Plan2"}</definedName>
    <definedName name="sdfsdgftret" localSheetId="35" hidden="1">{#N/A,#N/A,FALSE,"Plan1";#N/A,#N/A,FALSE,"Plan2"}</definedName>
    <definedName name="sdfsdgftret" hidden="1">{#N/A,#N/A,FALSE,"Plan1";#N/A,#N/A,FALSE,"Plan2"}</definedName>
    <definedName name="sdfsdr" hidden="1">1</definedName>
    <definedName name="sdfsf" localSheetId="3" hidden="1">{#N/A,#N/A,FALSE,"Plan1";#N/A,#N/A,FALSE,"Plan2"}</definedName>
    <definedName name="sdfsf" localSheetId="33" hidden="1">{#N/A,#N/A,FALSE,"Plan1";#N/A,#N/A,FALSE,"Plan2"}</definedName>
    <definedName name="sdfsf" localSheetId="35" hidden="1">{#N/A,#N/A,FALSE,"Plan1";#N/A,#N/A,FALSE,"Plan2"}</definedName>
    <definedName name="sdfsf" hidden="1">{#N/A,#N/A,FALSE,"Plan1";#N/A,#N/A,FALSE,"Plan2"}</definedName>
    <definedName name="SDFSFRT" localSheetId="3" hidden="1">{"Econ Consolidado",#N/A,FALSE,"Econ Consol";"Fluxo de Caixa",#N/A,FALSE,"Fluxo Caixa";"Investimentos",#N/A,FALSE,"Investimentos"}</definedName>
    <definedName name="SDFSFRT" localSheetId="33" hidden="1">{"Econ Consolidado",#N/A,FALSE,"Econ Consol";"Fluxo de Caixa",#N/A,FALSE,"Fluxo Caixa";"Investimentos",#N/A,FALSE,"Investimentos"}</definedName>
    <definedName name="SDFSFRT" localSheetId="35" hidden="1">{"Econ Consolidado",#N/A,FALSE,"Econ Consol";"Fluxo de Caixa",#N/A,FALSE,"Fluxo Caixa";"Investimentos",#N/A,FALSE,"Investimentos"}</definedName>
    <definedName name="SDFSFRT" hidden="1">{"Econ Consolidado",#N/A,FALSE,"Econ Consol";"Fluxo de Caixa",#N/A,FALSE,"Fluxo Caixa";"Investimentos",#N/A,FALSE,"Investimentos"}</definedName>
    <definedName name="sdfsr" localSheetId="3" hidden="1">{#N/A,#N/A,FALSE,"Plan1";#N/A,#N/A,FALSE,"Plan2"}</definedName>
    <definedName name="sdfsr" localSheetId="33" hidden="1">{#N/A,#N/A,FALSE,"Plan1";#N/A,#N/A,FALSE,"Plan2"}</definedName>
    <definedName name="sdfsr" localSheetId="35" hidden="1">{#N/A,#N/A,FALSE,"Plan1";#N/A,#N/A,FALSE,"Plan2"}</definedName>
    <definedName name="sdfsr" hidden="1">{#N/A,#N/A,FALSE,"Plan1";#N/A,#N/A,FALSE,"Plan2"}</definedName>
    <definedName name="sdfty" localSheetId="3" hidden="1">{#N/A,#N/A,FALSE,"Plan1";#N/A,#N/A,FALSE,"Plan2"}</definedName>
    <definedName name="sdfty" localSheetId="33" hidden="1">{#N/A,#N/A,FALSE,"Plan1";#N/A,#N/A,FALSE,"Plan2"}</definedName>
    <definedName name="sdfty" localSheetId="35" hidden="1">{#N/A,#N/A,FALSE,"Plan1";#N/A,#N/A,FALSE,"Plan2"}</definedName>
    <definedName name="sdfty" hidden="1">{#N/A,#N/A,FALSE,"Plan1";#N/A,#N/A,FALSE,"Plan2"}</definedName>
    <definedName name="sdgdf" localSheetId="3" hidden="1">{#N/A,#N/A,FALSE,"Plan1";#N/A,#N/A,FALSE,"Plan2"}</definedName>
    <definedName name="sdgdf" localSheetId="33" hidden="1">{#N/A,#N/A,FALSE,"Plan1";#N/A,#N/A,FALSE,"Plan2"}</definedName>
    <definedName name="sdgdf" localSheetId="35" hidden="1">{#N/A,#N/A,FALSE,"Plan1";#N/A,#N/A,FALSE,"Plan2"}</definedName>
    <definedName name="sdgdf" hidden="1">{#N/A,#N/A,FALSE,"Plan1";#N/A,#N/A,FALSE,"Plan2"}</definedName>
    <definedName name="sdgfrt" localSheetId="3" hidden="1">{#N/A,#N/A,FALSE,"Plan1";#N/A,#N/A,FALSE,"Plan2"}</definedName>
    <definedName name="sdgfrt" localSheetId="33" hidden="1">{#N/A,#N/A,FALSE,"Plan1";#N/A,#N/A,FALSE,"Plan2"}</definedName>
    <definedName name="sdgfrt" localSheetId="35" hidden="1">{#N/A,#N/A,FALSE,"Plan1";#N/A,#N/A,FALSE,"Plan2"}</definedName>
    <definedName name="sdgfrt" hidden="1">{#N/A,#N/A,FALSE,"Plan1";#N/A,#N/A,FALSE,"Plan2"}</definedName>
    <definedName name="sdgft" localSheetId="3" hidden="1">{#N/A,#N/A,FALSE,"Plan1";#N/A,#N/A,FALSE,"Plan2"}</definedName>
    <definedName name="sdgft" localSheetId="33" hidden="1">{#N/A,#N/A,FALSE,"Plan1";#N/A,#N/A,FALSE,"Plan2"}</definedName>
    <definedName name="sdgft" localSheetId="35" hidden="1">{#N/A,#N/A,FALSE,"Plan1";#N/A,#N/A,FALSE,"Plan2"}</definedName>
    <definedName name="sdgft" hidden="1">{#N/A,#N/A,FALSE,"Plan1";#N/A,#N/A,FALSE,"Plan2"}</definedName>
    <definedName name="sdgt" localSheetId="3" hidden="1">{#N/A,#N/A,FALSE,"Plan1";#N/A,#N/A,FALSE,"Plan2"}</definedName>
    <definedName name="sdgt" localSheetId="33" hidden="1">{#N/A,#N/A,FALSE,"Plan1";#N/A,#N/A,FALSE,"Plan2"}</definedName>
    <definedName name="sdgt" localSheetId="35" hidden="1">{#N/A,#N/A,FALSE,"Plan1";#N/A,#N/A,FALSE,"Plan2"}</definedName>
    <definedName name="sdgt" hidden="1">{#N/A,#N/A,FALSE,"Plan1";#N/A,#N/A,FALSE,"Plan2"}</definedName>
    <definedName name="sdgtry" localSheetId="3" hidden="1">#REF!</definedName>
    <definedName name="sdgtry" localSheetId="12" hidden="1">#REF!</definedName>
    <definedName name="sdgtry" localSheetId="30" hidden="1">#REF!</definedName>
    <definedName name="sdgtry" localSheetId="28" hidden="1">#REF!</definedName>
    <definedName name="sdgtry" localSheetId="27" hidden="1">#REF!</definedName>
    <definedName name="sdgtry" localSheetId="18" hidden="1">#REF!</definedName>
    <definedName name="sdgtry" localSheetId="7" hidden="1">#REF!</definedName>
    <definedName name="sdgtry" localSheetId="23" hidden="1">#REF!</definedName>
    <definedName name="sdgtry" hidden="1">#REF!</definedName>
    <definedName name="sdhfghdsfg" localSheetId="3" hidden="1">{#N/A,#N/A,FALSE,"Plan1";#N/A,#N/A,FALSE,"Plan2"}</definedName>
    <definedName name="sdhfghdsfg" localSheetId="33" hidden="1">{#N/A,#N/A,FALSE,"Plan1";#N/A,#N/A,FALSE,"Plan2"}</definedName>
    <definedName name="sdhfghdsfg" localSheetId="35" hidden="1">{#N/A,#N/A,FALSE,"Plan1";#N/A,#N/A,FALSE,"Plan2"}</definedName>
    <definedName name="sdhfghdsfg" hidden="1">{#N/A,#N/A,FALSE,"Plan1";#N/A,#N/A,FALSE,"Plan2"}</definedName>
    <definedName name="SDHFJKHDFJRE" localSheetId="3" hidden="1">{#N/A,#N/A,FALSE,"Plan1";#N/A,#N/A,FALSE,"Plan2"}</definedName>
    <definedName name="SDHFJKHDFJRE" localSheetId="33" hidden="1">{#N/A,#N/A,FALSE,"Plan1";#N/A,#N/A,FALSE,"Plan2"}</definedName>
    <definedName name="SDHFJKHDFJRE" localSheetId="35" hidden="1">{#N/A,#N/A,FALSE,"Plan1";#N/A,#N/A,FALSE,"Plan2"}</definedName>
    <definedName name="SDHFJKHDFJRE" hidden="1">{#N/A,#N/A,FALSE,"Plan1";#N/A,#N/A,FALSE,"Plan2"}</definedName>
    <definedName name="SDHKFDRKGTR" localSheetId="3" hidden="1">{#N/A,#N/A,FALSE,"Plan1";#N/A,#N/A,FALSE,"Plan2"}</definedName>
    <definedName name="SDHKFDRKGTR" localSheetId="33" hidden="1">{#N/A,#N/A,FALSE,"Plan1";#N/A,#N/A,FALSE,"Plan2"}</definedName>
    <definedName name="SDHKFDRKGTR" localSheetId="35" hidden="1">{#N/A,#N/A,FALSE,"Plan1";#N/A,#N/A,FALSE,"Plan2"}</definedName>
    <definedName name="SDHKFDRKGTR" hidden="1">{#N/A,#N/A,FALSE,"Plan1";#N/A,#N/A,FALSE,"Plan2"}</definedName>
    <definedName name="sdjdswger" localSheetId="3" hidden="1">{#N/A,#N/A,FALSE,"Plan1";#N/A,#N/A,FALSE,"Plan2"}</definedName>
    <definedName name="sdjdswger" localSheetId="33" hidden="1">{#N/A,#N/A,FALSE,"Plan1";#N/A,#N/A,FALSE,"Plan2"}</definedName>
    <definedName name="sdjdswger" localSheetId="35" hidden="1">{#N/A,#N/A,FALSE,"Plan1";#N/A,#N/A,FALSE,"Plan2"}</definedName>
    <definedName name="sdjdswger" hidden="1">{#N/A,#N/A,FALSE,"Plan1";#N/A,#N/A,FALSE,"Plan2"}</definedName>
    <definedName name="sdjfdf" localSheetId="3" hidden="1">{#N/A,#N/A,FALSE,"Plan1";#N/A,#N/A,FALSE,"Plan2"}</definedName>
    <definedName name="sdjfdf" localSheetId="33" hidden="1">{#N/A,#N/A,FALSE,"Plan1";#N/A,#N/A,FALSE,"Plan2"}</definedName>
    <definedName name="sdjfdf" localSheetId="35" hidden="1">{#N/A,#N/A,FALSE,"Plan1";#N/A,#N/A,FALSE,"Plan2"}</definedName>
    <definedName name="sdjfdf" hidden="1">{#N/A,#N/A,FALSE,"Plan1";#N/A,#N/A,FALSE,"Plan2"}</definedName>
    <definedName name="sdjfhdjk" localSheetId="3" hidden="1">{#N/A,#N/A,FALSE,"Plan1";#N/A,#N/A,FALSE,"Plan2"}</definedName>
    <definedName name="sdjfhdjk" localSheetId="33" hidden="1">{#N/A,#N/A,FALSE,"Plan1";#N/A,#N/A,FALSE,"Plan2"}</definedName>
    <definedName name="sdjfhdjk" localSheetId="35" hidden="1">{#N/A,#N/A,FALSE,"Plan1";#N/A,#N/A,FALSE,"Plan2"}</definedName>
    <definedName name="sdjfhdjk" hidden="1">{#N/A,#N/A,FALSE,"Plan1";#N/A,#N/A,FALSE,"Plan2"}</definedName>
    <definedName name="SDJFJDER" localSheetId="3" hidden="1">{#N/A,#N/A,FALSE,"Plan1";#N/A,#N/A,FALSE,"Plan2"}</definedName>
    <definedName name="SDJFJDER" localSheetId="33" hidden="1">{#N/A,#N/A,FALSE,"Plan1";#N/A,#N/A,FALSE,"Plan2"}</definedName>
    <definedName name="SDJFJDER" localSheetId="35" hidden="1">{#N/A,#N/A,FALSE,"Plan1";#N/A,#N/A,FALSE,"Plan2"}</definedName>
    <definedName name="SDJFJDER" hidden="1">{#N/A,#N/A,FALSE,"Plan1";#N/A,#N/A,FALSE,"Plan2"}</definedName>
    <definedName name="sdjflsdjfl" localSheetId="3" hidden="1">{#N/A,#N/A,FALSE,"Plan1";#N/A,#N/A,FALSE,"Plan2"}</definedName>
    <definedName name="sdjflsdjfl" localSheetId="33" hidden="1">{#N/A,#N/A,FALSE,"Plan1";#N/A,#N/A,FALSE,"Plan2"}</definedName>
    <definedName name="sdjflsdjfl" localSheetId="35" hidden="1">{#N/A,#N/A,FALSE,"Plan1";#N/A,#N/A,FALSE,"Plan2"}</definedName>
    <definedName name="sdjflsdjfl" hidden="1">{#N/A,#N/A,FALSE,"Plan1";#N/A,#N/A,FALSE,"Plan2"}</definedName>
    <definedName name="SDJHF" localSheetId="3" hidden="1">{#N/A,#N/A,FALSE,"Plan1";#N/A,#N/A,FALSE,"Plan2"}</definedName>
    <definedName name="SDJHF" localSheetId="33" hidden="1">{#N/A,#N/A,FALSE,"Plan1";#N/A,#N/A,FALSE,"Plan2"}</definedName>
    <definedName name="SDJHF" localSheetId="35" hidden="1">{#N/A,#N/A,FALSE,"Plan1";#N/A,#N/A,FALSE,"Plan2"}</definedName>
    <definedName name="SDJHF" hidden="1">{#N/A,#N/A,FALSE,"Plan1";#N/A,#N/A,FALSE,"Plan2"}</definedName>
    <definedName name="sdjrderertrr" localSheetId="3" hidden="1">{#N/A,#N/A,FALSE,"Plan1";#N/A,#N/A,FALSE,"Plan2"}</definedName>
    <definedName name="sdjrderertrr" localSheetId="33" hidden="1">{#N/A,#N/A,FALSE,"Plan1";#N/A,#N/A,FALSE,"Plan2"}</definedName>
    <definedName name="sdjrderertrr" localSheetId="35" hidden="1">{#N/A,#N/A,FALSE,"Plan1";#N/A,#N/A,FALSE,"Plan2"}</definedName>
    <definedName name="sdjrderertrr" hidden="1">{#N/A,#N/A,FALSE,"Plan1";#N/A,#N/A,FALSE,"Plan2"}</definedName>
    <definedName name="sdkdjk" localSheetId="3" hidden="1">{#N/A,#N/A,FALSE,"Plan1";#N/A,#N/A,FALSE,"Plan2"}</definedName>
    <definedName name="sdkdjk" localSheetId="33" hidden="1">{#N/A,#N/A,FALSE,"Plan1";#N/A,#N/A,FALSE,"Plan2"}</definedName>
    <definedName name="sdkdjk" localSheetId="35" hidden="1">{#N/A,#N/A,FALSE,"Plan1";#N/A,#N/A,FALSE,"Plan2"}</definedName>
    <definedName name="sdkdjk" hidden="1">{#N/A,#N/A,FALSE,"Plan1";#N/A,#N/A,FALSE,"Plan2"}</definedName>
    <definedName name="sdkfjhkdgfh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3" hidden="1">{#N/A,#N/A,FALSE,"Plan1";#N/A,#N/A,FALSE,"Plan2"}</definedName>
    <definedName name="sdkfnjd" localSheetId="33" hidden="1">{#N/A,#N/A,FALSE,"Plan1";#N/A,#N/A,FALSE,"Plan2"}</definedName>
    <definedName name="sdkfnjd" localSheetId="35" hidden="1">{#N/A,#N/A,FALSE,"Plan1";#N/A,#N/A,FALSE,"Plan2"}</definedName>
    <definedName name="sdkfnjd" hidden="1">{#N/A,#N/A,FALSE,"Plan1";#N/A,#N/A,FALSE,"Plan2"}</definedName>
    <definedName name="sdkk" localSheetId="3" hidden="1">{#N/A,#N/A,FALSE,"Plan1";#N/A,#N/A,FALSE,"Plan2"}</definedName>
    <definedName name="sdkk" localSheetId="33" hidden="1">{#N/A,#N/A,FALSE,"Plan1";#N/A,#N/A,FALSE,"Plan2"}</definedName>
    <definedName name="sdkk" localSheetId="35" hidden="1">{#N/A,#N/A,FALSE,"Plan1";#N/A,#N/A,FALSE,"Plan2"}</definedName>
    <definedName name="sdkk" hidden="1">{#N/A,#N/A,FALSE,"Plan1";#N/A,#N/A,FALSE,"Plan2"}</definedName>
    <definedName name="sdlfsdflj" localSheetId="3" hidden="1">{#N/A,#N/A,FALSE,"Plan1";#N/A,#N/A,FALSE,"Plan2"}</definedName>
    <definedName name="sdlfsdflj" localSheetId="33" hidden="1">{#N/A,#N/A,FALSE,"Plan1";#N/A,#N/A,FALSE,"Plan2"}</definedName>
    <definedName name="sdlfsdflj" localSheetId="35" hidden="1">{#N/A,#N/A,FALSE,"Plan1";#N/A,#N/A,FALSE,"Plan2"}</definedName>
    <definedName name="sdlfsdflj" hidden="1">{#N/A,#N/A,FALSE,"Plan1";#N/A,#N/A,FALSE,"Plan2"}</definedName>
    <definedName name="sdmfmdfsgfd" localSheetId="3" hidden="1">{#N/A,#N/A,FALSE,"Plan1";#N/A,#N/A,FALSE,"Plan2"}</definedName>
    <definedName name="sdmfmdfsgfd" localSheetId="33" hidden="1">{#N/A,#N/A,FALSE,"Plan1";#N/A,#N/A,FALSE,"Plan2"}</definedName>
    <definedName name="sdmfmdfsgfd" localSheetId="35" hidden="1">{#N/A,#N/A,FALSE,"Plan1";#N/A,#N/A,FALSE,"Plan2"}</definedName>
    <definedName name="sdmfmdfsgfd" hidden="1">{#N/A,#N/A,FALSE,"Plan1";#N/A,#N/A,FALSE,"Plan2"}</definedName>
    <definedName name="sd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3" hidden="1">{#N/A,#N/A,FALSE,"Plan1";#N/A,#N/A,FALSE,"Plan2"}</definedName>
    <definedName name="sdrfgt" localSheetId="33" hidden="1">{#N/A,#N/A,FALSE,"Plan1";#N/A,#N/A,FALSE,"Plan2"}</definedName>
    <definedName name="sdrfgt" localSheetId="35" hidden="1">{#N/A,#N/A,FALSE,"Plan1";#N/A,#N/A,FALSE,"Plan2"}</definedName>
    <definedName name="sdrfgt" hidden="1">{#N/A,#N/A,FALSE,"Plan1";#N/A,#N/A,FALSE,"Plan2"}</definedName>
    <definedName name="sdsd" localSheetId="3" hidden="1">{#N/A,#N/A,FALSE,"Plan1";#N/A,#N/A,FALSE,"Plan2"}</definedName>
    <definedName name="sdsd" localSheetId="33" hidden="1">{#N/A,#N/A,FALSE,"Plan1";#N/A,#N/A,FALSE,"Plan2"}</definedName>
    <definedName name="sdsd" localSheetId="35" hidden="1">{#N/A,#N/A,FALSE,"Plan1";#N/A,#N/A,FALSE,"Plan2"}</definedName>
    <definedName name="sdsd" hidden="1">{#N/A,#N/A,FALSE,"Plan1";#N/A,#N/A,FALSE,"Plan2"}</definedName>
    <definedName name="sdser" localSheetId="3" hidden="1">{#N/A,#N/A,FALSE,"Plan1";#N/A,#N/A,FALSE,"Plan2"}</definedName>
    <definedName name="sdser" localSheetId="33" hidden="1">{#N/A,#N/A,FALSE,"Plan1";#N/A,#N/A,FALSE,"Plan2"}</definedName>
    <definedName name="sdser" localSheetId="35" hidden="1">{#N/A,#N/A,FALSE,"Plan1";#N/A,#N/A,FALSE,"Plan2"}</definedName>
    <definedName name="sdser" hidden="1">{#N/A,#N/A,FALSE,"Plan1";#N/A,#N/A,FALSE,"Plan2"}</definedName>
    <definedName name="sdsre" localSheetId="3" hidden="1">{#N/A,#N/A,FALSE,"Plan1";#N/A,#N/A,FALSE,"Plan2"}</definedName>
    <definedName name="sdsre" localSheetId="33" hidden="1">{#N/A,#N/A,FALSE,"Plan1";#N/A,#N/A,FALSE,"Plan2"}</definedName>
    <definedName name="sdsre" localSheetId="35" hidden="1">{#N/A,#N/A,FALSE,"Plan1";#N/A,#N/A,FALSE,"Plan2"}</definedName>
    <definedName name="sdsre" hidden="1">{#N/A,#N/A,FALSE,"Plan1";#N/A,#N/A,FALSE,"Plan2"}</definedName>
    <definedName name="sdss" localSheetId="3" hidden="1">{#N/A,#N/A,FALSE,"Plan1";#N/A,#N/A,FALSE,"Plan2"}</definedName>
    <definedName name="sdss" localSheetId="33" hidden="1">{#N/A,#N/A,FALSE,"Plan1";#N/A,#N/A,FALSE,"Plan2"}</definedName>
    <definedName name="sdss" localSheetId="35" hidden="1">{#N/A,#N/A,FALSE,"Plan1";#N/A,#N/A,FALSE,"Plan2"}</definedName>
    <definedName name="sdss" hidden="1">{#N/A,#N/A,FALSE,"Plan1";#N/A,#N/A,FALSE,"Plan2"}</definedName>
    <definedName name="sdtrtg" localSheetId="3" hidden="1">#REF!</definedName>
    <definedName name="sdtrtg" localSheetId="12" hidden="1">#REF!</definedName>
    <definedName name="sdtrtg" localSheetId="30" hidden="1">#REF!</definedName>
    <definedName name="sdtrtg" localSheetId="28" hidden="1">#REF!</definedName>
    <definedName name="sdtrtg" localSheetId="27" hidden="1">#REF!</definedName>
    <definedName name="sdtrtg" localSheetId="18" hidden="1">#REF!</definedName>
    <definedName name="sdtrtg" localSheetId="7" hidden="1">#REF!</definedName>
    <definedName name="sdtrtg" localSheetId="23" hidden="1">#REF!</definedName>
    <definedName name="sdtrtg" hidden="1">#REF!</definedName>
    <definedName name="sdusi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3" hidden="1">{"Econ Consolidado",#N/A,FALSE,"Econ Consol";"Fluxo de Caixa",#N/A,FALSE,"Fluxo Caixa";"Investimentos",#N/A,FALSE,"Investimentos"}</definedName>
    <definedName name="SDWER" localSheetId="33" hidden="1">{"Econ Consolidado",#N/A,FALSE,"Econ Consol";"Fluxo de Caixa",#N/A,FALSE,"Fluxo Caixa";"Investimentos",#N/A,FALSE,"Investimentos"}</definedName>
    <definedName name="SDWER" localSheetId="35" hidden="1">{"Econ Consolidado",#N/A,FALSE,"Econ Consol";"Fluxo de Caixa",#N/A,FALSE,"Fluxo Caixa";"Investimentos",#N/A,FALSE,"Investimentos"}</definedName>
    <definedName name="SDWER" hidden="1">{"Econ Consolidado",#N/A,FALSE,"Econ Consol";"Fluxo de Caixa",#N/A,FALSE,"Fluxo Caixa";"Investimentos",#N/A,FALSE,"Investimentos"}</definedName>
    <definedName name="sdxfrt" localSheetId="3" hidden="1">{#N/A,#N/A,FALSE,"Plan1";#N/A,#N/A,FALSE,"Plan2"}</definedName>
    <definedName name="sdxfrt" localSheetId="33" hidden="1">{#N/A,#N/A,FALSE,"Plan1";#N/A,#N/A,FALSE,"Plan2"}</definedName>
    <definedName name="sdxfrt" localSheetId="35" hidden="1">{#N/A,#N/A,FALSE,"Plan1";#N/A,#N/A,FALSE,"Plan2"}</definedName>
    <definedName name="sdxfrt" hidden="1">{#N/A,#N/A,FALSE,"Plan1";#N/A,#N/A,FALSE,"Plan2"}</definedName>
    <definedName name="SDZFERF" localSheetId="3" hidden="1">{#N/A,#N/A,FALSE,"Plan1";#N/A,#N/A,FALSE,"Plan2"}</definedName>
    <definedName name="SDZFERF" localSheetId="33" hidden="1">{#N/A,#N/A,FALSE,"Plan1";#N/A,#N/A,FALSE,"Plan2"}</definedName>
    <definedName name="SDZFERF" localSheetId="35" hidden="1">{#N/A,#N/A,FALSE,"Plan1";#N/A,#N/A,FALSE,"Plan2"}</definedName>
    <definedName name="SDZFERF" hidden="1">{#N/A,#N/A,FALSE,"Plan1";#N/A,#N/A,FALSE,"Plan2"}</definedName>
    <definedName name="se" localSheetId="12">#REF!</definedName>
    <definedName name="se" localSheetId="30">#REF!</definedName>
    <definedName name="se" localSheetId="28">#REF!</definedName>
    <definedName name="se" localSheetId="27">#REF!</definedName>
    <definedName name="se" localSheetId="18">#REF!</definedName>
    <definedName name="se" localSheetId="7">#REF!</definedName>
    <definedName name="se" localSheetId="23">#REF!</definedName>
    <definedName name="se">#REF!</definedName>
    <definedName name="SEDE" localSheetId="12">#REF!</definedName>
    <definedName name="SEDE" localSheetId="30">#REF!</definedName>
    <definedName name="SEDE" localSheetId="28">#REF!</definedName>
    <definedName name="SEDE" localSheetId="27">#REF!</definedName>
    <definedName name="SEDE" localSheetId="18">#REF!</definedName>
    <definedName name="SEDE" localSheetId="7">#REF!</definedName>
    <definedName name="SEDE" localSheetId="23">#REF!</definedName>
    <definedName name="SEDE">#REF!</definedName>
    <definedName name="sefret4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3">#REF!</definedName>
    <definedName name="SEG" localSheetId="12">#REF!</definedName>
    <definedName name="SEG" localSheetId="30">#REF!</definedName>
    <definedName name="SEG" localSheetId="28">#REF!</definedName>
    <definedName name="SEG" localSheetId="27">#REF!</definedName>
    <definedName name="SEG" localSheetId="18">#REF!</definedName>
    <definedName name="SEG" localSheetId="7">#REF!</definedName>
    <definedName name="SEG" localSheetId="23">#REF!</definedName>
    <definedName name="SEG">#REF!</definedName>
    <definedName name="segftru" localSheetId="3" hidden="1">{#N/A,#N/A,FALSE,"Plan1";#N/A,#N/A,FALSE,"Plan2"}</definedName>
    <definedName name="segftru" localSheetId="33" hidden="1">{#N/A,#N/A,FALSE,"Plan1";#N/A,#N/A,FALSE,"Plan2"}</definedName>
    <definedName name="segftru" localSheetId="35" hidden="1">{#N/A,#N/A,FALSE,"Plan1";#N/A,#N/A,FALSE,"Plan2"}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 localSheetId="12">#REF!</definedName>
    <definedName name="SEIS" localSheetId="30">#REF!</definedName>
    <definedName name="SEIS" localSheetId="28">#REF!</definedName>
    <definedName name="SEIS" localSheetId="27">#REF!</definedName>
    <definedName name="SEIS" localSheetId="21">#REF!</definedName>
    <definedName name="SEIS" localSheetId="18">#REF!</definedName>
    <definedName name="SEIS" localSheetId="7">#REF!</definedName>
    <definedName name="SEIS" localSheetId="23">#REF!</definedName>
    <definedName name="SEIS">#REF!</definedName>
    <definedName name="sencount" hidden="1">3</definedName>
    <definedName name="SEQUENCIA" localSheetId="12">#REF!</definedName>
    <definedName name="SEQUENCIA" localSheetId="30">#REF!</definedName>
    <definedName name="SEQUENCIA" localSheetId="28">#REF!</definedName>
    <definedName name="SEQUENCIA" localSheetId="27">#REF!</definedName>
    <definedName name="SEQUENCIA" localSheetId="18">#REF!</definedName>
    <definedName name="SEQUENCIA" localSheetId="7">#REF!</definedName>
    <definedName name="SEQUENCIA" localSheetId="23">#REF!</definedName>
    <definedName name="SEQUENCIA">#REF!</definedName>
    <definedName name="SEREWRSWE" localSheetId="3" hidden="1">{"tabela",#N/A,FALSE,"Tabela";"decoração",#N/A,FALSE,"Decor.";"Informações",#N/A,FALSE,"Inform."}</definedName>
    <definedName name="SEREWRSWE" localSheetId="33" hidden="1">{"tabela",#N/A,FALSE,"Tabela";"decoração",#N/A,FALSE,"Decor.";"Informações",#N/A,FALSE,"Inform."}</definedName>
    <definedName name="SEREWRSWE" localSheetId="35" hidden="1">{"tabela",#N/A,FALSE,"Tabela";"decoração",#N/A,FALSE,"Decor.";"Informações",#N/A,FALSE,"Inform."}</definedName>
    <definedName name="SEREWRSWE" hidden="1">{"tabela",#N/A,FALSE,"Tabela";"decoração",#N/A,FALSE,"Decor.";"Informações",#N/A,FALSE,"Inform."}</definedName>
    <definedName name="Set_17" localSheetId="12">#REF!</definedName>
    <definedName name="Set_17" localSheetId="30">#REF!</definedName>
    <definedName name="Set_17" localSheetId="28">#REF!</definedName>
    <definedName name="Set_17" localSheetId="27">#REF!</definedName>
    <definedName name="Set_17" localSheetId="18">#REF!</definedName>
    <definedName name="Set_17" localSheetId="7">#REF!</definedName>
    <definedName name="Set_17" localSheetId="23">#REF!</definedName>
    <definedName name="Set_17">#REF!</definedName>
    <definedName name="SETE" localSheetId="12">#REF!</definedName>
    <definedName name="SETE" localSheetId="30">#REF!</definedName>
    <definedName name="SETE" localSheetId="28">#REF!</definedName>
    <definedName name="SETE" localSheetId="27">#REF!</definedName>
    <definedName name="SETE" localSheetId="21">#REF!</definedName>
    <definedName name="SETE" localSheetId="18">#REF!</definedName>
    <definedName name="SETE" localSheetId="7">#REF!</definedName>
    <definedName name="SETE" localSheetId="23">#REF!</definedName>
    <definedName name="SETE">#REF!</definedName>
    <definedName name="SETEMBRO" localSheetId="12">#REF!</definedName>
    <definedName name="SETEMBRO" localSheetId="30">#REF!</definedName>
    <definedName name="SETEMBRO" localSheetId="28">#REF!</definedName>
    <definedName name="SETEMBRO" localSheetId="27">#REF!</definedName>
    <definedName name="SETEMBRO" localSheetId="18">#REF!</definedName>
    <definedName name="SETEMBRO" localSheetId="7">#REF!</definedName>
    <definedName name="SETEMBRO" localSheetId="23">#REF!</definedName>
    <definedName name="SETEMBRO">#REF!</definedName>
    <definedName name="setRJ17" localSheetId="12">#REF!</definedName>
    <definedName name="setRJ17" localSheetId="30">#REF!</definedName>
    <definedName name="setRJ17" localSheetId="28">#REF!</definedName>
    <definedName name="setRJ17" localSheetId="27">#REF!</definedName>
    <definedName name="setRJ17" localSheetId="18">#REF!</definedName>
    <definedName name="setRJ17" localSheetId="7">#REF!</definedName>
    <definedName name="setRJ17" localSheetId="23">#REF!</definedName>
    <definedName name="setRJ17">#REF!</definedName>
    <definedName name="severo" localSheetId="12">#REF!</definedName>
    <definedName name="severo" localSheetId="30">#REF!</definedName>
    <definedName name="severo" localSheetId="28">#REF!</definedName>
    <definedName name="severo" localSheetId="27">#REF!</definedName>
    <definedName name="severo" localSheetId="18">#REF!</definedName>
    <definedName name="severo" localSheetId="7">#REF!</definedName>
    <definedName name="severo" localSheetId="23">#REF!</definedName>
    <definedName name="severo">#REF!</definedName>
    <definedName name="sf" localSheetId="3" hidden="1">{#N/A,#N/A,FALSE,"Plan1";#N/A,#N/A,FALSE,"Plan2"}</definedName>
    <definedName name="sf" localSheetId="33" hidden="1">{#N/A,#N/A,FALSE,"Plan1";#N/A,#N/A,FALSE,"Plan2"}</definedName>
    <definedName name="sf" localSheetId="35" hidden="1">{#N/A,#N/A,FALSE,"Plan1";#N/A,#N/A,FALSE,"Plan2"}</definedName>
    <definedName name="sf" hidden="1">{#N/A,#N/A,FALSE,"Plan1";#N/A,#N/A,FALSE,"Plan2"}</definedName>
    <definedName name="sfcre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3" hidden="1">{#N/A,#N/A,FALSE,"Plan1";#N/A,#N/A,FALSE,"Plan2"}</definedName>
    <definedName name="sfddfd" localSheetId="33" hidden="1">{#N/A,#N/A,FALSE,"Plan1";#N/A,#N/A,FALSE,"Plan2"}</definedName>
    <definedName name="sfddfd" localSheetId="35" hidden="1">{#N/A,#N/A,FALSE,"Plan1";#N/A,#N/A,FALSE,"Plan2"}</definedName>
    <definedName name="sfddfd" hidden="1">{#N/A,#N/A,FALSE,"Plan1";#N/A,#N/A,FALSE,"Plan2"}</definedName>
    <definedName name="sfds" localSheetId="3" hidden="1">{#N/A,#N/A,FALSE,"Plan1";#N/A,#N/A,FALSE,"Plan2"}</definedName>
    <definedName name="sfds" localSheetId="33" hidden="1">{#N/A,#N/A,FALSE,"Plan1";#N/A,#N/A,FALSE,"Plan2"}</definedName>
    <definedName name="sfds" localSheetId="35" hidden="1">{#N/A,#N/A,FALSE,"Plan1";#N/A,#N/A,FALSE,"Plan2"}</definedName>
    <definedName name="sfds" hidden="1">{#N/A,#N/A,FALSE,"Plan1";#N/A,#N/A,FALSE,"Plan2"}</definedName>
    <definedName name="sfdsd" localSheetId="3" hidden="1">{#N/A,#N/A,FALSE,"Plan1";#N/A,#N/A,FALSE,"Plan2"}</definedName>
    <definedName name="sfdsd" localSheetId="33" hidden="1">{#N/A,#N/A,FALSE,"Plan1";#N/A,#N/A,FALSE,"Plan2"}</definedName>
    <definedName name="sfdsd" localSheetId="35" hidden="1">{#N/A,#N/A,FALSE,"Plan1";#N/A,#N/A,FALSE,"Plan2"}</definedName>
    <definedName name="sfdsd" hidden="1">{#N/A,#N/A,FALSE,"Plan1";#N/A,#N/A,FALSE,"Plan2"}</definedName>
    <definedName name="SFDSF" hidden="1">34</definedName>
    <definedName name="sfrsdrgt" localSheetId="3" hidden="1">{#N/A,#N/A,FALSE,"Plan1";#N/A,#N/A,FALSE,"Plan2"}</definedName>
    <definedName name="sfrsdrgt" localSheetId="33" hidden="1">{#N/A,#N/A,FALSE,"Plan1";#N/A,#N/A,FALSE,"Plan2"}</definedName>
    <definedName name="sfrsdrgt" localSheetId="35" hidden="1">{#N/A,#N/A,FALSE,"Plan1";#N/A,#N/A,FALSE,"Plan2"}</definedName>
    <definedName name="sfrsdrgt" hidden="1">{#N/A,#N/A,FALSE,"Plan1";#N/A,#N/A,FALSE,"Plan2"}</definedName>
    <definedName name="SFRT" localSheetId="3" hidden="1">{#N/A,#N/A,FALSE,"Plan1";#N/A,#N/A,FALSE,"Plan2"}</definedName>
    <definedName name="SFRT" localSheetId="33" hidden="1">{#N/A,#N/A,FALSE,"Plan1";#N/A,#N/A,FALSE,"Plan2"}</definedName>
    <definedName name="SFRT" localSheetId="35" hidden="1">{#N/A,#N/A,FALSE,"Plan1";#N/A,#N/A,FALSE,"Plan2"}</definedName>
    <definedName name="SFRT" hidden="1">{#N/A,#N/A,FALSE,"Plan1";#N/A,#N/A,FALSE,"Plan2"}</definedName>
    <definedName name="sfsdferf" localSheetId="3" hidden="1">{#N/A,#N/A,FALSE,"Plan1";#N/A,#N/A,FALSE,"Plan2"}</definedName>
    <definedName name="sfsdferf" localSheetId="33" hidden="1">{#N/A,#N/A,FALSE,"Plan1";#N/A,#N/A,FALSE,"Plan2"}</definedName>
    <definedName name="sfsdferf" localSheetId="35" hidden="1">{#N/A,#N/A,FALSE,"Plan1";#N/A,#N/A,FALSE,"Plan2"}</definedName>
    <definedName name="sfsdferf" hidden="1">{#N/A,#N/A,FALSE,"Plan1";#N/A,#N/A,FALSE,"Plan2"}</definedName>
    <definedName name="sfsdfs" hidden="1">34</definedName>
    <definedName name="SFSDS" localSheetId="3" hidden="1">{#N/A,#N/A,FALSE,"Plan1";#N/A,#N/A,FALSE,"Plan2"}</definedName>
    <definedName name="SFSDS" localSheetId="33" hidden="1">{#N/A,#N/A,FALSE,"Plan1";#N/A,#N/A,FALSE,"Plan2"}</definedName>
    <definedName name="SFSDS" localSheetId="35" hidden="1">{#N/A,#N/A,FALSE,"Plan1";#N/A,#N/A,FALSE,"Plan2"}</definedName>
    <definedName name="SFSDS" hidden="1">{#N/A,#N/A,FALSE,"Plan1";#N/A,#N/A,FALSE,"Plan2"}</definedName>
    <definedName name="SGarantia" localSheetId="12">#REF!</definedName>
    <definedName name="SGarantia" localSheetId="30">#REF!</definedName>
    <definedName name="SGarantia" localSheetId="28">#REF!</definedName>
    <definedName name="SGarantia" localSheetId="27">#REF!</definedName>
    <definedName name="SGarantia" localSheetId="18">#REF!</definedName>
    <definedName name="SGarantia" localSheetId="7">#REF!</definedName>
    <definedName name="SGarantia" localSheetId="23">#REF!</definedName>
    <definedName name="SGarantia">#REF!</definedName>
    <definedName name="sgtghty" localSheetId="3" hidden="1">{#N/A,#N/A,FALSE,"Plan1";#N/A,#N/A,FALSE,"Plan2"}</definedName>
    <definedName name="sgtghty" localSheetId="33" hidden="1">{#N/A,#N/A,FALSE,"Plan1";#N/A,#N/A,FALSE,"Plan2"}</definedName>
    <definedName name="sgtghty" localSheetId="35" hidden="1">{#N/A,#N/A,FALSE,"Plan1";#N/A,#N/A,FALSE,"Plan2"}</definedName>
    <definedName name="sgtghty" hidden="1">{#N/A,#N/A,FALSE,"Plan1";#N/A,#N/A,FALSE,"Plan2"}</definedName>
    <definedName name="SH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 localSheetId="3">#REF!</definedName>
    <definedName name="SIH" localSheetId="12">#REF!</definedName>
    <definedName name="SIH" localSheetId="30">#REF!</definedName>
    <definedName name="SIH" localSheetId="28">#REF!</definedName>
    <definedName name="SIH" localSheetId="27">#REF!</definedName>
    <definedName name="SIH" localSheetId="18">#REF!</definedName>
    <definedName name="SIH" localSheetId="7">#REF!</definedName>
    <definedName name="SIH" localSheetId="23">#REF!</definedName>
    <definedName name="SIH">#REF!</definedName>
    <definedName name="SISTEM1" localSheetId="12">#REF!</definedName>
    <definedName name="SISTEM1" localSheetId="30">#REF!</definedName>
    <definedName name="SISTEM1" localSheetId="28">#REF!</definedName>
    <definedName name="SISTEM1" localSheetId="27">#REF!</definedName>
    <definedName name="SISTEM1" localSheetId="18">#REF!</definedName>
    <definedName name="SISTEM1" localSheetId="7">#REF!</definedName>
    <definedName name="SISTEM1" localSheetId="23">#REF!</definedName>
    <definedName name="SISTEM1">#REF!</definedName>
    <definedName name="SISTEM2" localSheetId="12">#REF!</definedName>
    <definedName name="SISTEM2" localSheetId="30">#REF!</definedName>
    <definedName name="SISTEM2" localSheetId="28">#REF!</definedName>
    <definedName name="SISTEM2" localSheetId="27">#REF!</definedName>
    <definedName name="SISTEM2" localSheetId="18">#REF!</definedName>
    <definedName name="SISTEM2" localSheetId="7">#REF!</definedName>
    <definedName name="SISTEM2" localSheetId="23">#REF!</definedName>
    <definedName name="SISTEM2">#REF!</definedName>
    <definedName name="SIV" localSheetId="3">#REF!</definedName>
    <definedName name="SIV" localSheetId="12">#REF!</definedName>
    <definedName name="SIV" localSheetId="30">#REF!</definedName>
    <definedName name="SIV" localSheetId="28">#REF!</definedName>
    <definedName name="SIV" localSheetId="27">#REF!</definedName>
    <definedName name="SIV" localSheetId="18">#REF!</definedName>
    <definedName name="SIV" localSheetId="7">#REF!</definedName>
    <definedName name="SIV" localSheetId="23">#REF!</definedName>
    <definedName name="SIV">#REF!</definedName>
    <definedName name="sjawe" localSheetId="3" hidden="1">{#N/A,#N/A,FALSE,"Plan1";#N/A,#N/A,FALSE,"Plan2"}</definedName>
    <definedName name="sjawe" localSheetId="33" hidden="1">{#N/A,#N/A,FALSE,"Plan1";#N/A,#N/A,FALSE,"Plan2"}</definedName>
    <definedName name="sjawe" localSheetId="35" hidden="1">{#N/A,#N/A,FALSE,"Plan1";#N/A,#N/A,FALSE,"Plan2"}</definedName>
    <definedName name="sjawe" hidden="1">{#N/A,#N/A,FALSE,"Plan1";#N/A,#N/A,FALSE,"Plan2"}</definedName>
    <definedName name="sjdffd" localSheetId="3" hidden="1">{#N/A,#N/A,FALSE,"Plan1";#N/A,#N/A,FALSE,"Plan2"}</definedName>
    <definedName name="sjdffd" localSheetId="33" hidden="1">{#N/A,#N/A,FALSE,"Plan1";#N/A,#N/A,FALSE,"Plan2"}</definedName>
    <definedName name="sjdffd" localSheetId="35" hidden="1">{#N/A,#N/A,FALSE,"Plan1";#N/A,#N/A,FALSE,"Plan2"}</definedName>
    <definedName name="sjdffd" hidden="1">{#N/A,#N/A,FALSE,"Plan1";#N/A,#N/A,FALSE,"Plan2"}</definedName>
    <definedName name="SJDFHDJS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3" hidden="1">{#N/A,#N/A,FALSE,"Plan1";#N/A,#N/A,FALSE,"Plan2"}</definedName>
    <definedName name="SJDHFHRE" localSheetId="33" hidden="1">{#N/A,#N/A,FALSE,"Plan1";#N/A,#N/A,FALSE,"Plan2"}</definedName>
    <definedName name="SJDHFHRE" localSheetId="35" hidden="1">{#N/A,#N/A,FALSE,"Plan1";#N/A,#N/A,FALSE,"Plan2"}</definedName>
    <definedName name="SJDHFHRE" hidden="1">{#N/A,#N/A,FALSE,"Plan1";#N/A,#N/A,FALSE,"Plan2"}</definedName>
    <definedName name="SJDKJDE" localSheetId="3" hidden="1">{"Econ Consolidado",#N/A,FALSE,"Econ Consol";"Fluxo de Caixa",#N/A,FALSE,"Fluxo Caixa";"Investimentos",#N/A,FALSE,"Investimentos"}</definedName>
    <definedName name="SJDKJDE" localSheetId="33" hidden="1">{"Econ Consolidado",#N/A,FALSE,"Econ Consol";"Fluxo de Caixa",#N/A,FALSE,"Fluxo Caixa";"Investimentos",#N/A,FALSE,"Investimentos"}</definedName>
    <definedName name="SJDKJDE" localSheetId="35" hidden="1">{"Econ Consolidado",#N/A,FALSE,"Econ Consol";"Fluxo de Caixa",#N/A,FALSE,"Fluxo Caixa";"Investimentos",#N/A,FALSE,"Investimentos"}</definedName>
    <definedName name="SJDKJDE" hidden="1">{"Econ Consolidado",#N/A,FALSE,"Econ Consol";"Fluxo de Caixa",#N/A,FALSE,"Fluxo Caixa";"Investimentos",#N/A,FALSE,"Investimentos"}</definedName>
    <definedName name="sjekwjri" localSheetId="3" hidden="1">{#N/A,#N/A,FALSE,"Plan1";#N/A,#N/A,FALSE,"Plan2"}</definedName>
    <definedName name="sjekwjri" localSheetId="33" hidden="1">{#N/A,#N/A,FALSE,"Plan1";#N/A,#N/A,FALSE,"Plan2"}</definedName>
    <definedName name="sjekwjri" localSheetId="35" hidden="1">{#N/A,#N/A,FALSE,"Plan1";#N/A,#N/A,FALSE,"Plan2"}</definedName>
    <definedName name="sjekwjri" hidden="1">{#N/A,#N/A,FALSE,"Plan1";#N/A,#N/A,FALSE,"Plan2"}</definedName>
    <definedName name="sjfkdhsfds" localSheetId="3" hidden="1">{#N/A,#N/A,FALSE,"Plan1";#N/A,#N/A,FALSE,"Plan2"}</definedName>
    <definedName name="sjfkdhsfds" localSheetId="33" hidden="1">{#N/A,#N/A,FALSE,"Plan1";#N/A,#N/A,FALSE,"Plan2"}</definedName>
    <definedName name="sjfkdhsfds" localSheetId="35" hidden="1">{#N/A,#N/A,FALSE,"Plan1";#N/A,#N/A,FALSE,"Plan2"}</definedName>
    <definedName name="sjfkdhsfds" hidden="1">{#N/A,#N/A,FALSE,"Plan1";#N/A,#N/A,FALSE,"Plan2"}</definedName>
    <definedName name="sjkdljslkrje" localSheetId="3" hidden="1">{#N/A,#N/A,FALSE,"Plan1";#N/A,#N/A,FALSE,"Plan2"}</definedName>
    <definedName name="sjkdljslkrje" localSheetId="33" hidden="1">{#N/A,#N/A,FALSE,"Plan1";#N/A,#N/A,FALSE,"Plan2"}</definedName>
    <definedName name="sjkdljslkrje" localSheetId="35" hidden="1">{#N/A,#N/A,FALSE,"Plan1";#N/A,#N/A,FALSE,"Plan2"}</definedName>
    <definedName name="sjkdljslkrje" hidden="1">{#N/A,#N/A,FALSE,"Plan1";#N/A,#N/A,FALSE,"Plan2"}</definedName>
    <definedName name="skadadaszs" localSheetId="3" hidden="1">{#N/A,#N/A,FALSE,"Plan1";#N/A,#N/A,FALSE,"Plan2"}</definedName>
    <definedName name="skadadaszs" localSheetId="33" hidden="1">{#N/A,#N/A,FALSE,"Plan1";#N/A,#N/A,FALSE,"Plan2"}</definedName>
    <definedName name="skadadaszs" localSheetId="35" hidden="1">{#N/A,#N/A,FALSE,"Plan1";#N/A,#N/A,FALSE,"Plan2"}</definedName>
    <definedName name="skadadaszs" hidden="1">{#N/A,#N/A,FALSE,"Plan1";#N/A,#N/A,FALSE,"Plan2"}</definedName>
    <definedName name="SKASH" localSheetId="3" hidden="1">{#N/A,#N/A,FALSE,"Plan1";#N/A,#N/A,FALSE,"Plan2"}</definedName>
    <definedName name="SKASH" localSheetId="33" hidden="1">{#N/A,#N/A,FALSE,"Plan1";#N/A,#N/A,FALSE,"Plan2"}</definedName>
    <definedName name="SKASH" localSheetId="35" hidden="1">{#N/A,#N/A,FALSE,"Plan1";#N/A,#N/A,FALSE,"Plan2"}</definedName>
    <definedName name="SKASH" hidden="1">{#N/A,#N/A,FALSE,"Plan1";#N/A,#N/A,FALSE,"Plan2"}</definedName>
    <definedName name="skldfrde" localSheetId="3" hidden="1">{#N/A,#N/A,FALSE,"Plan1";#N/A,#N/A,FALSE,"Plan2"}</definedName>
    <definedName name="skldfrde" localSheetId="33" hidden="1">{#N/A,#N/A,FALSE,"Plan1";#N/A,#N/A,FALSE,"Plan2"}</definedName>
    <definedName name="skldfrde" localSheetId="35" hidden="1">{#N/A,#N/A,FALSE,"Plan1";#N/A,#N/A,FALSE,"Plan2"}</definedName>
    <definedName name="skldfrde" hidden="1">{#N/A,#N/A,FALSE,"Plan1";#N/A,#N/A,FALSE,"Plan2"}</definedName>
    <definedName name="skosroer" localSheetId="3" hidden="1">{#N/A,#N/A,FALSE,"Plan1";#N/A,#N/A,FALSE,"Plan2"}</definedName>
    <definedName name="skosroer" localSheetId="33" hidden="1">{#N/A,#N/A,FALSE,"Plan1";#N/A,#N/A,FALSE,"Plan2"}</definedName>
    <definedName name="skosroer" localSheetId="35" hidden="1">{#N/A,#N/A,FALSE,"Plan1";#N/A,#N/A,FALSE,"Plan2"}</definedName>
    <definedName name="skosroer" hidden="1">{#N/A,#N/A,FALSE,"Plan1";#N/A,#N/A,FALSE,"Plan2"}</definedName>
    <definedName name="SO" localSheetId="12">#REF!</definedName>
    <definedName name="SO" localSheetId="30">#REF!</definedName>
    <definedName name="SO" localSheetId="28">#REF!</definedName>
    <definedName name="SO" localSheetId="27">#REF!</definedName>
    <definedName name="SO" localSheetId="18">#REF!</definedName>
    <definedName name="SO" localSheetId="7">#REF!</definedName>
    <definedName name="SO" localSheetId="23">#REF!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 localSheetId="12">#REF!</definedName>
    <definedName name="soma" localSheetId="30">#REF!</definedName>
    <definedName name="soma" localSheetId="28">#REF!</definedName>
    <definedName name="soma" localSheetId="27">#REF!</definedName>
    <definedName name="soma" localSheetId="18">#REF!</definedName>
    <definedName name="soma" localSheetId="7">#REF!</definedName>
    <definedName name="soma" localSheetId="23">#REF!</definedName>
    <definedName name="soma">#REF!</definedName>
    <definedName name="sp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3" hidden="1">{#N/A,#N/A,FALSE,"Plan1";#N/A,#N/A,FALSE,"Plan2"}</definedName>
    <definedName name="sQEWWE" localSheetId="33" hidden="1">{#N/A,#N/A,FALSE,"Plan1";#N/A,#N/A,FALSE,"Plan2"}</definedName>
    <definedName name="sQEWWE" localSheetId="35" hidden="1">{#N/A,#N/A,FALSE,"Plan1";#N/A,#N/A,FALSE,"Plan2"}</definedName>
    <definedName name="sQEWWE" hidden="1">{#N/A,#N/A,FALSE,"Plan1";#N/A,#N/A,FALSE,"Plan2"}</definedName>
    <definedName name="SR" localSheetId="12" hidden="1">#REF!</definedName>
    <definedName name="SR" localSheetId="30" hidden="1">#REF!</definedName>
    <definedName name="SR" localSheetId="28" hidden="1">#REF!</definedName>
    <definedName name="SR" localSheetId="27" hidden="1">#REF!</definedName>
    <definedName name="SR" localSheetId="18" hidden="1">#REF!</definedName>
    <definedName name="SR" localSheetId="7" hidden="1">#REF!</definedName>
    <definedName name="SR" localSheetId="23" hidden="1">#REF!</definedName>
    <definedName name="SR" hidden="1">#REF!</definedName>
    <definedName name="SRH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3" hidden="1">#REF!</definedName>
    <definedName name="SS" localSheetId="12" hidden="1">#REF!</definedName>
    <definedName name="SS" localSheetId="30" hidden="1">#REF!</definedName>
    <definedName name="SS" localSheetId="28" hidden="1">#REF!</definedName>
    <definedName name="SS" localSheetId="27" hidden="1">#REF!</definedName>
    <definedName name="SS" localSheetId="18" hidden="1">#REF!</definedName>
    <definedName name="SS" localSheetId="7" hidden="1">#REF!</definedName>
    <definedName name="SS" localSheetId="23" hidden="1">#REF!</definedName>
    <definedName name="SS" hidden="1">#REF!</definedName>
    <definedName name="sssss" localSheetId="12" hidden="1">#REF!</definedName>
    <definedName name="sssss" localSheetId="30" hidden="1">#REF!</definedName>
    <definedName name="sssss" localSheetId="28" hidden="1">#REF!</definedName>
    <definedName name="sssss" localSheetId="27" hidden="1">#REF!</definedName>
    <definedName name="sssss" localSheetId="18" hidden="1">#REF!</definedName>
    <definedName name="sssss" localSheetId="7" hidden="1">#REF!</definedName>
    <definedName name="sssss" localSheetId="23" hidden="1">#REF!</definedName>
    <definedName name="sssss" hidden="1">#REF!</definedName>
    <definedName name="stake_cury" localSheetId="12">#REF!</definedName>
    <definedName name="stake_cury" localSheetId="30">#REF!</definedName>
    <definedName name="stake_cury" localSheetId="28">#REF!</definedName>
    <definedName name="stake_cury" localSheetId="27">#REF!</definedName>
    <definedName name="stake_cury" localSheetId="18">#REF!</definedName>
    <definedName name="stake_cury" localSheetId="7">#REF!</definedName>
    <definedName name="stake_cury" localSheetId="23">#REF!</definedName>
    <definedName name="stake_cury">#REF!</definedName>
    <definedName name="status_projeto" hidden="1">OFFSET(INDEX(#REF!,MATCH(#REF!,#REF!,0)),1,0,COUNTA(#REF!)-1)</definedName>
    <definedName name="SUB_TOTAL_1" localSheetId="12">#REF!</definedName>
    <definedName name="SUB_TOTAL_1" localSheetId="30">#REF!</definedName>
    <definedName name="SUB_TOTAL_1" localSheetId="28">#REF!</definedName>
    <definedName name="SUB_TOTAL_1" localSheetId="27">#REF!</definedName>
    <definedName name="SUB_TOTAL_1" localSheetId="18">#REF!</definedName>
    <definedName name="SUB_TOTAL_1" localSheetId="7">#REF!</definedName>
    <definedName name="SUB_TOTAL_1" localSheetId="23">#REF!</definedName>
    <definedName name="SUB_TOTAL_1">#REF!</definedName>
    <definedName name="SUBDER" localSheetId="12">#REF!</definedName>
    <definedName name="SUBDER" localSheetId="30">#REF!</definedName>
    <definedName name="SUBDER" localSheetId="28">#REF!</definedName>
    <definedName name="SUBDER" localSheetId="27">#REF!</definedName>
    <definedName name="SUBDER" localSheetId="18">#REF!</definedName>
    <definedName name="SUBDER" localSheetId="7">#REF!</definedName>
    <definedName name="SUBDER" localSheetId="23">#REF!</definedName>
    <definedName name="SUBDER">#REF!</definedName>
    <definedName name="SUBDIV" localSheetId="12">#REF!</definedName>
    <definedName name="SUBDIV" localSheetId="30">#REF!</definedName>
    <definedName name="SUBDIV" localSheetId="28">#REF!</definedName>
    <definedName name="SUBDIV" localSheetId="27">#REF!</definedName>
    <definedName name="SUBDIV" localSheetId="18">#REF!</definedName>
    <definedName name="SUBDIV" localSheetId="7">#REF!</definedName>
    <definedName name="SUBDIV" localSheetId="23">#REF!</definedName>
    <definedName name="SUBDIV">#REF!</definedName>
    <definedName name="SUBEQP" localSheetId="12">#REF!</definedName>
    <definedName name="SUBEQP" localSheetId="30">#REF!</definedName>
    <definedName name="SUBEQP" localSheetId="28">#REF!</definedName>
    <definedName name="SUBEQP" localSheetId="27">#REF!</definedName>
    <definedName name="SUBEQP" localSheetId="18">#REF!</definedName>
    <definedName name="SUBEQP" localSheetId="7">#REF!</definedName>
    <definedName name="SUBEQP" localSheetId="23">#REF!</definedName>
    <definedName name="SUBEQP">#REF!</definedName>
    <definedName name="SUBMUR" localSheetId="12">#REF!</definedName>
    <definedName name="SUBMUR" localSheetId="30">#REF!</definedName>
    <definedName name="SUBMUR" localSheetId="28">#REF!</definedName>
    <definedName name="SUBMUR" localSheetId="27">#REF!</definedName>
    <definedName name="SUBMUR" localSheetId="18">#REF!</definedName>
    <definedName name="SUBMUR" localSheetId="7">#REF!</definedName>
    <definedName name="SUBMUR" localSheetId="23">#REF!</definedName>
    <definedName name="SUBMUR">#REF!</definedName>
    <definedName name="summ" localSheetId="12" hidden="1">#REF!</definedName>
    <definedName name="summ" localSheetId="30" hidden="1">#REF!</definedName>
    <definedName name="summ" localSheetId="28" hidden="1">#REF!</definedName>
    <definedName name="summ" localSheetId="27" hidden="1">#REF!</definedName>
    <definedName name="summ" localSheetId="18" hidden="1">#REF!</definedName>
    <definedName name="summ" localSheetId="7" hidden="1">#REF!</definedName>
    <definedName name="summ" localSheetId="23" hidden="1">#REF!</definedName>
    <definedName name="summ" hidden="1">#REF!</definedName>
    <definedName name="susref" localSheetId="3">#REF!</definedName>
    <definedName name="susref" localSheetId="12">#REF!</definedName>
    <definedName name="susref" localSheetId="30">#REF!</definedName>
    <definedName name="susref" localSheetId="28">#REF!</definedName>
    <definedName name="susref" localSheetId="27">#REF!</definedName>
    <definedName name="susref" localSheetId="18">#REF!</definedName>
    <definedName name="susref" localSheetId="7">#REF!</definedName>
    <definedName name="susref" localSheetId="23">#REF!</definedName>
    <definedName name="susref">#REF!</definedName>
    <definedName name="Swvu.Características." localSheetId="12" hidden="1">#REF!</definedName>
    <definedName name="Swvu.Características." localSheetId="30" hidden="1">#REF!</definedName>
    <definedName name="Swvu.Características." localSheetId="28" hidden="1">#REF!</definedName>
    <definedName name="Swvu.Características." localSheetId="27" hidden="1">#REF!</definedName>
    <definedName name="Swvu.Características." localSheetId="18" hidden="1">#REF!</definedName>
    <definedName name="Swvu.Características." localSheetId="7" hidden="1">#REF!</definedName>
    <definedName name="Swvu.Características." localSheetId="23" hidden="1">#REF!</definedName>
    <definedName name="Swvu.Características." hidden="1">#REF!</definedName>
    <definedName name="Swvu.Ciclos." localSheetId="12" hidden="1">#REF!</definedName>
    <definedName name="Swvu.Ciclos." localSheetId="30" hidden="1">#REF!</definedName>
    <definedName name="Swvu.Ciclos." localSheetId="28" hidden="1">#REF!</definedName>
    <definedName name="Swvu.Ciclos." localSheetId="27" hidden="1">#REF!</definedName>
    <definedName name="Swvu.Ciclos." localSheetId="18" hidden="1">#REF!</definedName>
    <definedName name="Swvu.Ciclos." localSheetId="7" hidden="1">#REF!</definedName>
    <definedName name="Swvu.Ciclos." localSheetId="23" hidden="1">#REF!</definedName>
    <definedName name="Swvu.Ciclos." hidden="1">#REF!</definedName>
    <definedName name="Swvu.Custos." localSheetId="12" hidden="1">#REF!</definedName>
    <definedName name="Swvu.Custos." localSheetId="30" hidden="1">#REF!</definedName>
    <definedName name="Swvu.Custos." localSheetId="28" hidden="1">#REF!</definedName>
    <definedName name="Swvu.Custos." localSheetId="27" hidden="1">#REF!</definedName>
    <definedName name="Swvu.Custos." localSheetId="18" hidden="1">#REF!</definedName>
    <definedName name="Swvu.Custos." localSheetId="7" hidden="1">#REF!</definedName>
    <definedName name="Swvu.Custos." localSheetId="23" hidden="1">#REF!</definedName>
    <definedName name="Swvu.Custos." hidden="1">#REF!</definedName>
    <definedName name="Swvu.PLANILHA2." localSheetId="12" hidden="1">#REF!</definedName>
    <definedName name="Swvu.PLANILHA2." localSheetId="30" hidden="1">#REF!</definedName>
    <definedName name="Swvu.PLANILHA2." localSheetId="28" hidden="1">#REF!</definedName>
    <definedName name="Swvu.PLANILHA2." localSheetId="27" hidden="1">#REF!</definedName>
    <definedName name="Swvu.PLANILHA2." localSheetId="18" hidden="1">#REF!</definedName>
    <definedName name="Swvu.PLANILHA2." localSheetId="7" hidden="1">#REF!</definedName>
    <definedName name="Swvu.PLANILHA2." localSheetId="23" hidden="1">#REF!</definedName>
    <definedName name="Swvu.PLANILHA2." hidden="1">#REF!</definedName>
    <definedName name="Swvu.Recursos." localSheetId="12" hidden="1">#REF!</definedName>
    <definedName name="Swvu.Recursos." localSheetId="30" hidden="1">#REF!</definedName>
    <definedName name="Swvu.Recursos." localSheetId="28" hidden="1">#REF!</definedName>
    <definedName name="Swvu.Recursos." localSheetId="27" hidden="1">#REF!</definedName>
    <definedName name="Swvu.Recursos." localSheetId="18" hidden="1">#REF!</definedName>
    <definedName name="Swvu.Recursos." localSheetId="7" hidden="1">#REF!</definedName>
    <definedName name="Swvu.Recursos." localSheetId="23" hidden="1">#REF!</definedName>
    <definedName name="Swvu.Recursos." hidden="1">#REF!</definedName>
    <definedName name="T_actual" localSheetId="12">#REF!</definedName>
    <definedName name="T_actual" localSheetId="30">#REF!</definedName>
    <definedName name="T_actual" localSheetId="28">#REF!</definedName>
    <definedName name="T_actual" localSheetId="27">#REF!</definedName>
    <definedName name="T_actual" localSheetId="18">#REF!</definedName>
    <definedName name="T_actual" localSheetId="7">#REF!</definedName>
    <definedName name="T_actual" localSheetId="23">#REF!</definedName>
    <definedName name="T_actual">#REF!</definedName>
    <definedName name="t_cc" localSheetId="12">#REF!</definedName>
    <definedName name="t_cc" localSheetId="30">#REF!</definedName>
    <definedName name="t_cc" localSheetId="28">#REF!</definedName>
    <definedName name="t_cc" localSheetId="27">#REF!</definedName>
    <definedName name="t_cc" localSheetId="18">#REF!</definedName>
    <definedName name="t_cc" localSheetId="7">#REF!</definedName>
    <definedName name="t_cc" localSheetId="23">#REF!</definedName>
    <definedName name="t_cc">#REF!</definedName>
    <definedName name="t_KSB1_Transport" localSheetId="12">#REF!</definedName>
    <definedName name="t_KSB1_Transport" localSheetId="30">#REF!</definedName>
    <definedName name="t_KSB1_Transport" localSheetId="28">#REF!</definedName>
    <definedName name="t_KSB1_Transport" localSheetId="27">#REF!</definedName>
    <definedName name="t_KSB1_Transport" localSheetId="18">#REF!</definedName>
    <definedName name="t_KSB1_Transport" localSheetId="7">#REF!</definedName>
    <definedName name="t_KSB1_Transport" localSheetId="23">#REF!</definedName>
    <definedName name="t_KSB1_Transport">#REF!</definedName>
    <definedName name="tab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 localSheetId="12">#REF!</definedName>
    <definedName name="TAB_GASTOS" localSheetId="30">#REF!</definedName>
    <definedName name="TAB_GASTOS" localSheetId="28">#REF!</definedName>
    <definedName name="TAB_GASTOS" localSheetId="27">#REF!</definedName>
    <definedName name="TAB_GASTOS" localSheetId="18">#REF!</definedName>
    <definedName name="TAB_GASTOS" localSheetId="7">#REF!</definedName>
    <definedName name="TAB_GASTOS" localSheetId="23">#REF!</definedName>
    <definedName name="TAB_GASTOS">#REF!</definedName>
    <definedName name="TABACABAMENTOS" localSheetId="12">#REF!</definedName>
    <definedName name="TABACABAMENTOS" localSheetId="30">#REF!</definedName>
    <definedName name="TABACABAMENTOS" localSheetId="28">#REF!</definedName>
    <definedName name="TABACABAMENTOS" localSheetId="27">#REF!</definedName>
    <definedName name="TABACABAMENTOS" localSheetId="18">#REF!</definedName>
    <definedName name="TABACABAMENTOS" localSheetId="7">#REF!</definedName>
    <definedName name="TABACABAMENTOS" localSheetId="23">#REF!</definedName>
    <definedName name="TABACABAMENTOS">#REF!</definedName>
    <definedName name="tabela" localSheetId="12">#REF!</definedName>
    <definedName name="tabela" localSheetId="30">#REF!</definedName>
    <definedName name="tabela" localSheetId="28">#REF!</definedName>
    <definedName name="tabela" localSheetId="27">#REF!</definedName>
    <definedName name="tabela" localSheetId="18">#REF!</definedName>
    <definedName name="tabela" localSheetId="7">#REF!</definedName>
    <definedName name="tabela" localSheetId="23">#REF!</definedName>
    <definedName name="tabela">#REF!</definedName>
    <definedName name="Tabela_Atribuição" localSheetId="12">#REF!</definedName>
    <definedName name="Tabela_Atribuição" localSheetId="30">#REF!</definedName>
    <definedName name="Tabela_Atribuição" localSheetId="28">#REF!</definedName>
    <definedName name="Tabela_Atribuição" localSheetId="27">#REF!</definedName>
    <definedName name="Tabela_Atribuição" localSheetId="18">#REF!</definedName>
    <definedName name="Tabela_Atribuição" localSheetId="7">#REF!</definedName>
    <definedName name="Tabela_Atribuição" localSheetId="23">#REF!</definedName>
    <definedName name="Tabela_Atribuição">#REF!</definedName>
    <definedName name="TABELA_DE_REVESTIMENTOS" localSheetId="12">#REF!</definedName>
    <definedName name="TABELA_DE_REVESTIMENTOS" localSheetId="30">#REF!</definedName>
    <definedName name="TABELA_DE_REVESTIMENTOS" localSheetId="28">#REF!</definedName>
    <definedName name="TABELA_DE_REVESTIMENTOS" localSheetId="27">#REF!</definedName>
    <definedName name="TABELA_DE_REVESTIMENTOS" localSheetId="18">#REF!</definedName>
    <definedName name="TABELA_DE_REVESTIMENTOS" localSheetId="7">#REF!</definedName>
    <definedName name="TABELA_DE_REVESTIMENTOS" localSheetId="23">#REF!</definedName>
    <definedName name="TABELA_DE_REVESTIMENTOS">#REF!</definedName>
    <definedName name="Tabela_Recursos" localSheetId="12">#REF!</definedName>
    <definedName name="Tabela_Recursos" localSheetId="30">#REF!</definedName>
    <definedName name="Tabela_Recursos" localSheetId="28">#REF!</definedName>
    <definedName name="Tabela_Recursos" localSheetId="27">#REF!</definedName>
    <definedName name="Tabela_Recursos" localSheetId="18">#REF!</definedName>
    <definedName name="Tabela_Recursos" localSheetId="7">#REF!</definedName>
    <definedName name="Tabela_Recursos" localSheetId="23">#REF!</definedName>
    <definedName name="Tabela_Recursos">#REF!</definedName>
    <definedName name="Tabela_Tarefas" localSheetId="12">#REF!</definedName>
    <definedName name="Tabela_Tarefas" localSheetId="30">#REF!</definedName>
    <definedName name="Tabela_Tarefas" localSheetId="28">#REF!</definedName>
    <definedName name="Tabela_Tarefas" localSheetId="27">#REF!</definedName>
    <definedName name="Tabela_Tarefas" localSheetId="18">#REF!</definedName>
    <definedName name="Tabela_Tarefas" localSheetId="7">#REF!</definedName>
    <definedName name="Tabela_Tarefas" localSheetId="23">#REF!</definedName>
    <definedName name="Tabela_Tarefas">#REF!</definedName>
    <definedName name="Tabela1" localSheetId="12">#REF!</definedName>
    <definedName name="Tabela1" localSheetId="30">#REF!</definedName>
    <definedName name="Tabela1" localSheetId="28">#REF!</definedName>
    <definedName name="Tabela1" localSheetId="27">#REF!</definedName>
    <definedName name="Tabela1" localSheetId="18">#REF!</definedName>
    <definedName name="Tabela1" localSheetId="7">#REF!</definedName>
    <definedName name="Tabela1" localSheetId="23">#REF!</definedName>
    <definedName name="Tabela1">#REF!</definedName>
    <definedName name="Tabela2" localSheetId="12">#REF!</definedName>
    <definedName name="Tabela2" localSheetId="30">#REF!</definedName>
    <definedName name="Tabela2" localSheetId="28">#REF!</definedName>
    <definedName name="Tabela2" localSheetId="27">#REF!</definedName>
    <definedName name="Tabela2" localSheetId="18">#REF!</definedName>
    <definedName name="Tabela2" localSheetId="7">#REF!</definedName>
    <definedName name="Tabela2" localSheetId="23">#REF!</definedName>
    <definedName name="Tabela2">#REF!</definedName>
    <definedName name="tabela3" localSheetId="12">#REF!</definedName>
    <definedName name="tabela3" localSheetId="30">#REF!</definedName>
    <definedName name="tabela3" localSheetId="28">#REF!</definedName>
    <definedName name="tabela3" localSheetId="27">#REF!</definedName>
    <definedName name="tabela3" localSheetId="18">#REF!</definedName>
    <definedName name="tabela3" localSheetId="7">#REF!</definedName>
    <definedName name="tabela3" localSheetId="23">#REF!</definedName>
    <definedName name="tabela3">#REF!</definedName>
    <definedName name="TABREF" localSheetId="12">#REF!</definedName>
    <definedName name="TABREF" localSheetId="30">#REF!</definedName>
    <definedName name="TABREF" localSheetId="28">#REF!</definedName>
    <definedName name="TABREF" localSheetId="27">#REF!</definedName>
    <definedName name="TABREF" localSheetId="18">#REF!</definedName>
    <definedName name="TABREF" localSheetId="7">#REF!</definedName>
    <definedName name="TABREF" localSheetId="23">#REF!</definedName>
    <definedName name="TABREF">#REF!</definedName>
    <definedName name="tania" localSheetId="3">#REF!</definedName>
    <definedName name="tania" localSheetId="12">#REF!</definedName>
    <definedName name="tania" localSheetId="30">#REF!</definedName>
    <definedName name="tania" localSheetId="28">#REF!</definedName>
    <definedName name="tania" localSheetId="27">#REF!</definedName>
    <definedName name="tania" localSheetId="18">#REF!</definedName>
    <definedName name="tania" localSheetId="7">#REF!</definedName>
    <definedName name="tania" localSheetId="23">#REF!</definedName>
    <definedName name="tania">#REF!</definedName>
    <definedName name="TAUX2" localSheetId="12">OFFSET(#REF!,0,0,COUNTA(#REF!)+1,1)</definedName>
    <definedName name="TAUX2" localSheetId="30">OFFSET(#REF!,0,0,COUNTA(#REF!)+1,1)</definedName>
    <definedName name="TAUX2" localSheetId="28">OFFSET(#REF!,0,0,COUNTA(#REF!)+1,1)</definedName>
    <definedName name="TAUX2" localSheetId="27">OFFSET(#REF!,0,0,COUNTA(#REF!)+1,1)</definedName>
    <definedName name="TAUX2" localSheetId="18">OFFSET(#REF!,0,0,COUNTA(#REF!)+1,1)</definedName>
    <definedName name="TAUX2" localSheetId="7">OFFSET(#REF!,0,0,COUNTA(#REF!)+1,1)</definedName>
    <definedName name="TAUX2" localSheetId="23">OFFSET(#REF!,0,0,COUNTA(#REF!)+1,1)</definedName>
    <definedName name="TAUX2">OFFSET(#REF!,0,0,COUNTA(#REF!)+1,1)</definedName>
    <definedName name="TAUX3" localSheetId="12">OFFSET(#REF!,0,0,COUNTA(#REF!)+1,1)</definedName>
    <definedName name="TAUX3" localSheetId="30">OFFSET(#REF!,0,0,COUNTA(#REF!)+1,1)</definedName>
    <definedName name="TAUX3" localSheetId="28">OFFSET(#REF!,0,0,COUNTA(#REF!)+1,1)</definedName>
    <definedName name="TAUX3" localSheetId="27">OFFSET(#REF!,0,0,COUNTA(#REF!)+1,1)</definedName>
    <definedName name="TAUX3" localSheetId="18">OFFSET(#REF!,0,0,COUNTA(#REF!)+1,1)</definedName>
    <definedName name="TAUX3" localSheetId="7">OFFSET(#REF!,0,0,COUNTA(#REF!)+1,1)</definedName>
    <definedName name="TAUX3" localSheetId="23">OFFSET(#REF!,0,0,COUNTA(#REF!)+1,1)</definedName>
    <definedName name="TAUX3">OFFSET(#REF!,0,0,COUNTA(#REF!)+1,1)</definedName>
    <definedName name="TAXA_VENTO" localSheetId="12">#REF!</definedName>
    <definedName name="TAXA_VENTO" localSheetId="30">#REF!</definedName>
    <definedName name="TAXA_VENTO" localSheetId="28">#REF!</definedName>
    <definedName name="TAXA_VENTO" localSheetId="27">#REF!</definedName>
    <definedName name="TAXA_VENTO" localSheetId="18">#REF!</definedName>
    <definedName name="TAXA_VENTO" localSheetId="7">#REF!</definedName>
    <definedName name="TAXA_VENTO" localSheetId="23">#REF!</definedName>
    <definedName name="TAXA_VENTO">#REF!</definedName>
    <definedName name="TAXAS" localSheetId="12">#REF!</definedName>
    <definedName name="TAXAS" localSheetId="30">#REF!</definedName>
    <definedName name="TAXAS" localSheetId="28">#REF!</definedName>
    <definedName name="TAXAS" localSheetId="27">#REF!</definedName>
    <definedName name="TAXAS" localSheetId="18">#REF!</definedName>
    <definedName name="TAXAS" localSheetId="7">#REF!</definedName>
    <definedName name="TAXAS" localSheetId="23">#REF!</definedName>
    <definedName name="TAXAS">#REF!</definedName>
    <definedName name="TbDin" localSheetId="12">OFFSET(#REF!,0,0,COUNTA(#REF!),13)</definedName>
    <definedName name="TbDin" localSheetId="30">OFFSET(#REF!,0,0,COUNTA(#REF!),13)</definedName>
    <definedName name="TbDin" localSheetId="28">OFFSET(#REF!,0,0,COUNTA(#REF!),13)</definedName>
    <definedName name="TbDin" localSheetId="27">OFFSET(#REF!,0,0,COUNTA(#REF!),13)</definedName>
    <definedName name="TbDin" localSheetId="18">OFFSET(#REF!,0,0,COUNTA(#REF!),13)</definedName>
    <definedName name="TbDin" localSheetId="7">OFFSET(#REF!,0,0,COUNTA(#REF!),13)</definedName>
    <definedName name="TbDin" localSheetId="23">OFFSET(#REF!,0,0,COUNTA(#REF!),13)</definedName>
    <definedName name="TbDin">OFFSET(#REF!,0,0,COUNTA(#REF!),13)</definedName>
    <definedName name="tc" localSheetId="3">#REF!</definedName>
    <definedName name="tc" localSheetId="12">#REF!</definedName>
    <definedName name="tc" localSheetId="30">#REF!</definedName>
    <definedName name="tc" localSheetId="28">#REF!</definedName>
    <definedName name="tc" localSheetId="27">#REF!</definedName>
    <definedName name="tc" localSheetId="18">#REF!</definedName>
    <definedName name="tc" localSheetId="7">#REF!</definedName>
    <definedName name="tc" localSheetId="23">#REF!</definedName>
    <definedName name="tc">#REF!</definedName>
    <definedName name="TE" localSheetId="12">#REF!</definedName>
    <definedName name="TE" localSheetId="30">#REF!</definedName>
    <definedName name="TE" localSheetId="28">#REF!</definedName>
    <definedName name="TE" localSheetId="27">#REF!</definedName>
    <definedName name="TE" localSheetId="18">#REF!</definedName>
    <definedName name="TE" localSheetId="7">#REF!</definedName>
    <definedName name="TE" localSheetId="23">#REF!</definedName>
    <definedName name="TE">#REF!</definedName>
    <definedName name="TECLA" localSheetId="12">#REF!</definedName>
    <definedName name="TECLA" localSheetId="30">#REF!</definedName>
    <definedName name="TECLA" localSheetId="28">#REF!</definedName>
    <definedName name="TECLA" localSheetId="27">#REF!</definedName>
    <definedName name="TECLA" localSheetId="18">#REF!</definedName>
    <definedName name="TECLA" localSheetId="7">#REF!</definedName>
    <definedName name="TECLA" localSheetId="23">#REF!</definedName>
    <definedName name="TECLA">#REF!</definedName>
    <definedName name="Tendência_Obra_Controladoria" localSheetId="12">#REF!</definedName>
    <definedName name="Tendência_Obra_Controladoria" localSheetId="30">#REF!</definedName>
    <definedName name="Tendência_Obra_Controladoria" localSheetId="28">#REF!</definedName>
    <definedName name="Tendência_Obra_Controladoria" localSheetId="27">#REF!</definedName>
    <definedName name="Tendência_Obra_Controladoria" localSheetId="18">#REF!</definedName>
    <definedName name="Tendência_Obra_Controladoria" localSheetId="7">#REF!</definedName>
    <definedName name="Tendência_Obra_Controladoria" localSheetId="23">#REF!</definedName>
    <definedName name="Tendência_Obra_Controladoria">#REF!</definedName>
    <definedName name="TERRENO" localSheetId="12">#REF!</definedName>
    <definedName name="TERRENO" localSheetId="30">#REF!</definedName>
    <definedName name="TERRENO" localSheetId="28">#REF!</definedName>
    <definedName name="TERRENO" localSheetId="27">#REF!</definedName>
    <definedName name="TERRENO" localSheetId="18">#REF!</definedName>
    <definedName name="TERRENO" localSheetId="7">#REF!</definedName>
    <definedName name="TERRENO" localSheetId="23">#REF!</definedName>
    <definedName name="TERRENO">#REF!</definedName>
    <definedName name="Test" localSheetId="33" hidden="1">{"'Edit'!$A$1:$V$2277"}</definedName>
    <definedName name="Test" localSheetId="35" hidden="1">{"'Edit'!$A$1:$V$2277"}</definedName>
    <definedName name="Test" hidden="1">{"'Edit'!$A$1:$V$2277"}</definedName>
    <definedName name="TESTANDO" localSheetId="33" hidden="1">{#N/A,#N/A,TRUE,"Quinzena 01 à 15-04-98 "}</definedName>
    <definedName name="TESTANDO" localSheetId="35" hidden="1">{#N/A,#N/A,TRUE,"Quinzena 01 à 15-04-98 "}</definedName>
    <definedName name="TESTANDO" hidden="1">{#N/A,#N/A,TRUE,"Quinzena 01 à 15-04-98 "}</definedName>
    <definedName name="teste" localSheetId="12">#REF!</definedName>
    <definedName name="teste" localSheetId="30">#REF!</definedName>
    <definedName name="teste" localSheetId="28">#REF!</definedName>
    <definedName name="teste" localSheetId="27">#REF!</definedName>
    <definedName name="teste" localSheetId="18">#REF!</definedName>
    <definedName name="teste" localSheetId="7">#REF!</definedName>
    <definedName name="teste" localSheetId="23">#REF!</definedName>
    <definedName name="teste">#REF!</definedName>
    <definedName name="teste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 localSheetId="12">#REF!</definedName>
    <definedName name="teste3" localSheetId="30">#REF!</definedName>
    <definedName name="teste3" localSheetId="28">#REF!</definedName>
    <definedName name="teste3" localSheetId="27">#REF!</definedName>
    <definedName name="teste3" localSheetId="18">#REF!</definedName>
    <definedName name="teste3" localSheetId="7">#REF!</definedName>
    <definedName name="teste3" localSheetId="23">#REF!</definedName>
    <definedName name="teste3">#REF!</definedName>
    <definedName name="TESTHKEY" localSheetId="12">#REF!</definedName>
    <definedName name="TESTHKEY" localSheetId="30">#REF!</definedName>
    <definedName name="TESTHKEY" localSheetId="28">#REF!</definedName>
    <definedName name="TESTHKEY" localSheetId="27">#REF!</definedName>
    <definedName name="TESTHKEY" localSheetId="18">#REF!</definedName>
    <definedName name="TESTHKEY" localSheetId="7">#REF!</definedName>
    <definedName name="TESTHKEY" localSheetId="23">#REF!</definedName>
    <definedName name="TESTHKEY">#REF!</definedName>
    <definedName name="teto1" localSheetId="12">#REF!</definedName>
    <definedName name="teto1" localSheetId="30">#REF!</definedName>
    <definedName name="teto1" localSheetId="28">#REF!</definedName>
    <definedName name="teto1" localSheetId="27">#REF!</definedName>
    <definedName name="teto1" localSheetId="18">#REF!</definedName>
    <definedName name="teto1" localSheetId="7">#REF!</definedName>
    <definedName name="teto1" localSheetId="23">#REF!</definedName>
    <definedName name="teto1">#REF!</definedName>
    <definedName name="Teto2" localSheetId="12">#REF!</definedName>
    <definedName name="Teto2" localSheetId="30">#REF!</definedName>
    <definedName name="Teto2" localSheetId="28">#REF!</definedName>
    <definedName name="Teto2" localSheetId="27">#REF!</definedName>
    <definedName name="Teto2" localSheetId="18">#REF!</definedName>
    <definedName name="Teto2" localSheetId="7">#REF!</definedName>
    <definedName name="Teto2" localSheetId="23">#REF!</definedName>
    <definedName name="Teto2">#REF!</definedName>
    <definedName name="tetuytw" localSheetId="12">#REF!</definedName>
    <definedName name="tetuytw" localSheetId="30">#REF!</definedName>
    <definedName name="tetuytw" localSheetId="28">#REF!</definedName>
    <definedName name="tetuytw" localSheetId="27">#REF!</definedName>
    <definedName name="tetuytw" localSheetId="18">#REF!</definedName>
    <definedName name="tetuytw" localSheetId="7">#REF!</definedName>
    <definedName name="tetuytw" localSheetId="23">#REF!</definedName>
    <definedName name="tetuytw">#REF!</definedName>
    <definedName name="TextRefCopyRangeCount" hidden="1">1</definedName>
    <definedName name="thjgsergsr" localSheetId="3" hidden="1">{#N/A,#N/A,FALSE,"Plan1";#N/A,#N/A,FALSE,"Plan2"}</definedName>
    <definedName name="thjgsergsr" localSheetId="33" hidden="1">{#N/A,#N/A,FALSE,"Plan1";#N/A,#N/A,FALSE,"Plan2"}</definedName>
    <definedName name="thjgsergsr" localSheetId="35" hidden="1">{#N/A,#N/A,FALSE,"Plan1";#N/A,#N/A,FALSE,"Plan2"}</definedName>
    <definedName name="thjgsergsr" hidden="1">{#N/A,#N/A,FALSE,"Plan1";#N/A,#N/A,FALSE,"Plan2"}</definedName>
    <definedName name="THYJ" localSheetId="3" hidden="1">{#N/A,#N/A,FALSE,"Plan1";#N/A,#N/A,FALSE,"Plan2"}</definedName>
    <definedName name="THYJ" localSheetId="33" hidden="1">{#N/A,#N/A,FALSE,"Plan1";#N/A,#N/A,FALSE,"Plan2"}</definedName>
    <definedName name="THYJ" localSheetId="35" hidden="1">{#N/A,#N/A,FALSE,"Plan1";#N/A,#N/A,FALSE,"Plan2"}</definedName>
    <definedName name="THYJ" hidden="1">{#N/A,#N/A,FALSE,"Plan1";#N/A,#N/A,FALSE,"Plan2"}</definedName>
    <definedName name="tihjgih" localSheetId="3" hidden="1">{#N/A,#N/A,FALSE,"Plan1";#N/A,#N/A,FALSE,"Plan2"}</definedName>
    <definedName name="tihjgih" localSheetId="33" hidden="1">{#N/A,#N/A,FALSE,"Plan1";#N/A,#N/A,FALSE,"Plan2"}</definedName>
    <definedName name="tihjgih" localSheetId="35" hidden="1">{#N/A,#N/A,FALSE,"Plan1";#N/A,#N/A,FALSE,"Plan2"}</definedName>
    <definedName name="tihjgih" hidden="1">{#N/A,#N/A,FALSE,"Plan1";#N/A,#N/A,FALSE,"Plan2"}</definedName>
    <definedName name="TIPO_CTT" localSheetId="12">#REF!</definedName>
    <definedName name="TIPO_CTT" localSheetId="30">#REF!</definedName>
    <definedName name="TIPO_CTT" localSheetId="28">#REF!</definedName>
    <definedName name="TIPO_CTT" localSheetId="27">#REF!</definedName>
    <definedName name="TIPO_CTT" localSheetId="18">#REF!</definedName>
    <definedName name="TIPO_CTT" localSheetId="7">#REF!</definedName>
    <definedName name="TIPO_CTT" localSheetId="23">#REF!</definedName>
    <definedName name="TIPO_CTT">#REF!</definedName>
    <definedName name="Tipo_de_Diretoria" localSheetId="12">#REF!</definedName>
    <definedName name="Tipo_de_Diretoria" localSheetId="30">#REF!</definedName>
    <definedName name="Tipo_de_Diretoria" localSheetId="28">#REF!</definedName>
    <definedName name="Tipo_de_Diretoria" localSheetId="27">#REF!</definedName>
    <definedName name="Tipo_de_Diretoria" localSheetId="18">#REF!</definedName>
    <definedName name="Tipo_de_Diretoria" localSheetId="7">#REF!</definedName>
    <definedName name="Tipo_de_Diretoria" localSheetId="23">#REF!</definedName>
    <definedName name="Tipo_de_Diretoria">#REF!</definedName>
    <definedName name="Tipo_de_Gestao" localSheetId="12">#REF!</definedName>
    <definedName name="Tipo_de_Gestao" localSheetId="30">#REF!</definedName>
    <definedName name="Tipo_de_Gestao" localSheetId="28">#REF!</definedName>
    <definedName name="Tipo_de_Gestao" localSheetId="27">#REF!</definedName>
    <definedName name="Tipo_de_Gestao" localSheetId="18">#REF!</definedName>
    <definedName name="Tipo_de_Gestao" localSheetId="7">#REF!</definedName>
    <definedName name="Tipo_de_Gestao" localSheetId="23">#REF!</definedName>
    <definedName name="Tipo_de_Gestao">#REF!</definedName>
    <definedName name="Tipo_de_Padrao" localSheetId="12">#REF!</definedName>
    <definedName name="Tipo_de_Padrao" localSheetId="30">#REF!</definedName>
    <definedName name="Tipo_de_Padrao" localSheetId="28">#REF!</definedName>
    <definedName name="Tipo_de_Padrao" localSheetId="27">#REF!</definedName>
    <definedName name="Tipo_de_Padrao" localSheetId="18">#REF!</definedName>
    <definedName name="Tipo_de_Padrao" localSheetId="7">#REF!</definedName>
    <definedName name="Tipo_de_Padrao" localSheetId="23">#REF!</definedName>
    <definedName name="Tipo_de_Padrao">#REF!</definedName>
    <definedName name="Tipo_de_Regiao" localSheetId="12">#REF!</definedName>
    <definedName name="Tipo_de_Regiao" localSheetId="30">#REF!</definedName>
    <definedName name="Tipo_de_Regiao" localSheetId="28">#REF!</definedName>
    <definedName name="Tipo_de_Regiao" localSheetId="27">#REF!</definedName>
    <definedName name="Tipo_de_Regiao" localSheetId="18">#REF!</definedName>
    <definedName name="Tipo_de_Regiao" localSheetId="7">#REF!</definedName>
    <definedName name="Tipo_de_Regiao" localSheetId="23">#REF!</definedName>
    <definedName name="Tipo_de_Regiao">#REF!</definedName>
    <definedName name="Tipo_de_Segmento" localSheetId="12">#REF!</definedName>
    <definedName name="Tipo_de_Segmento" localSheetId="30">#REF!</definedName>
    <definedName name="Tipo_de_Segmento" localSheetId="28">#REF!</definedName>
    <definedName name="Tipo_de_Segmento" localSheetId="27">#REF!</definedName>
    <definedName name="Tipo_de_Segmento" localSheetId="18">#REF!</definedName>
    <definedName name="Tipo_de_Segmento" localSheetId="7">#REF!</definedName>
    <definedName name="Tipo_de_Segmento" localSheetId="23">#REF!</definedName>
    <definedName name="Tipo_de_Segmento">#REF!</definedName>
    <definedName name="Tipo_de_Status" localSheetId="12">#REF!</definedName>
    <definedName name="Tipo_de_Status" localSheetId="30">#REF!</definedName>
    <definedName name="Tipo_de_Status" localSheetId="28">#REF!</definedName>
    <definedName name="Tipo_de_Status" localSheetId="27">#REF!</definedName>
    <definedName name="Tipo_de_Status" localSheetId="18">#REF!</definedName>
    <definedName name="Tipo_de_Status" localSheetId="7">#REF!</definedName>
    <definedName name="Tipo_de_Status" localSheetId="23">#REF!</definedName>
    <definedName name="Tipo_de_Status">#REF!</definedName>
    <definedName name="Tipo_de_UF" localSheetId="12">#REF!</definedName>
    <definedName name="Tipo_de_UF" localSheetId="30">#REF!</definedName>
    <definedName name="Tipo_de_UF" localSheetId="28">#REF!</definedName>
    <definedName name="Tipo_de_UF" localSheetId="27">#REF!</definedName>
    <definedName name="Tipo_de_UF" localSheetId="18">#REF!</definedName>
    <definedName name="Tipo_de_UF" localSheetId="7">#REF!</definedName>
    <definedName name="Tipo_de_UF" localSheetId="23">#REF!</definedName>
    <definedName name="Tipo_de_UF">#REF!</definedName>
    <definedName name="Tipo_de_Unidade_de_Negocio" localSheetId="12">#REF!</definedName>
    <definedName name="Tipo_de_Unidade_de_Negocio" localSheetId="30">#REF!</definedName>
    <definedName name="Tipo_de_Unidade_de_Negocio" localSheetId="28">#REF!</definedName>
    <definedName name="Tipo_de_Unidade_de_Negocio" localSheetId="27">#REF!</definedName>
    <definedName name="Tipo_de_Unidade_de_Negocio" localSheetId="18">#REF!</definedName>
    <definedName name="Tipo_de_Unidade_de_Negocio" localSheetId="7">#REF!</definedName>
    <definedName name="Tipo_de_Unidade_de_Negocio" localSheetId="23">#REF!</definedName>
    <definedName name="Tipo_de_Unidade_de_Negocio">#REF!</definedName>
    <definedName name="Tipo_do_cliente" localSheetId="12">#REF!</definedName>
    <definedName name="Tipo_do_cliente" localSheetId="30">#REF!</definedName>
    <definedName name="Tipo_do_cliente" localSheetId="28">#REF!</definedName>
    <definedName name="Tipo_do_cliente" localSheetId="27">#REF!</definedName>
    <definedName name="Tipo_do_cliente" localSheetId="18">#REF!</definedName>
    <definedName name="Tipo_do_cliente" localSheetId="7">#REF!</definedName>
    <definedName name="Tipo_do_cliente" localSheetId="23">#REF!</definedName>
    <definedName name="Tipo_do_cliente">#REF!</definedName>
    <definedName name="tipo_subtotal" localSheetId="12">#REF!</definedName>
    <definedName name="tipo_subtotal" localSheetId="30">#REF!</definedName>
    <definedName name="tipo_subtotal" localSheetId="28">#REF!</definedName>
    <definedName name="tipo_subtotal" localSheetId="27">#REF!</definedName>
    <definedName name="tipo_subtotal" localSheetId="18">#REF!</definedName>
    <definedName name="tipo_subtotal" localSheetId="7">#REF!</definedName>
    <definedName name="tipo_subtotal" localSheetId="23">#REF!</definedName>
    <definedName name="tipo_subtotal">#REF!</definedName>
    <definedName name="tipobloco" localSheetId="12">#REF!</definedName>
    <definedName name="tipobloco" localSheetId="30">#REF!</definedName>
    <definedName name="tipobloco" localSheetId="28">#REF!</definedName>
    <definedName name="tipobloco" localSheetId="27">#REF!</definedName>
    <definedName name="tipobloco" localSheetId="18">#REF!</definedName>
    <definedName name="tipobloco" localSheetId="7">#REF!</definedName>
    <definedName name="tipobloco" localSheetId="23">#REF!</definedName>
    <definedName name="tipobloco">#REF!</definedName>
    <definedName name="titbeb" localSheetId="12">#REF!</definedName>
    <definedName name="titbeb" localSheetId="30">#REF!</definedName>
    <definedName name="titbeb" localSheetId="28">#REF!</definedName>
    <definedName name="titbeb" localSheetId="27">#REF!</definedName>
    <definedName name="titbeb" localSheetId="18">#REF!</definedName>
    <definedName name="titbeb" localSheetId="7">#REF!</definedName>
    <definedName name="titbeb" localSheetId="23">#REF!</definedName>
    <definedName name="titbeb">#REF!</definedName>
    <definedName name="TITCHAF" localSheetId="12">#REF!</definedName>
    <definedName name="TITCHAF" localSheetId="30">#REF!</definedName>
    <definedName name="TITCHAF" localSheetId="28">#REF!</definedName>
    <definedName name="TITCHAF" localSheetId="27">#REF!</definedName>
    <definedName name="TITCHAF" localSheetId="18">#REF!</definedName>
    <definedName name="TITCHAF" localSheetId="7">#REF!</definedName>
    <definedName name="TITCHAF" localSheetId="23">#REF!</definedName>
    <definedName name="TITCHAF">#REF!</definedName>
    <definedName name="TituloMkt" localSheetId="12">#REF!</definedName>
    <definedName name="TituloMkt" localSheetId="30">#REF!</definedName>
    <definedName name="TituloMkt" localSheetId="28">#REF!</definedName>
    <definedName name="TituloMkt" localSheetId="27">#REF!</definedName>
    <definedName name="TituloMkt" localSheetId="18">#REF!</definedName>
    <definedName name="TituloMkt" localSheetId="7">#REF!</definedName>
    <definedName name="TituloMkt" localSheetId="23">#REF!</definedName>
    <definedName name="TituloMkt">#REF!</definedName>
    <definedName name="titulos" localSheetId="12">#REF!</definedName>
    <definedName name="titulos" localSheetId="30">#REF!</definedName>
    <definedName name="titulos" localSheetId="28">#REF!</definedName>
    <definedName name="titulos" localSheetId="27">#REF!</definedName>
    <definedName name="titulos" localSheetId="18">#REF!</definedName>
    <definedName name="titulos" localSheetId="35">#REF!</definedName>
    <definedName name="titulos" localSheetId="7">#REF!</definedName>
    <definedName name="titulos" localSheetId="23">#REF!</definedName>
    <definedName name="titulos">#REF!</definedName>
    <definedName name="_xlnm.Print_Titles" localSheetId="2">#REF!</definedName>
    <definedName name="_xlnm.Print_Titles" localSheetId="3">#REF!</definedName>
    <definedName name="_xlnm.Print_Titles" localSheetId="12">#REF!</definedName>
    <definedName name="_xlnm.Print_Titles" localSheetId="1">'EPC''s'!$1:$7</definedName>
    <definedName name="_xlnm.Print_Titles" localSheetId="24">Escadas!$4:$6</definedName>
    <definedName name="_xlnm.Print_Titles" localSheetId="30">#REF!</definedName>
    <definedName name="_xlnm.Print_Titles" localSheetId="28">#REF!</definedName>
    <definedName name="_xlnm.Print_Titles" localSheetId="27">#REF!</definedName>
    <definedName name="_xlnm.Print_Titles" localSheetId="22">Lajes!$1:$5</definedName>
    <definedName name="_xlnm.Print_Titles" localSheetId="0">OBRA!$1:$7</definedName>
    <definedName name="_xlnm.Print_Titles" localSheetId="18">#REF!</definedName>
    <definedName name="_xlnm.Print_Titles" localSheetId="7">#REF!</definedName>
    <definedName name="_xlnm.Print_Titles" localSheetId="23">Rampas!$1:$5</definedName>
    <definedName name="_xlnm.Print_Titles" localSheetId="20">Vigas!$4:$5</definedName>
    <definedName name="_xlnm.Print_Titles">#REF!</definedName>
    <definedName name="Títulos_impressão_IM" localSheetId="12">#REF!</definedName>
    <definedName name="Títulos_impressão_IM" localSheetId="30">#REF!</definedName>
    <definedName name="Títulos_impressão_IM" localSheetId="28">#REF!</definedName>
    <definedName name="Títulos_impressão_IM" localSheetId="27">#REF!</definedName>
    <definedName name="Títulos_impressão_IM" localSheetId="21">#REF!</definedName>
    <definedName name="Títulos_impressão_IM" localSheetId="18">#REF!</definedName>
    <definedName name="Títulos_impressão_IM" localSheetId="7">#REF!</definedName>
    <definedName name="Títulos_impressão_IM" localSheetId="23">#REF!</definedName>
    <definedName name="Títulos_impressão_IM">#REF!</definedName>
    <definedName name="TMO" localSheetId="12">#REF!</definedName>
    <definedName name="TMO" localSheetId="30">#REF!</definedName>
    <definedName name="TMO" localSheetId="28">#REF!</definedName>
    <definedName name="TMO" localSheetId="27">#REF!</definedName>
    <definedName name="TMO" localSheetId="18">#REF!</definedName>
    <definedName name="TMO" localSheetId="7">#REF!</definedName>
    <definedName name="TMO" localSheetId="23">#REF!</definedName>
    <definedName name="TMO">#REF!</definedName>
    <definedName name="TOLTAL2" localSheetId="12">#REF!</definedName>
    <definedName name="TOLTAL2" localSheetId="30">#REF!</definedName>
    <definedName name="TOLTAL2" localSheetId="28">#REF!</definedName>
    <definedName name="TOLTAL2" localSheetId="27">#REF!</definedName>
    <definedName name="TOLTAL2" localSheetId="18">#REF!</definedName>
    <definedName name="TOLTAL2" localSheetId="7">#REF!</definedName>
    <definedName name="TOLTAL2" localSheetId="23">#REF!</definedName>
    <definedName name="TOLTAL2">#REF!</definedName>
    <definedName name="TOT" localSheetId="12">#REF!</definedName>
    <definedName name="TOT" localSheetId="1">#REF!</definedName>
    <definedName name="TOT" localSheetId="30">#REF!</definedName>
    <definedName name="TOT" localSheetId="28">#REF!</definedName>
    <definedName name="TOT" localSheetId="27">#REF!</definedName>
    <definedName name="TOT" localSheetId="0">#REF!</definedName>
    <definedName name="TOT" localSheetId="18">#REF!</definedName>
    <definedName name="TOT" localSheetId="7">#REF!</definedName>
    <definedName name="TOT" localSheetId="23">#REF!</definedName>
    <definedName name="TOT">#REF!</definedName>
    <definedName name="tot3estac" localSheetId="12">#REF!</definedName>
    <definedName name="tot3estac" localSheetId="30">#REF!</definedName>
    <definedName name="tot3estac" localSheetId="28">#REF!</definedName>
    <definedName name="tot3estac" localSheetId="27">#REF!</definedName>
    <definedName name="tot3estac" localSheetId="18">#REF!</definedName>
    <definedName name="tot3estac" localSheetId="7">#REF!</definedName>
    <definedName name="tot3estac" localSheetId="23">#REF!</definedName>
    <definedName name="tot3estac">#REF!</definedName>
    <definedName name="TOTAIS" localSheetId="12">#REF!</definedName>
    <definedName name="TOTAIS" localSheetId="30">#REF!</definedName>
    <definedName name="TOTAIS" localSheetId="28">#REF!</definedName>
    <definedName name="TOTAIS" localSheetId="27">#REF!</definedName>
    <definedName name="TOTAIS" localSheetId="18">#REF!</definedName>
    <definedName name="TOTAIS" localSheetId="7">#REF!</definedName>
    <definedName name="TOTAIS" localSheetId="23">#REF!</definedName>
    <definedName name="TOTAIS">#REF!</definedName>
    <definedName name="Total" localSheetId="12">#REF!</definedName>
    <definedName name="Total" localSheetId="1">#REF!</definedName>
    <definedName name="Total" localSheetId="30">#REF!</definedName>
    <definedName name="Total" localSheetId="28">#REF!</definedName>
    <definedName name="Total" localSheetId="27">#REF!</definedName>
    <definedName name="Total" localSheetId="0">#REF!</definedName>
    <definedName name="Total" localSheetId="18">#REF!</definedName>
    <definedName name="Total" localSheetId="7">#REF!</definedName>
    <definedName name="Total" localSheetId="23">#REF!</definedName>
    <definedName name="Total">#REF!</definedName>
    <definedName name="Total_2016_Rel_Controladoria" localSheetId="12">#REF!</definedName>
    <definedName name="Total_2016_Rel_Controladoria" localSheetId="30">#REF!</definedName>
    <definedName name="Total_2016_Rel_Controladoria" localSheetId="28">#REF!</definedName>
    <definedName name="Total_2016_Rel_Controladoria" localSheetId="27">#REF!</definedName>
    <definedName name="Total_2016_Rel_Controladoria" localSheetId="18">#REF!</definedName>
    <definedName name="Total_2016_Rel_Controladoria" localSheetId="7">#REF!</definedName>
    <definedName name="Total_2016_Rel_Controladoria" localSheetId="23">#REF!</definedName>
    <definedName name="Total_2016_Rel_Controladoria">#REF!</definedName>
    <definedName name="Total_Parcelas_MAP" localSheetId="12">#REF!</definedName>
    <definedName name="Total_Parcelas_MAP" localSheetId="30">#REF!</definedName>
    <definedName name="Total_Parcelas_MAP" localSheetId="28">#REF!</definedName>
    <definedName name="Total_Parcelas_MAP" localSheetId="27">#REF!</definedName>
    <definedName name="Total_Parcelas_MAP" localSheetId="18">#REF!</definedName>
    <definedName name="Total_Parcelas_MAP" localSheetId="7">#REF!</definedName>
    <definedName name="Total_Parcelas_MAP" localSheetId="23">#REF!</definedName>
    <definedName name="Total_Parcelas_MAP">#REF!</definedName>
    <definedName name="total_unid" localSheetId="12">#REF!</definedName>
    <definedName name="total_unid" localSheetId="30">#REF!</definedName>
    <definedName name="total_unid" localSheetId="28">#REF!</definedName>
    <definedName name="total_unid" localSheetId="27">#REF!</definedName>
    <definedName name="total_unid" localSheetId="18">#REF!</definedName>
    <definedName name="total_unid" localSheetId="7">#REF!</definedName>
    <definedName name="total_unid" localSheetId="23">#REF!</definedName>
    <definedName name="total_unid">#REF!</definedName>
    <definedName name="TOTAL1" localSheetId="12">#REF!</definedName>
    <definedName name="TOTAL1" localSheetId="30">#REF!</definedName>
    <definedName name="TOTAL1" localSheetId="28">#REF!</definedName>
    <definedName name="TOTAL1" localSheetId="27">#REF!</definedName>
    <definedName name="TOTAL1" localSheetId="18">#REF!</definedName>
    <definedName name="TOTAL1" localSheetId="7">#REF!</definedName>
    <definedName name="TOTAL1" localSheetId="23">#REF!</definedName>
    <definedName name="TOTAL1">#REF!</definedName>
    <definedName name="TOTAL10" localSheetId="12">#REF!</definedName>
    <definedName name="TOTAL10" localSheetId="30">#REF!</definedName>
    <definedName name="TOTAL10" localSheetId="28">#REF!</definedName>
    <definedName name="TOTAL10" localSheetId="27">#REF!</definedName>
    <definedName name="TOTAL10" localSheetId="18">#REF!</definedName>
    <definedName name="TOTAL10" localSheetId="7">#REF!</definedName>
    <definedName name="TOTAL10" localSheetId="23">#REF!</definedName>
    <definedName name="TOTAL10">#REF!</definedName>
    <definedName name="TOTAL11" localSheetId="12">#REF!</definedName>
    <definedName name="TOTAL11" localSheetId="30">#REF!</definedName>
    <definedName name="TOTAL11" localSheetId="28">#REF!</definedName>
    <definedName name="TOTAL11" localSheetId="27">#REF!</definedName>
    <definedName name="TOTAL11" localSheetId="18">#REF!</definedName>
    <definedName name="TOTAL11" localSheetId="7">#REF!</definedName>
    <definedName name="TOTAL11" localSheetId="23">#REF!</definedName>
    <definedName name="TOTAL11">#REF!</definedName>
    <definedName name="TOTAL12" localSheetId="12">#REF!</definedName>
    <definedName name="TOTAL12" localSheetId="30">#REF!</definedName>
    <definedName name="TOTAL12" localSheetId="28">#REF!</definedName>
    <definedName name="TOTAL12" localSheetId="27">#REF!</definedName>
    <definedName name="TOTAL12" localSheetId="18">#REF!</definedName>
    <definedName name="TOTAL12" localSheetId="7">#REF!</definedName>
    <definedName name="TOTAL12" localSheetId="23">#REF!</definedName>
    <definedName name="TOTAL12">#REF!</definedName>
    <definedName name="TOTAL13" localSheetId="12">#REF!</definedName>
    <definedName name="TOTAL13" localSheetId="30">#REF!</definedName>
    <definedName name="TOTAL13" localSheetId="28">#REF!</definedName>
    <definedName name="TOTAL13" localSheetId="27">#REF!</definedName>
    <definedName name="TOTAL13" localSheetId="18">#REF!</definedName>
    <definedName name="TOTAL13" localSheetId="7">#REF!</definedName>
    <definedName name="TOTAL13" localSheetId="23">#REF!</definedName>
    <definedName name="TOTAL13">#REF!</definedName>
    <definedName name="TOTAL14" localSheetId="12">#REF!</definedName>
    <definedName name="TOTAL14" localSheetId="30">#REF!</definedName>
    <definedName name="TOTAL14" localSheetId="28">#REF!</definedName>
    <definedName name="TOTAL14" localSheetId="27">#REF!</definedName>
    <definedName name="TOTAL14" localSheetId="18">#REF!</definedName>
    <definedName name="TOTAL14" localSheetId="7">#REF!</definedName>
    <definedName name="TOTAL14" localSheetId="23">#REF!</definedName>
    <definedName name="TOTAL14">#REF!</definedName>
    <definedName name="TOTAL15" localSheetId="12">#REF!</definedName>
    <definedName name="TOTAL15" localSheetId="30">#REF!</definedName>
    <definedName name="TOTAL15" localSheetId="28">#REF!</definedName>
    <definedName name="TOTAL15" localSheetId="27">#REF!</definedName>
    <definedName name="TOTAL15" localSheetId="18">#REF!</definedName>
    <definedName name="TOTAL15" localSheetId="7">#REF!</definedName>
    <definedName name="TOTAL15" localSheetId="23">#REF!</definedName>
    <definedName name="TOTAL15">#REF!</definedName>
    <definedName name="TOTAL16" localSheetId="12">#REF!</definedName>
    <definedName name="TOTAL16" localSheetId="30">#REF!</definedName>
    <definedName name="TOTAL16" localSheetId="28">#REF!</definedName>
    <definedName name="TOTAL16" localSheetId="27">#REF!</definedName>
    <definedName name="TOTAL16" localSheetId="18">#REF!</definedName>
    <definedName name="TOTAL16" localSheetId="7">#REF!</definedName>
    <definedName name="TOTAL16" localSheetId="23">#REF!</definedName>
    <definedName name="TOTAL16">#REF!</definedName>
    <definedName name="TOTAL2" localSheetId="12">#REF!</definedName>
    <definedName name="TOTAL2" localSheetId="30">#REF!</definedName>
    <definedName name="TOTAL2" localSheetId="28">#REF!</definedName>
    <definedName name="TOTAL2" localSheetId="27">#REF!</definedName>
    <definedName name="TOTAL2" localSheetId="18">#REF!</definedName>
    <definedName name="TOTAL2" localSheetId="7">#REF!</definedName>
    <definedName name="TOTAL2" localSheetId="23">#REF!</definedName>
    <definedName name="TOTAL2">#REF!</definedName>
    <definedName name="TOTAL3" localSheetId="12">#REF!</definedName>
    <definedName name="TOTAL3" localSheetId="30">#REF!</definedName>
    <definedName name="TOTAL3" localSheetId="28">#REF!</definedName>
    <definedName name="TOTAL3" localSheetId="27">#REF!</definedName>
    <definedName name="TOTAL3" localSheetId="18">#REF!</definedName>
    <definedName name="TOTAL3" localSheetId="7">#REF!</definedName>
    <definedName name="TOTAL3" localSheetId="23">#REF!</definedName>
    <definedName name="TOTAL3">#REF!</definedName>
    <definedName name="TOTAL4" localSheetId="12">#REF!</definedName>
    <definedName name="TOTAL4" localSheetId="30">#REF!</definedName>
    <definedName name="TOTAL4" localSheetId="28">#REF!</definedName>
    <definedName name="TOTAL4" localSheetId="27">#REF!</definedName>
    <definedName name="TOTAL4" localSheetId="18">#REF!</definedName>
    <definedName name="TOTAL4" localSheetId="7">#REF!</definedName>
    <definedName name="TOTAL4" localSheetId="23">#REF!</definedName>
    <definedName name="TOTAL4">#REF!</definedName>
    <definedName name="TOTAL5" localSheetId="12">#REF!</definedName>
    <definedName name="TOTAL5" localSheetId="30">#REF!</definedName>
    <definedName name="TOTAL5" localSheetId="28">#REF!</definedName>
    <definedName name="TOTAL5" localSheetId="27">#REF!</definedName>
    <definedName name="TOTAL5" localSheetId="18">#REF!</definedName>
    <definedName name="TOTAL5" localSheetId="7">#REF!</definedName>
    <definedName name="TOTAL5" localSheetId="23">#REF!</definedName>
    <definedName name="TOTAL5">#REF!</definedName>
    <definedName name="TOTAL6" localSheetId="12">#REF!</definedName>
    <definedName name="TOTAL6" localSheetId="30">#REF!</definedName>
    <definedName name="TOTAL6" localSheetId="28">#REF!</definedName>
    <definedName name="TOTAL6" localSheetId="27">#REF!</definedName>
    <definedName name="TOTAL6" localSheetId="18">#REF!</definedName>
    <definedName name="TOTAL6" localSheetId="7">#REF!</definedName>
    <definedName name="TOTAL6" localSheetId="23">#REF!</definedName>
    <definedName name="TOTAL6">#REF!</definedName>
    <definedName name="TOTAL7" localSheetId="12">#REF!</definedName>
    <definedName name="TOTAL7" localSheetId="30">#REF!</definedName>
    <definedName name="TOTAL7" localSheetId="28">#REF!</definedName>
    <definedName name="TOTAL7" localSheetId="27">#REF!</definedName>
    <definedName name="TOTAL7" localSheetId="18">#REF!</definedName>
    <definedName name="TOTAL7" localSheetId="7">#REF!</definedName>
    <definedName name="TOTAL7" localSheetId="23">#REF!</definedName>
    <definedName name="TOTAL7">#REF!</definedName>
    <definedName name="TOTAL8" localSheetId="12">#REF!</definedName>
    <definedName name="TOTAL8" localSheetId="30">#REF!</definedName>
    <definedName name="TOTAL8" localSheetId="28">#REF!</definedName>
    <definedName name="TOTAL8" localSheetId="27">#REF!</definedName>
    <definedName name="TOTAL8" localSheetId="18">#REF!</definedName>
    <definedName name="TOTAL8" localSheetId="7">#REF!</definedName>
    <definedName name="TOTAL8" localSheetId="23">#REF!</definedName>
    <definedName name="TOTAL8">#REF!</definedName>
    <definedName name="TOTAL9" localSheetId="12">#REF!</definedName>
    <definedName name="TOTAL9" localSheetId="30">#REF!</definedName>
    <definedName name="TOTAL9" localSheetId="28">#REF!</definedName>
    <definedName name="TOTAL9" localSheetId="27">#REF!</definedName>
    <definedName name="TOTAL9" localSheetId="18">#REF!</definedName>
    <definedName name="TOTAL9" localSheetId="7">#REF!</definedName>
    <definedName name="TOTAL9" localSheetId="23">#REF!</definedName>
    <definedName name="TOTAL9">#REF!</definedName>
    <definedName name="TOTALITEM" localSheetId="12">#REF!</definedName>
    <definedName name="TOTALITEM" localSheetId="30">#REF!</definedName>
    <definedName name="TOTALITEM" localSheetId="28">#REF!</definedName>
    <definedName name="TOTALITEM" localSheetId="27">#REF!</definedName>
    <definedName name="TOTALITEM" localSheetId="18">#REF!</definedName>
    <definedName name="TOTALITEM" localSheetId="7">#REF!</definedName>
    <definedName name="TOTALITEM" localSheetId="23">#REF!</definedName>
    <definedName name="TOTALITEM">#REF!</definedName>
    <definedName name="totbase" localSheetId="12">#REF!</definedName>
    <definedName name="totbase" localSheetId="30">#REF!</definedName>
    <definedName name="totbase" localSheetId="28">#REF!</definedName>
    <definedName name="totbase" localSheetId="27">#REF!</definedName>
    <definedName name="totbase" localSheetId="18">#REF!</definedName>
    <definedName name="totbase" localSheetId="7">#REF!</definedName>
    <definedName name="totbase" localSheetId="23">#REF!</definedName>
    <definedName name="totbase">#REF!</definedName>
    <definedName name="totestaca" localSheetId="12">#REF!</definedName>
    <definedName name="totestaca" localSheetId="30">#REF!</definedName>
    <definedName name="totestaca" localSheetId="28">#REF!</definedName>
    <definedName name="totestaca" localSheetId="27">#REF!</definedName>
    <definedName name="totestaca" localSheetId="18">#REF!</definedName>
    <definedName name="totestaca" localSheetId="7">#REF!</definedName>
    <definedName name="totestaca" localSheetId="23">#REF!</definedName>
    <definedName name="totestaca">#REF!</definedName>
    <definedName name="TOTG" localSheetId="12">OFFSET(#REF!,0,0,COUNTA(#REF!),1)</definedName>
    <definedName name="TOTG" localSheetId="30">OFFSET(#REF!,0,0,COUNTA(#REF!),1)</definedName>
    <definedName name="TOTG" localSheetId="28">OFFSET(#REF!,0,0,COUNTA(#REF!),1)</definedName>
    <definedName name="TOTG" localSheetId="27">OFFSET(#REF!,0,0,COUNTA(#REF!),1)</definedName>
    <definedName name="TOTG" localSheetId="18">OFFSET(#REF!,0,0,COUNTA(#REF!),1)</definedName>
    <definedName name="TOTG" localSheetId="7">OFFSET(#REF!,0,0,COUNTA(#REF!),1)</definedName>
    <definedName name="TOTG" localSheetId="23">OFFSET(#REF!,0,0,COUNTA(#REF!),1)</definedName>
    <definedName name="TOTG">OFFSET(#REF!,0,0,COUNTA(#REF!),1)</definedName>
    <definedName name="totperfura" localSheetId="12">#REF!</definedName>
    <definedName name="totperfura" localSheetId="30">#REF!</definedName>
    <definedName name="totperfura" localSheetId="28">#REF!</definedName>
    <definedName name="totperfura" localSheetId="27">#REF!</definedName>
    <definedName name="totperfura" localSheetId="18">#REF!</definedName>
    <definedName name="totperfura" localSheetId="7">#REF!</definedName>
    <definedName name="totperfura" localSheetId="23">#REF!</definedName>
    <definedName name="totperfura">#REF!</definedName>
    <definedName name="TOTQTS" localSheetId="12">#REF!</definedName>
    <definedName name="TOTQTS" localSheetId="30">#REF!</definedName>
    <definedName name="TOTQTS" localSheetId="28">#REF!</definedName>
    <definedName name="TOTQTS" localSheetId="27">#REF!</definedName>
    <definedName name="TOTQTS" localSheetId="18">#REF!</definedName>
    <definedName name="TOTQTS" localSheetId="7">#REF!</definedName>
    <definedName name="TOTQTS" localSheetId="23">#REF!</definedName>
    <definedName name="TOTQTS">#REF!</definedName>
    <definedName name="TOTT" localSheetId="12">OFFSET(#REF!,0,0,COUNTA(#REF!)+1,1)</definedName>
    <definedName name="TOTT" localSheetId="30">OFFSET(#REF!,0,0,COUNTA(#REF!)+1,1)</definedName>
    <definedName name="TOTT" localSheetId="28">OFFSET(#REF!,0,0,COUNTA(#REF!)+1,1)</definedName>
    <definedName name="TOTT" localSheetId="27">OFFSET(#REF!,0,0,COUNTA(#REF!)+1,1)</definedName>
    <definedName name="TOTT" localSheetId="18">OFFSET(#REF!,0,0,COUNTA(#REF!)+1,1)</definedName>
    <definedName name="TOTT" localSheetId="7">OFFSET(#REF!,0,0,COUNTA(#REF!)+1,1)</definedName>
    <definedName name="TOTT" localSheetId="23">OFFSET(#REF!,0,0,COUNTA(#REF!)+1,1)</definedName>
    <definedName name="TOTT">OFFSET(#REF!,0,0,COUNTA(#REF!)+1,1)</definedName>
    <definedName name="TR" localSheetId="12">#REF!</definedName>
    <definedName name="TR" localSheetId="30">#REF!</definedName>
    <definedName name="TR" localSheetId="28">#REF!</definedName>
    <definedName name="TR" localSheetId="27">#REF!</definedName>
    <definedName name="TR" localSheetId="18">#REF!</definedName>
    <definedName name="TR" localSheetId="7">#REF!</definedName>
    <definedName name="TR" localSheetId="23">#REF!</definedName>
    <definedName name="TR">#REF!</definedName>
    <definedName name="Transferencia1" localSheetId="12">#REF!</definedName>
    <definedName name="Transferencia1" localSheetId="30">#REF!</definedName>
    <definedName name="Transferencia1" localSheetId="28">#REF!</definedName>
    <definedName name="Transferencia1" localSheetId="27">#REF!</definedName>
    <definedName name="Transferencia1" localSheetId="18">#REF!</definedName>
    <definedName name="Transferencia1" localSheetId="7">#REF!</definedName>
    <definedName name="Transferencia1" localSheetId="23">#REF!</definedName>
    <definedName name="Transferencia1">#REF!</definedName>
    <definedName name="TRES" localSheetId="12">#REF!</definedName>
    <definedName name="TRES" localSheetId="30">#REF!</definedName>
    <definedName name="TRES" localSheetId="28">#REF!</definedName>
    <definedName name="TRES" localSheetId="27">#REF!</definedName>
    <definedName name="TRES" localSheetId="21">#REF!</definedName>
    <definedName name="TRES" localSheetId="18">#REF!</definedName>
    <definedName name="TRES" localSheetId="7">#REF!</definedName>
    <definedName name="TRES" localSheetId="23">#REF!</definedName>
    <definedName name="TRES">#REF!</definedName>
    <definedName name="TREZE" localSheetId="12">#REF!</definedName>
    <definedName name="TREZE" localSheetId="30">#REF!</definedName>
    <definedName name="TREZE" localSheetId="28">#REF!</definedName>
    <definedName name="TREZE" localSheetId="27">#REF!</definedName>
    <definedName name="TREZE" localSheetId="21">#REF!</definedName>
    <definedName name="TREZE" localSheetId="18">#REF!</definedName>
    <definedName name="TREZE" localSheetId="7">#REF!</definedName>
    <definedName name="TREZE" localSheetId="23">#REF!</definedName>
    <definedName name="TREZE">#REF!</definedName>
    <definedName name="tri" localSheetId="12">#REF!</definedName>
    <definedName name="tri" localSheetId="30">#REF!</definedName>
    <definedName name="tri" localSheetId="28">#REF!</definedName>
    <definedName name="tri" localSheetId="27">#REF!</definedName>
    <definedName name="tri" localSheetId="18">#REF!</definedName>
    <definedName name="tri" localSheetId="7">#REF!</definedName>
    <definedName name="tri" localSheetId="23">#REF!</definedName>
    <definedName name="tri">#REF!</definedName>
    <definedName name="Trimestre_data_base" localSheetId="12">#REF!</definedName>
    <definedName name="Trimestre_data_base" localSheetId="30">#REF!</definedName>
    <definedName name="Trimestre_data_base" localSheetId="28">#REF!</definedName>
    <definedName name="Trimestre_data_base" localSheetId="27">#REF!</definedName>
    <definedName name="Trimestre_data_base" localSheetId="18">#REF!</definedName>
    <definedName name="Trimestre_data_base" localSheetId="7">#REF!</definedName>
    <definedName name="Trimestre_data_base" localSheetId="23">#REF!</definedName>
    <definedName name="Trimestre_data_base">#REF!</definedName>
    <definedName name="trjyidih" localSheetId="3" hidden="1">{#N/A,#N/A,FALSE,"Plan1";#N/A,#N/A,FALSE,"Plan2"}</definedName>
    <definedName name="trjyidih" localSheetId="33" hidden="1">{#N/A,#N/A,FALSE,"Plan1";#N/A,#N/A,FALSE,"Plan2"}</definedName>
    <definedName name="trjyidih" localSheetId="35" hidden="1">{#N/A,#N/A,FALSE,"Plan1";#N/A,#N/A,FALSE,"Plan2"}</definedName>
    <definedName name="trjyidih" hidden="1">{#N/A,#N/A,FALSE,"Plan1";#N/A,#N/A,FALSE,"Plan2"}</definedName>
    <definedName name="TRP" localSheetId="3">#REF!</definedName>
    <definedName name="TRP" localSheetId="12">#REF!</definedName>
    <definedName name="TRP" localSheetId="30">#REF!</definedName>
    <definedName name="TRP" localSheetId="28">#REF!</definedName>
    <definedName name="TRP" localSheetId="27">#REF!</definedName>
    <definedName name="TRP" localSheetId="18">#REF!</definedName>
    <definedName name="TRP" localSheetId="7">#REF!</definedName>
    <definedName name="TRP" localSheetId="23">#REF!</definedName>
    <definedName name="TRP">#REF!</definedName>
    <definedName name="TTT" localSheetId="12">#REF!</definedName>
    <definedName name="TTT" localSheetId="30">#REF!</definedName>
    <definedName name="TTT" localSheetId="28">#REF!</definedName>
    <definedName name="TTT" localSheetId="27">#REF!</definedName>
    <definedName name="TTT" localSheetId="18">#REF!</definedName>
    <definedName name="TTT" localSheetId="7">#REF!</definedName>
    <definedName name="TTT" localSheetId="23">#REF!</definedName>
    <definedName name="TTT">#REF!</definedName>
    <definedName name="TURNO" localSheetId="12">#REF!</definedName>
    <definedName name="TURNO" localSheetId="30">#REF!</definedName>
    <definedName name="TURNO" localSheetId="28">#REF!</definedName>
    <definedName name="TURNO" localSheetId="27">#REF!</definedName>
    <definedName name="TURNO" localSheetId="18">#REF!</definedName>
    <definedName name="TURNO" localSheetId="7">#REF!</definedName>
    <definedName name="TURNO" localSheetId="23">#REF!</definedName>
    <definedName name="TURNO">#REF!</definedName>
    <definedName name="tuyedjsksj" localSheetId="3" hidden="1">{#N/A,#N/A,FALSE,"Plan1";#N/A,#N/A,FALSE,"Plan2"}</definedName>
    <definedName name="tuyedjsksj" localSheetId="33" hidden="1">{#N/A,#N/A,FALSE,"Plan1";#N/A,#N/A,FALSE,"Plan2"}</definedName>
    <definedName name="tuyedjsksj" localSheetId="35" hidden="1">{#N/A,#N/A,FALSE,"Plan1";#N/A,#N/A,FALSE,"Plan2"}</definedName>
    <definedName name="tuyedjsksj" hidden="1">{#N/A,#N/A,FALSE,"Plan1";#N/A,#N/A,FALSE,"Plan2"}</definedName>
    <definedName name="TX_ADM" localSheetId="12">#REF!</definedName>
    <definedName name="TX_ADM" localSheetId="30">#REF!</definedName>
    <definedName name="TX_ADM" localSheetId="28">#REF!</definedName>
    <definedName name="TX_ADM" localSheetId="27">#REF!</definedName>
    <definedName name="TX_ADM" localSheetId="18">#REF!</definedName>
    <definedName name="TX_ADM" localSheetId="7">#REF!</definedName>
    <definedName name="TX_ADM" localSheetId="23">#REF!</definedName>
    <definedName name="TX_ADM">#REF!</definedName>
    <definedName name="tx_desconto_real" localSheetId="12">#REF!</definedName>
    <definedName name="tx_desconto_real" localSheetId="30">#REF!</definedName>
    <definedName name="tx_desconto_real" localSheetId="28">#REF!</definedName>
    <definedName name="tx_desconto_real" localSheetId="27">#REF!</definedName>
    <definedName name="tx_desconto_real" localSheetId="18">#REF!</definedName>
    <definedName name="tx_desconto_real" localSheetId="7">#REF!</definedName>
    <definedName name="tx_desconto_real" localSheetId="23">#REF!</definedName>
    <definedName name="tx_desconto_real">#REF!</definedName>
    <definedName name="TxAplicMes" localSheetId="12">#REF!</definedName>
    <definedName name="TxAplicMes" localSheetId="30">#REF!</definedName>
    <definedName name="TxAplicMes" localSheetId="28">#REF!</definedName>
    <definedName name="TxAplicMes" localSheetId="27">#REF!</definedName>
    <definedName name="TxAplicMes" localSheetId="18">#REF!</definedName>
    <definedName name="TxAplicMes" localSheetId="7">#REF!</definedName>
    <definedName name="TxAplicMes" localSheetId="23">#REF!</definedName>
    <definedName name="TxAplicMes">#REF!</definedName>
    <definedName name="TxCdiMes" localSheetId="12">#REF!</definedName>
    <definedName name="TxCdiMes" localSheetId="30">#REF!</definedName>
    <definedName name="TxCdiMes" localSheetId="28">#REF!</definedName>
    <definedName name="TxCdiMes" localSheetId="27">#REF!</definedName>
    <definedName name="TxCdiMes" localSheetId="18">#REF!</definedName>
    <definedName name="TxCdiMes" localSheetId="7">#REF!</definedName>
    <definedName name="TxCdiMes" localSheetId="23">#REF!</definedName>
    <definedName name="TxCdiMes">#REF!</definedName>
    <definedName name="TxDescMes" localSheetId="12">#REF!</definedName>
    <definedName name="TxDescMes" localSheetId="30">#REF!</definedName>
    <definedName name="TxDescMes" localSheetId="28">#REF!</definedName>
    <definedName name="TxDescMes" localSheetId="27">#REF!</definedName>
    <definedName name="TxDescMes" localSheetId="18">#REF!</definedName>
    <definedName name="TxDescMes" localSheetId="7">#REF!</definedName>
    <definedName name="TxDescMes" localSheetId="23">#REF!</definedName>
    <definedName name="TxDescMes">#REF!</definedName>
    <definedName name="TxSecuritizacaoMes" localSheetId="12">#REF!</definedName>
    <definedName name="TxSecuritizacaoMes" localSheetId="30">#REF!</definedName>
    <definedName name="TxSecuritizacaoMes" localSheetId="28">#REF!</definedName>
    <definedName name="TxSecuritizacaoMes" localSheetId="27">#REF!</definedName>
    <definedName name="TxSecuritizacaoMes" localSheetId="18">#REF!</definedName>
    <definedName name="TxSecuritizacaoMes" localSheetId="7">#REF!</definedName>
    <definedName name="TxSecuritizacaoMes" localSheetId="23">#REF!</definedName>
    <definedName name="TxSecuritizacaoMes">#REF!</definedName>
    <definedName name="TxSfhEco" localSheetId="12">#REF!</definedName>
    <definedName name="TxSfhEco" localSheetId="30">#REF!</definedName>
    <definedName name="TxSfhEco" localSheetId="28">#REF!</definedName>
    <definedName name="TxSfhEco" localSheetId="27">#REF!</definedName>
    <definedName name="TxSfhEco" localSheetId="18">#REF!</definedName>
    <definedName name="TxSfhEco" localSheetId="7">#REF!</definedName>
    <definedName name="TxSfhEco" localSheetId="23">#REF!</definedName>
    <definedName name="TxSfhEco">#REF!</definedName>
    <definedName name="TxSfhMap" localSheetId="12">#REF!</definedName>
    <definedName name="TxSfhMap" localSheetId="30">#REF!</definedName>
    <definedName name="TxSfhMap" localSheetId="28">#REF!</definedName>
    <definedName name="TxSfhMap" localSheetId="27">#REF!</definedName>
    <definedName name="TxSfhMap" localSheetId="18">#REF!</definedName>
    <definedName name="TxSfhMap" localSheetId="7">#REF!</definedName>
    <definedName name="TxSfhMap" localSheetId="23">#REF!</definedName>
    <definedName name="TxSfhMap">#REF!</definedName>
    <definedName name="TXTEQUIP" localSheetId="12">#REF!</definedName>
    <definedName name="TXTEQUIP" localSheetId="30">#REF!</definedName>
    <definedName name="TXTEQUIP" localSheetId="28">#REF!</definedName>
    <definedName name="TXTEQUIP" localSheetId="27">#REF!</definedName>
    <definedName name="TXTEQUIP" localSheetId="18">#REF!</definedName>
    <definedName name="TXTEQUIP" localSheetId="7">#REF!</definedName>
    <definedName name="TXTEQUIP" localSheetId="23">#REF!</definedName>
    <definedName name="TXTEQUIP">#REF!</definedName>
    <definedName name="TXTMARCA" localSheetId="12">#REF!</definedName>
    <definedName name="TXTMARCA" localSheetId="30">#REF!</definedName>
    <definedName name="TXTMARCA" localSheetId="28">#REF!</definedName>
    <definedName name="TXTMARCA" localSheetId="27">#REF!</definedName>
    <definedName name="TXTMARCA" localSheetId="18">#REF!</definedName>
    <definedName name="TXTMARCA" localSheetId="7">#REF!</definedName>
    <definedName name="TXTMARCA" localSheetId="23">#REF!</definedName>
    <definedName name="TXTMARCA">#REF!</definedName>
    <definedName name="TXTMOD" localSheetId="12">#REF!</definedName>
    <definedName name="TXTMOD" localSheetId="30">#REF!</definedName>
    <definedName name="TXTMOD" localSheetId="28">#REF!</definedName>
    <definedName name="TXTMOD" localSheetId="27">#REF!</definedName>
    <definedName name="TXTMOD" localSheetId="18">#REF!</definedName>
    <definedName name="TXTMOD" localSheetId="7">#REF!</definedName>
    <definedName name="TXTMOD" localSheetId="23">#REF!</definedName>
    <definedName name="TXTMOD">#REF!</definedName>
    <definedName name="TXTPOT" localSheetId="12">#REF!</definedName>
    <definedName name="TXTPOT" localSheetId="30">#REF!</definedName>
    <definedName name="TXTPOT" localSheetId="28">#REF!</definedName>
    <definedName name="TXTPOT" localSheetId="27">#REF!</definedName>
    <definedName name="TXTPOT" localSheetId="18">#REF!</definedName>
    <definedName name="TXTPOT" localSheetId="7">#REF!</definedName>
    <definedName name="TXTPOT" localSheetId="23">#REF!</definedName>
    <definedName name="TXTPOT">#REF!</definedName>
    <definedName name="TYHGFHFHG" localSheetId="3" hidden="1">{#N/A,#N/A,FALSE,"Plan1";#N/A,#N/A,FALSE,"Plan2"}</definedName>
    <definedName name="TYHGFHFHG" localSheetId="33" hidden="1">{#N/A,#N/A,FALSE,"Plan1";#N/A,#N/A,FALSE,"Plan2"}</definedName>
    <definedName name="TYHGFHFHG" localSheetId="35" hidden="1">{#N/A,#N/A,FALSE,"Plan1";#N/A,#N/A,FALSE,"Plan2"}</definedName>
    <definedName name="TYHGFHFHG" hidden="1">{#N/A,#N/A,FALSE,"Plan1";#N/A,#N/A,FALSE,"Plan2"}</definedName>
    <definedName name="u" localSheetId="2" hidden="1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29" hidden="1">{#N/A,#N/A,FALSE,"ET-CAPA";#N/A,#N/A,FALSE,"ET-PAG1";#N/A,#N/A,FALSE,"ET-PAG2";#N/A,#N/A,FALSE,"ET-PAG3";#N/A,#N/A,FALSE,"ET-PAG4";#N/A,#N/A,FALSE,"ET-PAG5"}</definedName>
    <definedName name="u" localSheetId="31" hidden="1">{#N/A,#N/A,FALSE,"ET-CAPA";#N/A,#N/A,FALSE,"ET-PAG1";#N/A,#N/A,FALSE,"ET-PAG2";#N/A,#N/A,FALSE,"ET-PAG3";#N/A,#N/A,FALSE,"ET-PAG4";#N/A,#N/A,FALSE,"ET-PAG5"}</definedName>
    <definedName name="u" localSheetId="30" hidden="1">{#N/A,#N/A,FALSE,"ET-CAPA";#N/A,#N/A,FALSE,"ET-PAG1";#N/A,#N/A,FALSE,"ET-PAG2";#N/A,#N/A,FALSE,"ET-PAG3";#N/A,#N/A,FALSE,"ET-PAG4";#N/A,#N/A,FALSE,"ET-PAG5"}</definedName>
    <definedName name="u" localSheetId="32" hidden="1">{#N/A,#N/A,FALSE,"ET-CAPA";#N/A,#N/A,FALSE,"ET-PAG1";#N/A,#N/A,FALSE,"ET-PAG2";#N/A,#N/A,FALSE,"ET-PAG3";#N/A,#N/A,FALSE,"ET-PAG4";#N/A,#N/A,FALSE,"ET-PAG5"}</definedName>
    <definedName name="u" localSheetId="33" hidden="1">{#N/A,#N/A,FALSE,"ET-CAPA";#N/A,#N/A,FALSE,"ET-PAG1";#N/A,#N/A,FALSE,"ET-PAG2";#N/A,#N/A,FALSE,"ET-PAG3";#N/A,#N/A,FALSE,"ET-PAG4";#N/A,#N/A,FALSE,"ET-PAG5"}</definedName>
    <definedName name="u" localSheetId="34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35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udhgfhfg" localSheetId="3" hidden="1">{#N/A,#N/A,FALSE,"Plan1";#N/A,#N/A,FALSE,"Plan2"}</definedName>
    <definedName name="udhgfhfg" localSheetId="33" hidden="1">{#N/A,#N/A,FALSE,"Plan1";#N/A,#N/A,FALSE,"Plan2"}</definedName>
    <definedName name="udhgfhfg" localSheetId="35" hidden="1">{#N/A,#N/A,FALSE,"Plan1";#N/A,#N/A,FALSE,"Plan2"}</definedName>
    <definedName name="udhgfhfg" hidden="1">{#N/A,#N/A,FALSE,"Plan1";#N/A,#N/A,FALSE,"Plan2"}</definedName>
    <definedName name="ueiutriuef" localSheetId="3" hidden="1">{#N/A,#N/A,FALSE,"Plan1";#N/A,#N/A,FALSE,"Plan2"}</definedName>
    <definedName name="ueiutriuef" localSheetId="33" hidden="1">{#N/A,#N/A,FALSE,"Plan1";#N/A,#N/A,FALSE,"Plan2"}</definedName>
    <definedName name="ueiutriuef" localSheetId="35" hidden="1">{#N/A,#N/A,FALSE,"Plan1";#N/A,#N/A,FALSE,"Plan2"}</definedName>
    <definedName name="ueiutriuef" hidden="1">{#N/A,#N/A,FALSE,"Plan1";#N/A,#N/A,FALSE,"Plan2"}</definedName>
    <definedName name="UENSIT" localSheetId="12">#REF!</definedName>
    <definedName name="UENSIT" localSheetId="30">#REF!</definedName>
    <definedName name="UENSIT" localSheetId="28">#REF!</definedName>
    <definedName name="UENSIT" localSheetId="27">#REF!</definedName>
    <definedName name="UENSIT" localSheetId="18">#REF!</definedName>
    <definedName name="UENSIT" localSheetId="7">#REF!</definedName>
    <definedName name="UENSIT" localSheetId="23">#REF!</definedName>
    <definedName name="UENSIT">#REF!</definedName>
    <definedName name="UENSITS" localSheetId="12">#REF!</definedName>
    <definedName name="UENSITS" localSheetId="30">#REF!</definedName>
    <definedName name="UENSITS" localSheetId="28">#REF!</definedName>
    <definedName name="UENSITS" localSheetId="27">#REF!</definedName>
    <definedName name="UENSITS" localSheetId="18">#REF!</definedName>
    <definedName name="UENSITS" localSheetId="7">#REF!</definedName>
    <definedName name="UENSITS" localSheetId="23">#REF!</definedName>
    <definedName name="UENSITS">#REF!</definedName>
    <definedName name="UHGSDUS" localSheetId="3" hidden="1">{#N/A,#N/A,FALSE,"Plan1";#N/A,#N/A,FALSE,"Plan2"}</definedName>
    <definedName name="UHGSDUS" localSheetId="33" hidden="1">{#N/A,#N/A,FALSE,"Plan1";#N/A,#N/A,FALSE,"Plan2"}</definedName>
    <definedName name="UHGSDUS" localSheetId="35" hidden="1">{#N/A,#N/A,FALSE,"Plan1";#N/A,#N/A,FALSE,"Plan2"}</definedName>
    <definedName name="UHGSDUS" hidden="1">{#N/A,#N/A,FALSE,"Plan1";#N/A,#N/A,FALSE,"Plan2"}</definedName>
    <definedName name="UI" localSheetId="12" hidden="1">#REF!</definedName>
    <definedName name="UI" localSheetId="30" hidden="1">#REF!</definedName>
    <definedName name="UI" localSheetId="28" hidden="1">#REF!</definedName>
    <definedName name="UI" localSheetId="27" hidden="1">#REF!</definedName>
    <definedName name="UI" localSheetId="18" hidden="1">#REF!</definedName>
    <definedName name="UI" localSheetId="7" hidden="1">#REF!</definedName>
    <definedName name="UI" localSheetId="23" hidden="1">#REF!</definedName>
    <definedName name="UI" hidden="1">#REF!</definedName>
    <definedName name="UIHWER45R" localSheetId="3" hidden="1">{#N/A,#N/A,FALSE,"Plan1";#N/A,#N/A,FALSE,"Plan2"}</definedName>
    <definedName name="UIHWER45R" localSheetId="33" hidden="1">{#N/A,#N/A,FALSE,"Plan1";#N/A,#N/A,FALSE,"Plan2"}</definedName>
    <definedName name="UIHWER45R" localSheetId="35" hidden="1">{#N/A,#N/A,FALSE,"Plan1";#N/A,#N/A,FALSE,"Plan2"}</definedName>
    <definedName name="UIHWER45R" hidden="1">{#N/A,#N/A,FALSE,"Plan1";#N/A,#N/A,FALSE,"Plan2"}</definedName>
    <definedName name="uiosderuiu" localSheetId="3" hidden="1">{#N/A,#N/A,FALSE,"Plan1";#N/A,#N/A,FALSE,"Plan2"}</definedName>
    <definedName name="uiosderuiu" localSheetId="33" hidden="1">{#N/A,#N/A,FALSE,"Plan1";#N/A,#N/A,FALSE,"Plan2"}</definedName>
    <definedName name="uiosderuiu" localSheetId="35" hidden="1">{#N/A,#N/A,FALSE,"Plan1";#N/A,#N/A,FALSE,"Plan2"}</definedName>
    <definedName name="uiosderuiu" hidden="1">{#N/A,#N/A,FALSE,"Plan1";#N/A,#N/A,FALSE,"Plan2"}</definedName>
    <definedName name="UIOURET" localSheetId="3" hidden="1">{#N/A,#N/A,FALSE,"Plan1";#N/A,#N/A,FALSE,"Plan2"}</definedName>
    <definedName name="UIOURET" localSheetId="33" hidden="1">{#N/A,#N/A,FALSE,"Plan1";#N/A,#N/A,FALSE,"Plan2"}</definedName>
    <definedName name="UIOURET" localSheetId="35" hidden="1">{#N/A,#N/A,FALSE,"Plan1";#N/A,#N/A,FALSE,"Plan2"}</definedName>
    <definedName name="UIOURET" hidden="1">{#N/A,#N/A,FALSE,"Plan1";#N/A,#N/A,FALSE,"Plan2"}</definedName>
    <definedName name="uiwuer" localSheetId="3" hidden="1">{#N/A,#N/A,FALSE,"Plan1";#N/A,#N/A,FALSE,"Plan2"}</definedName>
    <definedName name="uiwuer" localSheetId="33" hidden="1">{#N/A,#N/A,FALSE,"Plan1";#N/A,#N/A,FALSE,"Plan2"}</definedName>
    <definedName name="uiwuer" localSheetId="35" hidden="1">{#N/A,#N/A,FALSE,"Plan1";#N/A,#N/A,FALSE,"Plan2"}</definedName>
    <definedName name="uiwuer" hidden="1">{#N/A,#N/A,FALSE,"Plan1";#N/A,#N/A,FALSE,"Plan2"}</definedName>
    <definedName name="UKHDFDSGUDFKD" localSheetId="3" hidden="1">{#N/A,#N/A,FALSE,"Plan1";#N/A,#N/A,FALSE,"Plan2"}</definedName>
    <definedName name="UKHDFDSGUDFKD" localSheetId="33" hidden="1">{#N/A,#N/A,FALSE,"Plan1";#N/A,#N/A,FALSE,"Plan2"}</definedName>
    <definedName name="UKHDFDSGUDFKD" localSheetId="35" hidden="1">{#N/A,#N/A,FALSE,"Plan1";#N/A,#N/A,FALSE,"Plan2"}</definedName>
    <definedName name="UKHDFDSGUDFKD" hidden="1">{#N/A,#N/A,FALSE,"Plan1";#N/A,#N/A,FALSE,"Plan2"}</definedName>
    <definedName name="UM" localSheetId="12">#REF!</definedName>
    <definedName name="UM" localSheetId="30">#REF!</definedName>
    <definedName name="UM" localSheetId="28">#REF!</definedName>
    <definedName name="UM" localSheetId="27">#REF!</definedName>
    <definedName name="UM" localSheetId="21">#REF!</definedName>
    <definedName name="UM" localSheetId="18">#REF!</definedName>
    <definedName name="um" localSheetId="35" hidden="1">0</definedName>
    <definedName name="UM" localSheetId="7">#REF!</definedName>
    <definedName name="UM" localSheetId="23">#REF!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 localSheetId="12">OFFSET(#REF!,0,0,COUNTA(#REF!),1)</definedName>
    <definedName name="UNID" localSheetId="30">OFFSET(#REF!,0,0,COUNTA(#REF!),1)</definedName>
    <definedName name="UNID" localSheetId="28">OFFSET(#REF!,0,0,COUNTA(#REF!),1)</definedName>
    <definedName name="UNID" localSheetId="27">OFFSET(#REF!,0,0,COUNTA(#REF!),1)</definedName>
    <definedName name="UNID" localSheetId="18">OFFSET(#REF!,0,0,COUNTA(#REF!),1)</definedName>
    <definedName name="UNID" localSheetId="7">OFFSET(#REF!,0,0,COUNTA(#REF!),1)</definedName>
    <definedName name="UNID" localSheetId="23">OFFSET(#REF!,0,0,COUNTA(#REF!),1)</definedName>
    <definedName name="UNID">OFFSET(#REF!,0,0,COUNTA(#REF!),1)</definedName>
    <definedName name="unit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 localSheetId="12">#REF!</definedName>
    <definedName name="univ_cdi" localSheetId="30">#REF!</definedName>
    <definedName name="univ_cdi" localSheetId="28">#REF!</definedName>
    <definedName name="univ_cdi" localSheetId="27">#REF!</definedName>
    <definedName name="univ_cdi" localSheetId="18">#REF!</definedName>
    <definedName name="univ_cdi" localSheetId="7">#REF!</definedName>
    <definedName name="univ_cdi" localSheetId="23">#REF!</definedName>
    <definedName name="univ_cdi">#REF!</definedName>
    <definedName name="univ_hist" localSheetId="12">#REF!</definedName>
    <definedName name="univ_hist" localSheetId="30">#REF!</definedName>
    <definedName name="univ_hist" localSheetId="28">#REF!</definedName>
    <definedName name="univ_hist" localSheetId="27">#REF!</definedName>
    <definedName name="univ_hist" localSheetId="18">#REF!</definedName>
    <definedName name="univ_hist" localSheetId="7">#REF!</definedName>
    <definedName name="univ_hist" localSheetId="23">#REF!</definedName>
    <definedName name="univ_hist">#REF!</definedName>
    <definedName name="univ_uss" localSheetId="12">#REF!</definedName>
    <definedName name="univ_uss" localSheetId="30">#REF!</definedName>
    <definedName name="univ_uss" localSheetId="28">#REF!</definedName>
    <definedName name="univ_uss" localSheetId="27">#REF!</definedName>
    <definedName name="univ_uss" localSheetId="18">#REF!</definedName>
    <definedName name="univ_uss" localSheetId="7">#REF!</definedName>
    <definedName name="univ_uss" localSheetId="23">#REF!</definedName>
    <definedName name="univ_uss">#REF!</definedName>
    <definedName name="UPS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3" hidden="1">{#N/A,#N/A,FALSE,"Plan1";#N/A,#N/A,FALSE,"Plan2"}</definedName>
    <definedName name="uryrtyt" localSheetId="33" hidden="1">{#N/A,#N/A,FALSE,"Plan1";#N/A,#N/A,FALSE,"Plan2"}</definedName>
    <definedName name="uryrtyt" localSheetId="35" hidden="1">{#N/A,#N/A,FALSE,"Plan1";#N/A,#N/A,FALSE,"Plan2"}</definedName>
    <definedName name="uryrtyt" hidden="1">{#N/A,#N/A,FALSE,"Plan1";#N/A,#N/A,FALSE,"Plan2"}</definedName>
    <definedName name="V" localSheetId="12">#REF!</definedName>
    <definedName name="V" localSheetId="30">#REF!</definedName>
    <definedName name="V" localSheetId="28">#REF!</definedName>
    <definedName name="V" localSheetId="27">#REF!</definedName>
    <definedName name="V" localSheetId="21">#REF!</definedName>
    <definedName name="V" localSheetId="18">#REF!</definedName>
    <definedName name="V" localSheetId="7">#REF!</definedName>
    <definedName name="V" localSheetId="23">#REF!</definedName>
    <definedName name="V">#REF!</definedName>
    <definedName name="VALIDADE_EXECUÇÃO" localSheetId="12">#REF!</definedName>
    <definedName name="VALIDADE_EXECUÇÃO" localSheetId="30">#REF!</definedName>
    <definedName name="VALIDADE_EXECUÇÃO" localSheetId="28">#REF!</definedName>
    <definedName name="VALIDADE_EXECUÇÃO" localSheetId="27">#REF!</definedName>
    <definedName name="VALIDADE_EXECUÇÃO" localSheetId="18">#REF!</definedName>
    <definedName name="VALIDADE_EXECUÇÃO" localSheetId="7">#REF!</definedName>
    <definedName name="VALIDADE_EXECUÇÃO" localSheetId="23">#REF!</definedName>
    <definedName name="VALIDADE_EXECUÇÃO">#REF!</definedName>
    <definedName name="Valor_PLS_Controladoria" localSheetId="12">#REF!</definedName>
    <definedName name="Valor_PLS_Controladoria" localSheetId="30">#REF!</definedName>
    <definedName name="Valor_PLS_Controladoria" localSheetId="28">#REF!</definedName>
    <definedName name="Valor_PLS_Controladoria" localSheetId="27">#REF!</definedName>
    <definedName name="Valor_PLS_Controladoria" localSheetId="18">#REF!</definedName>
    <definedName name="Valor_PLS_Controladoria" localSheetId="7">#REF!</definedName>
    <definedName name="Valor_PLS_Controladoria" localSheetId="23">#REF!</definedName>
    <definedName name="Valor_PLS_Controladoria">#REF!</definedName>
    <definedName name="Valor_Previsto_Fin_Medições" localSheetId="12">#REF!</definedName>
    <definedName name="Valor_Previsto_Fin_Medições" localSheetId="30">#REF!</definedName>
    <definedName name="Valor_Previsto_Fin_Medições" localSheetId="28">#REF!</definedName>
    <definedName name="Valor_Previsto_Fin_Medições" localSheetId="27">#REF!</definedName>
    <definedName name="Valor_Previsto_Fin_Medições" localSheetId="18">#REF!</definedName>
    <definedName name="Valor_Previsto_Fin_Medições" localSheetId="7">#REF!</definedName>
    <definedName name="Valor_Previsto_Fin_Medições" localSheetId="23">#REF!</definedName>
    <definedName name="Valor_Previsto_Fin_Medições">#REF!</definedName>
    <definedName name="VALOR_REAIS" localSheetId="12">#REF!</definedName>
    <definedName name="VALOR_REAIS" localSheetId="30">#REF!</definedName>
    <definedName name="VALOR_REAIS" localSheetId="28">#REF!</definedName>
    <definedName name="VALOR_REAIS" localSheetId="27">#REF!</definedName>
    <definedName name="VALOR_REAIS" localSheetId="18">#REF!</definedName>
    <definedName name="VALOR_REAIS" localSheetId="7">#REF!</definedName>
    <definedName name="VALOR_REAIS" localSheetId="23">#REF!</definedName>
    <definedName name="VALOR_REAIS">#REF!</definedName>
    <definedName name="Valor_Recebido_Fin_Medições" localSheetId="12">#REF!</definedName>
    <definedName name="Valor_Recebido_Fin_Medições" localSheetId="30">#REF!</definedName>
    <definedName name="Valor_Recebido_Fin_Medições" localSheetId="28">#REF!</definedName>
    <definedName name="Valor_Recebido_Fin_Medições" localSheetId="27">#REF!</definedName>
    <definedName name="Valor_Recebido_Fin_Medições" localSheetId="18">#REF!</definedName>
    <definedName name="Valor_Recebido_Fin_Medições" localSheetId="7">#REF!</definedName>
    <definedName name="Valor_Recebido_Fin_Medições" localSheetId="23">#REF!</definedName>
    <definedName name="Valor_Recebido_Fin_Medições">#REF!</definedName>
    <definedName name="Valor_Sienge" localSheetId="12">#REF!</definedName>
    <definedName name="Valor_Sienge" localSheetId="30">#REF!</definedName>
    <definedName name="Valor_Sienge" localSheetId="28">#REF!</definedName>
    <definedName name="Valor_Sienge" localSheetId="27">#REF!</definedName>
    <definedName name="Valor_Sienge" localSheetId="18">#REF!</definedName>
    <definedName name="Valor_Sienge" localSheetId="7">#REF!</definedName>
    <definedName name="Valor_Sienge" localSheetId="23">#REF!</definedName>
    <definedName name="Valor_Sienge">#REF!</definedName>
    <definedName name="VALOR_VENDA" localSheetId="12">#REF!</definedName>
    <definedName name="VALOR_VENDA" localSheetId="30">#REF!</definedName>
    <definedName name="VALOR_VENDA" localSheetId="28">#REF!</definedName>
    <definedName name="VALOR_VENDA" localSheetId="27">#REF!</definedName>
    <definedName name="VALOR_VENDA" localSheetId="18">#REF!</definedName>
    <definedName name="VALOR_VENDA" localSheetId="7">#REF!</definedName>
    <definedName name="VALOR_VENDA" localSheetId="23">#REF!</definedName>
    <definedName name="VALOR_VENDA">#REF!</definedName>
    <definedName name="valores_diferidos" localSheetId="12">#REF!</definedName>
    <definedName name="valores_diferidos" localSheetId="30">#REF!</definedName>
    <definedName name="valores_diferidos" localSheetId="28">#REF!</definedName>
    <definedName name="valores_diferidos" localSheetId="27">#REF!</definedName>
    <definedName name="valores_diferidos" localSheetId="18">#REF!</definedName>
    <definedName name="valores_diferidos" localSheetId="7">#REF!</definedName>
    <definedName name="valores_diferidos" localSheetId="23">#REF!</definedName>
    <definedName name="valores_diferidos">#REF!</definedName>
    <definedName name="valve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 localSheetId="12">#REF!</definedName>
    <definedName name="VAOS" localSheetId="30">#REF!</definedName>
    <definedName name="VAOS" localSheetId="28">#REF!</definedName>
    <definedName name="VAOS" localSheetId="27">#REF!</definedName>
    <definedName name="VAOS" localSheetId="18">#REF!</definedName>
    <definedName name="VAOS" localSheetId="7">#REF!</definedName>
    <definedName name="VAOS" localSheetId="23">#REF!</definedName>
    <definedName name="VAOS">#REF!</definedName>
    <definedName name="vdsgfrhgfr" localSheetId="3" hidden="1">{#N/A,#N/A,FALSE,"Plan1";#N/A,#N/A,FALSE,"Plan2"}</definedName>
    <definedName name="vdsgfrhgfr" localSheetId="33" hidden="1">{#N/A,#N/A,FALSE,"Plan1";#N/A,#N/A,FALSE,"Plan2"}</definedName>
    <definedName name="vdsgfrhgfr" localSheetId="35" hidden="1">{#N/A,#N/A,FALSE,"Plan1";#N/A,#N/A,FALSE,"Plan2"}</definedName>
    <definedName name="vdsgfrhgfr" hidden="1">{#N/A,#N/A,FALSE,"Plan1";#N/A,#N/A,FALSE,"Plan2"}</definedName>
    <definedName name="Veiculos" localSheetId="12">#REF!</definedName>
    <definedName name="Veiculos" localSheetId="30">#REF!</definedName>
    <definedName name="Veiculos" localSheetId="28">#REF!</definedName>
    <definedName name="Veiculos" localSheetId="27">#REF!</definedName>
    <definedName name="Veiculos" localSheetId="18">#REF!</definedName>
    <definedName name="Veiculos" localSheetId="7">#REF!</definedName>
    <definedName name="Veiculos" localSheetId="23">#REF!</definedName>
    <definedName name="Veiculos">#REF!</definedName>
    <definedName name="VENDA_ADOTADA" localSheetId="12">#REF!</definedName>
    <definedName name="VENDA_ADOTADA" localSheetId="30">#REF!</definedName>
    <definedName name="VENDA_ADOTADA" localSheetId="28">#REF!</definedName>
    <definedName name="VENDA_ADOTADA" localSheetId="27">#REF!</definedName>
    <definedName name="VENDA_ADOTADA" localSheetId="18">#REF!</definedName>
    <definedName name="VENDA_ADOTADA" localSheetId="7">#REF!</definedName>
    <definedName name="VENDA_ADOTADA" localSheetId="23">#REF!</definedName>
    <definedName name="VENDA_ADOTADA">#REF!</definedName>
    <definedName name="VENDAFINAL_R" localSheetId="12">#REF!</definedName>
    <definedName name="VENDAFINAL_R" localSheetId="30">#REF!</definedName>
    <definedName name="VENDAFINAL_R" localSheetId="28">#REF!</definedName>
    <definedName name="VENDAFINAL_R" localSheetId="27">#REF!</definedName>
    <definedName name="VENDAFINAL_R" localSheetId="18">#REF!</definedName>
    <definedName name="VENDAFINAL_R" localSheetId="7">#REF!</definedName>
    <definedName name="VENDAFINAL_R" localSheetId="23">#REF!</definedName>
    <definedName name="VENDAFINAL_R">#REF!</definedName>
    <definedName name="VENDAFINAL_U" localSheetId="12">#REF!</definedName>
    <definedName name="VENDAFINAL_U" localSheetId="30">#REF!</definedName>
    <definedName name="VENDAFINAL_U" localSheetId="28">#REF!</definedName>
    <definedName name="VENDAFINAL_U" localSheetId="27">#REF!</definedName>
    <definedName name="VENDAFINAL_U" localSheetId="18">#REF!</definedName>
    <definedName name="VENDAFINAL_U" localSheetId="7">#REF!</definedName>
    <definedName name="VENDAFINAL_U" localSheetId="23">#REF!</definedName>
    <definedName name="VENDAFINAL_U">#REF!</definedName>
    <definedName name="Vendas" localSheetId="12">#REF!</definedName>
    <definedName name="Vendas" localSheetId="30">#REF!</definedName>
    <definedName name="Vendas" localSheetId="28">#REF!</definedName>
    <definedName name="Vendas" localSheetId="27">#REF!</definedName>
    <definedName name="Vendas" localSheetId="18">#REF!</definedName>
    <definedName name="Vendas" localSheetId="7">#REF!</definedName>
    <definedName name="Vendas" localSheetId="23">#REF!</definedName>
    <definedName name="Vendas">#REF!</definedName>
    <definedName name="vendas_" localSheetId="12">#REF!</definedName>
    <definedName name="vendas_" localSheetId="30">#REF!</definedName>
    <definedName name="vendas_" localSheetId="28">#REF!</definedName>
    <definedName name="vendas_" localSheetId="27">#REF!</definedName>
    <definedName name="vendas_" localSheetId="18">#REF!</definedName>
    <definedName name="vendas_" localSheetId="7">#REF!</definedName>
    <definedName name="vendas_" localSheetId="23">#REF!</definedName>
    <definedName name="vendas_">#REF!</definedName>
    <definedName name="VERIFICAR" localSheetId="33" hidden="1">{#N/A,#N/A,TRUE,"Quinzena 01 à 15-04-98 "}</definedName>
    <definedName name="VERIFICAR" localSheetId="35" hidden="1">{#N/A,#N/A,TRUE,"Quinzena 01 à 15-04-98 "}</definedName>
    <definedName name="VERIFICAR" hidden="1">{#N/A,#N/A,TRUE,"Quinzena 01 à 15-04-98 "}</definedName>
    <definedName name="versao_estudo" localSheetId="12">#REF!</definedName>
    <definedName name="versao_estudo" localSheetId="30">#REF!</definedName>
    <definedName name="versao_estudo" localSheetId="28">#REF!</definedName>
    <definedName name="versao_estudo" localSheetId="27">#REF!</definedName>
    <definedName name="versao_estudo" localSheetId="18">#REF!</definedName>
    <definedName name="versao_estudo" localSheetId="7">#REF!</definedName>
    <definedName name="versao_estudo" localSheetId="23">#REF!</definedName>
    <definedName name="versao_estudo">#REF!</definedName>
    <definedName name="vfbg" localSheetId="12">#REF!</definedName>
    <definedName name="vfbg" localSheetId="30">#REF!</definedName>
    <definedName name="vfbg" localSheetId="28">#REF!</definedName>
    <definedName name="vfbg" localSheetId="27">#REF!</definedName>
    <definedName name="vfbg" localSheetId="18">#REF!</definedName>
    <definedName name="vfbg" localSheetId="7">#REF!</definedName>
    <definedName name="vfbg" localSheetId="23">#REF!</definedName>
    <definedName name="vfbg">#REF!</definedName>
    <definedName name="vfnijf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3" hidden="1">{#N/A,#N/A,FALSE,"Plan1";#N/A,#N/A,FALSE,"Plan2"}</definedName>
    <definedName name="VFV" localSheetId="33" hidden="1">{#N/A,#N/A,FALSE,"Plan1";#N/A,#N/A,FALSE,"Plan2"}</definedName>
    <definedName name="VFV" localSheetId="35" hidden="1">{#N/A,#N/A,FALSE,"Plan1";#N/A,#N/A,FALSE,"Plan2"}</definedName>
    <definedName name="VFV" hidden="1">{#N/A,#N/A,FALSE,"Plan1";#N/A,#N/A,FALSE,"Plan2"}</definedName>
    <definedName name="VI" localSheetId="12">#REF!</definedName>
    <definedName name="VI" localSheetId="30">#REF!</definedName>
    <definedName name="VI" localSheetId="28">#REF!</definedName>
    <definedName name="VI" localSheetId="27">#REF!</definedName>
    <definedName name="VI" localSheetId="21">#REF!</definedName>
    <definedName name="VI" localSheetId="18">#REF!</definedName>
    <definedName name="VI" localSheetId="7">#REF!</definedName>
    <definedName name="VI" localSheetId="23">#REF!</definedName>
    <definedName name="VI">#REF!</definedName>
    <definedName name="VINTE" localSheetId="12">#REF!</definedName>
    <definedName name="VINTE" localSheetId="30">#REF!</definedName>
    <definedName name="VINTE" localSheetId="28">#REF!</definedName>
    <definedName name="VINTE" localSheetId="27">#REF!</definedName>
    <definedName name="VINTE" localSheetId="21">#REF!</definedName>
    <definedName name="VINTE" localSheetId="18">#REF!</definedName>
    <definedName name="VINTE" localSheetId="7">#REF!</definedName>
    <definedName name="VINTE" localSheetId="23">#REF!</definedName>
    <definedName name="VINTE">#REF!</definedName>
    <definedName name="visao_cashflow" localSheetId="12">#REF!</definedName>
    <definedName name="visao_cashflow" localSheetId="30">#REF!</definedName>
    <definedName name="visao_cashflow" localSheetId="28">#REF!</definedName>
    <definedName name="visao_cashflow" localSheetId="27">#REF!</definedName>
    <definedName name="visao_cashflow" localSheetId="18">#REF!</definedName>
    <definedName name="visao_cashflow" localSheetId="7">#REF!</definedName>
    <definedName name="visao_cashflow" localSheetId="23">#REF!</definedName>
    <definedName name="visao_cashflow">#REF!</definedName>
    <definedName name="visao_VL" localSheetId="12">#REF!</definedName>
    <definedName name="visao_VL" localSheetId="30">#REF!</definedName>
    <definedName name="visao_VL" localSheetId="28">#REF!</definedName>
    <definedName name="visao_VL" localSheetId="27">#REF!</definedName>
    <definedName name="visao_VL" localSheetId="18">#REF!</definedName>
    <definedName name="visao_VL" localSheetId="7">#REF!</definedName>
    <definedName name="visao_VL" localSheetId="23">#REF!</definedName>
    <definedName name="visao_VL">#REF!</definedName>
    <definedName name="vl_cd" localSheetId="12">#REF!</definedName>
    <definedName name="vl_cd" localSheetId="30">#REF!</definedName>
    <definedName name="vl_cd" localSheetId="28">#REF!</definedName>
    <definedName name="vl_cd" localSheetId="27">#REF!</definedName>
    <definedName name="vl_cd" localSheetId="18">#REF!</definedName>
    <definedName name="vl_cd" localSheetId="7">#REF!</definedName>
    <definedName name="vl_cd" localSheetId="23">#REF!</definedName>
    <definedName name="vl_cd">#REF!</definedName>
    <definedName name="vl_k1" localSheetId="12">#REF!</definedName>
    <definedName name="vl_k1" localSheetId="30">#REF!</definedName>
    <definedName name="vl_k1" localSheetId="28">#REF!</definedName>
    <definedName name="vl_k1" localSheetId="27">#REF!</definedName>
    <definedName name="vl_k1" localSheetId="18">#REF!</definedName>
    <definedName name="vl_k1" localSheetId="7">#REF!</definedName>
    <definedName name="vl_k1" localSheetId="23">#REF!</definedName>
    <definedName name="vl_k1">#REF!</definedName>
    <definedName name="vl_k2" localSheetId="12">#REF!</definedName>
    <definedName name="vl_k2" localSheetId="30">#REF!</definedName>
    <definedName name="vl_k2" localSheetId="28">#REF!</definedName>
    <definedName name="vl_k2" localSheetId="27">#REF!</definedName>
    <definedName name="vl_k2" localSheetId="18">#REF!</definedName>
    <definedName name="vl_k2" localSheetId="7">#REF!</definedName>
    <definedName name="vl_k2" localSheetId="23">#REF!</definedName>
    <definedName name="vl_k2">#REF!</definedName>
    <definedName name="vl_k3" localSheetId="12">#REF!</definedName>
    <definedName name="vl_k3" localSheetId="30">#REF!</definedName>
    <definedName name="vl_k3" localSheetId="28">#REF!</definedName>
    <definedName name="vl_k3" localSheetId="27">#REF!</definedName>
    <definedName name="vl_k3" localSheetId="18">#REF!</definedName>
    <definedName name="vl_k3" localSheetId="7">#REF!</definedName>
    <definedName name="vl_k3" localSheetId="23">#REF!</definedName>
    <definedName name="vl_k3">#REF!</definedName>
    <definedName name="vld_classificacao" localSheetId="14" hidden="1">IF(#REF!="Ativa",OFFSET(INDEX(rng_list_classificacao,MATCH(#REF!,rng_list_classificacao,0)),1,0,COUNTA(rng_list_classificacao)-1),#REF!)</definedName>
    <definedName name="vld_classificacao" localSheetId="11" hidden="1">IF(#REF!="Ativa",OFFSET(INDEX(rng_list_classificacao,MATCH(#REF!,rng_list_classificacao,0)),1,0,COUNTA(rng_list_classificacao)-1),#REF!)</definedName>
    <definedName name="vld_classificacao" localSheetId="3" hidden="1">IF(#REF!="Ativa",OFFSET(INDEX(rng_list_classificacao,MATCH(#REF!,rng_list_classificacao,0)),1,0,COUNTA(rng_list_classificacao)-1),#REF!)</definedName>
    <definedName name="vld_classificacao" localSheetId="12" hidden="1">IF(#REF!="Ativa",OFFSET(INDEX(rng_list_classificacao,MATCH(#REF!,rng_list_classificacao,0)),1,0,COUNTA(rng_list_classificacao)-1),#REF!)</definedName>
    <definedName name="vld_classificacao" localSheetId="29" hidden="1">IF(#REF!="Ativa",OFFSET(INDEX(rng_list_classificacao,MATCH(#REF!,rng_list_classificacao,0)),1,0,COUNTA(rng_list_classificacao)-1),#REF!)</definedName>
    <definedName name="vld_classificacao" localSheetId="31" hidden="1">IF(#REF!="Ativa",OFFSET(INDEX(rng_list_classificacao,MATCH(#REF!,rng_list_classificacao,0)),1,0,COUNTA(rng_list_classificacao)-1),#REF!)</definedName>
    <definedName name="vld_classificacao" localSheetId="30" hidden="1">IF(#REF!="Ativa",OFFSET(INDEX(rng_list_classificacao,MATCH(#REF!,rng_list_classificacao,0)),1,0,COUNTA(rng_list_classificacao)-1),#REF!)</definedName>
    <definedName name="vld_classificacao" localSheetId="28" hidden="1">IF(#REF!="Ativa",OFFSET(INDEX(rng_list_classificacao,MATCH(#REF!,rng_list_classificacao,0)),1,0,COUNTA(rng_list_classificacao)-1),#REF!)</definedName>
    <definedName name="vld_classificacao" localSheetId="32" hidden="1">IF(#REF!="Ativa",OFFSET(INDEX(rng_list_classificacao,MATCH(#REF!,rng_list_classificacao,0)),1,0,COUNTA(rng_list_classificacao)-1),#REF!)</definedName>
    <definedName name="vld_classificacao" localSheetId="27" hidden="1">IF(#REF!="Ativa",OFFSET(INDEX(rng_list_classificacao,MATCH(#REF!,rng_list_classificacao,0)),1,0,COUNTA(rng_list_classificacao)-1),#REF!)</definedName>
    <definedName name="vld_classificacao" localSheetId="33" hidden="1">IF(#REF!="Ativa",OFFSET(INDEX(rng_list_classificacao,MATCH(#REF!,rng_list_classificacao,0)),1,0,COUNTA(rng_list_classificacao)-1),#REF!)</definedName>
    <definedName name="vld_classificacao" localSheetId="18" hidden="1">IF(#REF!="Ativa",OFFSET(INDEX(rng_list_classificacao,MATCH(#REF!,rng_list_classificacao,0)),1,0,COUNTA(rng_list_classificacao)-1),#REF!)</definedName>
    <definedName name="vld_classificacao" localSheetId="35" hidden="1">IF(#REF!="Ativa",OFFSET(INDEX(rng_list_classificacao,MATCH(#REF!,rng_list_classificacao,0)),1,0,COUNTA(rng_list_classificacao)-1),#REF!)</definedName>
    <definedName name="vld_classificacao" localSheetId="7" hidden="1">IF(#REF!="Ativa",OFFSET(INDEX(rng_list_classificacao,MATCH(#REF!,rng_list_classificacao,0)),1,0,COUNTA(rng_list_classificacao)-1),#REF!)</definedName>
    <definedName name="vld_classificacao" localSheetId="23" hidden="1">IF(#REF!="Ativa",OFFSET(INDEX(rng_list_classificacao,MATCH(#REF!,rng_list_classificacao,0)),1,0,COUNTA(rng_list_classificacao)-1),#REF!)</definedName>
    <definedName name="vld_classificacao" localSheetId="25" hidden="1">IF(#REF!="Ativa",OFFSET(INDEX(rng_list_classificacao,MATCH(#REF!,rng_list_classificacao,0)),1,0,COUNTA(rng_list_classificacao)-1),#REF!)</definedName>
    <definedName name="vld_classificacao" localSheetId="15" hidden="1">IF(#REF!="Ativa",OFFSET(INDEX(rng_list_classificacao,MATCH(#REF!,rng_list_classificacao,0)),1,0,COUNTA(rng_list_classificacao)-1),#REF!)</definedName>
    <definedName name="vld_classificacao" hidden="1">IF(#REF!="Ativa",OFFSET(INDEX(rng_list_classificacao,MATCH(#REF!,rng_list_classificacao,0)),1,0,COUNTA(rng_list_classificacao)-1),#REF!)</definedName>
    <definedName name="vld_regional" localSheetId="14" hidden="1">OFFSET(INDEX(rng_list_regional,MATCH(#REF!,rng_list_regional,0)),1,0,COUNTA(rng_list_regional)-1)</definedName>
    <definedName name="vld_regional" localSheetId="11" hidden="1">OFFSET(INDEX(rng_list_regional,MATCH(#REF!,rng_list_regional,0)),1,0,COUNTA(rng_list_regional)-1)</definedName>
    <definedName name="vld_regional" localSheetId="3" hidden="1">OFFSET(INDEX(rng_list_regional,MATCH(#REF!,rng_list_regional,0)),1,0,COUNTA(rng_list_regional)-1)</definedName>
    <definedName name="vld_regional" localSheetId="12" hidden="1">OFFSET(INDEX(rng_list_regional,MATCH(#REF!,rng_list_regional,0)),1,0,COUNTA(rng_list_regional)-1)</definedName>
    <definedName name="vld_regional" localSheetId="29" hidden="1">OFFSET(INDEX(rng_list_regional,MATCH(#REF!,rng_list_regional,0)),1,0,COUNTA(rng_list_regional)-1)</definedName>
    <definedName name="vld_regional" localSheetId="31" hidden="1">OFFSET(INDEX(rng_list_regional,MATCH(#REF!,rng_list_regional,0)),1,0,COUNTA(rng_list_regional)-1)</definedName>
    <definedName name="vld_regional" localSheetId="30" hidden="1">OFFSET(INDEX(rng_list_regional,MATCH(#REF!,rng_list_regional,0)),1,0,COUNTA(rng_list_regional)-1)</definedName>
    <definedName name="vld_regional" localSheetId="28" hidden="1">OFFSET(INDEX(rng_list_regional,MATCH(#REF!,rng_list_regional,0)),1,0,COUNTA(rng_list_regional)-1)</definedName>
    <definedName name="vld_regional" localSheetId="32" hidden="1">OFFSET(INDEX(rng_list_regional,MATCH(#REF!,rng_list_regional,0)),1,0,COUNTA(rng_list_regional)-1)</definedName>
    <definedName name="vld_regional" localSheetId="27" hidden="1">OFFSET(INDEX(rng_list_regional,MATCH(#REF!,rng_list_regional,0)),1,0,COUNTA(rng_list_regional)-1)</definedName>
    <definedName name="vld_regional" localSheetId="33" hidden="1">OFFSET(INDEX(rng_list_regional,MATCH(#REF!,rng_list_regional,0)),1,0,COUNTA(rng_list_regional)-1)</definedName>
    <definedName name="vld_regional" localSheetId="18" hidden="1">OFFSET(INDEX(rng_list_regional,MATCH(#REF!,rng_list_regional,0)),1,0,COUNTA(rng_list_regional)-1)</definedName>
    <definedName name="vld_regional" localSheetId="35" hidden="1">OFFSET(INDEX(rng_list_regional,MATCH(#REF!,rng_list_regional,0)),1,0,COUNTA(rng_list_regional)-1)</definedName>
    <definedName name="vld_regional" localSheetId="7" hidden="1">OFFSET(INDEX(rng_list_regional,MATCH(#REF!,rng_list_regional,0)),1,0,COUNTA(rng_list_regional)-1)</definedName>
    <definedName name="vld_regional" localSheetId="23" hidden="1">OFFSET(INDEX(rng_list_regional,MATCH(#REF!,rng_list_regional,0)),1,0,COUNTA(rng_list_regional)-1)</definedName>
    <definedName name="vld_regional" localSheetId="25" hidden="1">OFFSET(INDEX(rng_list_regional,MATCH(#REF!,rng_list_regional,0)),1,0,COUNTA(rng_list_regional)-1)</definedName>
    <definedName name="vld_regional" localSheetId="15" hidden="1">OFFSET(INDEX(rng_list_regional,MATCH(#REF!,rng_list_regional,0)),1,0,COUNTA(rng_list_regional)-1)</definedName>
    <definedName name="vld_regional" hidden="1">OFFSET(INDEX(rng_list_regional,MATCH(#REF!,rng_list_regional,0)),1,0,COUNTA(rng_list_regional)-1)</definedName>
    <definedName name="vld_segmento" localSheetId="14" hidden="1">IF(#REF!="Ativa",OFFSET(INDEX(rng_list_segmento,MATCH(#REF!,rng_list_segmento,0)),1,0,COUNTA(rng_list_segmento)-1),#REF!)</definedName>
    <definedName name="vld_segmento" localSheetId="11" hidden="1">IF(#REF!="Ativa",OFFSET(INDEX(rng_list_segmento,MATCH(#REF!,rng_list_segmento,0)),1,0,COUNTA(rng_list_segmento)-1),#REF!)</definedName>
    <definedName name="vld_segmento" localSheetId="3" hidden="1">IF(#REF!="Ativa",OFFSET(INDEX(rng_list_segmento,MATCH(#REF!,rng_list_segmento,0)),1,0,COUNTA(rng_list_segmento)-1),#REF!)</definedName>
    <definedName name="vld_segmento" localSheetId="12" hidden="1">IF(#REF!="Ativa",OFFSET(INDEX(rng_list_segmento,MATCH(#REF!,rng_list_segmento,0)),1,0,COUNTA(rng_list_segmento)-1),#REF!)</definedName>
    <definedName name="vld_segmento" localSheetId="29" hidden="1">IF(#REF!="Ativa",OFFSET(INDEX(rng_list_segmento,MATCH(#REF!,rng_list_segmento,0)),1,0,COUNTA(rng_list_segmento)-1),#REF!)</definedName>
    <definedName name="vld_segmento" localSheetId="31" hidden="1">IF(#REF!="Ativa",OFFSET(INDEX(rng_list_segmento,MATCH(#REF!,rng_list_segmento,0)),1,0,COUNTA(rng_list_segmento)-1),#REF!)</definedName>
    <definedName name="vld_segmento" localSheetId="30" hidden="1">IF(#REF!="Ativa",OFFSET(INDEX(rng_list_segmento,MATCH(#REF!,rng_list_segmento,0)),1,0,COUNTA(rng_list_segmento)-1),#REF!)</definedName>
    <definedName name="vld_segmento" localSheetId="28" hidden="1">IF(#REF!="Ativa",OFFSET(INDEX(rng_list_segmento,MATCH(#REF!,rng_list_segmento,0)),1,0,COUNTA(rng_list_segmento)-1),#REF!)</definedName>
    <definedName name="vld_segmento" localSheetId="32" hidden="1">IF(#REF!="Ativa",OFFSET(INDEX(rng_list_segmento,MATCH(#REF!,rng_list_segmento,0)),1,0,COUNTA(rng_list_segmento)-1),#REF!)</definedName>
    <definedName name="vld_segmento" localSheetId="27" hidden="1">IF(#REF!="Ativa",OFFSET(INDEX(rng_list_segmento,MATCH(#REF!,rng_list_segmento,0)),1,0,COUNTA(rng_list_segmento)-1),#REF!)</definedName>
    <definedName name="vld_segmento" localSheetId="33" hidden="1">IF(#REF!="Ativa",OFFSET(INDEX(rng_list_segmento,MATCH(#REF!,rng_list_segmento,0)),1,0,COUNTA(rng_list_segmento)-1),#REF!)</definedName>
    <definedName name="vld_segmento" localSheetId="18" hidden="1">IF(#REF!="Ativa",OFFSET(INDEX(rng_list_segmento,MATCH(#REF!,rng_list_segmento,0)),1,0,COUNTA(rng_list_segmento)-1),#REF!)</definedName>
    <definedName name="vld_segmento" localSheetId="35" hidden="1">IF(#REF!="Ativa",OFFSET(INDEX(rng_list_segmento,MATCH(#REF!,rng_list_segmento,0)),1,0,COUNTA(rng_list_segmento)-1),#REF!)</definedName>
    <definedName name="vld_segmento" localSheetId="7" hidden="1">IF(#REF!="Ativa",OFFSET(INDEX(rng_list_segmento,MATCH(#REF!,rng_list_segmento,0)),1,0,COUNTA(rng_list_segmento)-1),#REF!)</definedName>
    <definedName name="vld_segmento" localSheetId="23" hidden="1">IF(#REF!="Ativa",OFFSET(INDEX(rng_list_segmento,MATCH(#REF!,rng_list_segmento,0)),1,0,COUNTA(rng_list_segmento)-1),#REF!)</definedName>
    <definedName name="vld_segmento" localSheetId="25" hidden="1">IF(#REF!="Ativa",OFFSET(INDEX(rng_list_segmento,MATCH(#REF!,rng_list_segmento,0)),1,0,COUNTA(rng_list_segmento)-1),#REF!)</definedName>
    <definedName name="vld_segmento" localSheetId="15" hidden="1">IF(#REF!="Ativa",OFFSET(INDEX(rng_list_segmento,MATCH(#REF!,rng_list_segmento,0)),1,0,COUNTA(rng_list_segmento)-1),#REF!)</definedName>
    <definedName name="vld_segmento" hidden="1">IF(#REF!="Ativa",OFFSET(INDEX(rng_list_segmento,MATCH(#REF!,rng_list_segmento,0)),1,0,COUNTA(rng_list_segmento)-1),#REF!)</definedName>
    <definedName name="vld_sociedade" localSheetId="14" hidden="1">OFFSET(INDEX(rng_list_sociedade,MATCH(#REF!,rng_list_sociedade,0)),1,0,COUNTA(rng_list_sociedade)-1)</definedName>
    <definedName name="vld_sociedade" localSheetId="11" hidden="1">OFFSET(INDEX(rng_list_sociedade,MATCH(#REF!,rng_list_sociedade,0)),1,0,COUNTA(rng_list_sociedade)-1)</definedName>
    <definedName name="vld_sociedade" localSheetId="3" hidden="1">OFFSET(INDEX(rng_list_sociedade,MATCH(#REF!,rng_list_sociedade,0)),1,0,COUNTA(rng_list_sociedade)-1)</definedName>
    <definedName name="vld_sociedade" localSheetId="12" hidden="1">OFFSET(INDEX(rng_list_sociedade,MATCH(#REF!,rng_list_sociedade,0)),1,0,COUNTA(rng_list_sociedade)-1)</definedName>
    <definedName name="vld_sociedade" localSheetId="29" hidden="1">OFFSET(INDEX(rng_list_sociedade,MATCH(#REF!,rng_list_sociedade,0)),1,0,COUNTA(rng_list_sociedade)-1)</definedName>
    <definedName name="vld_sociedade" localSheetId="31" hidden="1">OFFSET(INDEX(rng_list_sociedade,MATCH(#REF!,rng_list_sociedade,0)),1,0,COUNTA(rng_list_sociedade)-1)</definedName>
    <definedName name="vld_sociedade" localSheetId="30" hidden="1">OFFSET(INDEX(rng_list_sociedade,MATCH(#REF!,rng_list_sociedade,0)),1,0,COUNTA(rng_list_sociedade)-1)</definedName>
    <definedName name="vld_sociedade" localSheetId="28" hidden="1">OFFSET(INDEX(rng_list_sociedade,MATCH(#REF!,rng_list_sociedade,0)),1,0,COUNTA(rng_list_sociedade)-1)</definedName>
    <definedName name="vld_sociedade" localSheetId="32" hidden="1">OFFSET(INDEX(rng_list_sociedade,MATCH(#REF!,rng_list_sociedade,0)),1,0,COUNTA(rng_list_sociedade)-1)</definedName>
    <definedName name="vld_sociedade" localSheetId="27" hidden="1">OFFSET(INDEX(rng_list_sociedade,MATCH(#REF!,rng_list_sociedade,0)),1,0,COUNTA(rng_list_sociedade)-1)</definedName>
    <definedName name="vld_sociedade" localSheetId="33" hidden="1">OFFSET(INDEX(rng_list_sociedade,MATCH(#REF!,rng_list_sociedade,0)),1,0,COUNTA(rng_list_sociedade)-1)</definedName>
    <definedName name="vld_sociedade" localSheetId="18" hidden="1">OFFSET(INDEX(rng_list_sociedade,MATCH(#REF!,rng_list_sociedade,0)),1,0,COUNTA(rng_list_sociedade)-1)</definedName>
    <definedName name="vld_sociedade" localSheetId="35" hidden="1">OFFSET(INDEX(rng_list_sociedade,MATCH(#REF!,rng_list_sociedade,0)),1,0,COUNTA(rng_list_sociedade)-1)</definedName>
    <definedName name="vld_sociedade" localSheetId="7" hidden="1">OFFSET(INDEX(rng_list_sociedade,MATCH(#REF!,rng_list_sociedade,0)),1,0,COUNTA(rng_list_sociedade)-1)</definedName>
    <definedName name="vld_sociedade" localSheetId="23" hidden="1">OFFSET(INDEX(rng_list_sociedade,MATCH(#REF!,rng_list_sociedade,0)),1,0,COUNTA(rng_list_sociedade)-1)</definedName>
    <definedName name="vld_sociedade" localSheetId="25" hidden="1">OFFSET(INDEX(rng_list_sociedade,MATCH(#REF!,rng_list_sociedade,0)),1,0,COUNTA(rng_list_sociedade)-1)</definedName>
    <definedName name="vld_sociedade" localSheetId="15" hidden="1">OFFSET(INDEX(rng_list_sociedade,MATCH(#REF!,rng_list_sociedade,0)),1,0,COUNTA(rng_list_sociedade)-1)</definedName>
    <definedName name="vld_sociedade" hidden="1">OFFSET(INDEX(rng_list_sociedade,MATCH(#REF!,rng_list_sociedade,0)),1,0,COUNTA(rng_list_sociedade)-1)</definedName>
    <definedName name="vld_status_empresa" localSheetId="14" hidden="1">OFFSET(INDEX(rng_list_status_empresa,MATCH(#REF!,rng_list_status_empresa,0)),1,0,COUNTA(rng_list_status_empresa)-1)</definedName>
    <definedName name="vld_status_empresa" localSheetId="11" hidden="1">OFFSET(INDEX(rng_list_status_empresa,MATCH(#REF!,rng_list_status_empresa,0)),1,0,COUNTA(rng_list_status_empresa)-1)</definedName>
    <definedName name="vld_status_empresa" localSheetId="3" hidden="1">OFFSET(INDEX(rng_list_status_empresa,MATCH(#REF!,rng_list_status_empresa,0)),1,0,COUNTA(rng_list_status_empresa)-1)</definedName>
    <definedName name="vld_status_empresa" localSheetId="12" hidden="1">OFFSET(INDEX(rng_list_status_empresa,MATCH(#REF!,rng_list_status_empresa,0)),1,0,COUNTA(rng_list_status_empresa)-1)</definedName>
    <definedName name="vld_status_empresa" localSheetId="29" hidden="1">OFFSET(INDEX(rng_list_status_empresa,MATCH(#REF!,rng_list_status_empresa,0)),1,0,COUNTA(rng_list_status_empresa)-1)</definedName>
    <definedName name="vld_status_empresa" localSheetId="31" hidden="1">OFFSET(INDEX(rng_list_status_empresa,MATCH(#REF!,rng_list_status_empresa,0)),1,0,COUNTA(rng_list_status_empresa)-1)</definedName>
    <definedName name="vld_status_empresa" localSheetId="30" hidden="1">OFFSET(INDEX(rng_list_status_empresa,MATCH(#REF!,rng_list_status_empresa,0)),1,0,COUNTA(rng_list_status_empresa)-1)</definedName>
    <definedName name="vld_status_empresa" localSheetId="28" hidden="1">OFFSET(INDEX(rng_list_status_empresa,MATCH(#REF!,rng_list_status_empresa,0)),1,0,COUNTA(rng_list_status_empresa)-1)</definedName>
    <definedName name="vld_status_empresa" localSheetId="32" hidden="1">OFFSET(INDEX(rng_list_status_empresa,MATCH(#REF!,rng_list_status_empresa,0)),1,0,COUNTA(rng_list_status_empresa)-1)</definedName>
    <definedName name="vld_status_empresa" localSheetId="27" hidden="1">OFFSET(INDEX(rng_list_status_empresa,MATCH(#REF!,rng_list_status_empresa,0)),1,0,COUNTA(rng_list_status_empresa)-1)</definedName>
    <definedName name="vld_status_empresa" localSheetId="33" hidden="1">OFFSET(INDEX(rng_list_status_empresa,MATCH(#REF!,rng_list_status_empresa,0)),1,0,COUNTA(rng_list_status_empresa)-1)</definedName>
    <definedName name="vld_status_empresa" localSheetId="18" hidden="1">OFFSET(INDEX(rng_list_status_empresa,MATCH(#REF!,rng_list_status_empresa,0)),1,0,COUNTA(rng_list_status_empresa)-1)</definedName>
    <definedName name="vld_status_empresa" localSheetId="35" hidden="1">OFFSET(INDEX(rng_list_status_empresa,MATCH(#REF!,rng_list_status_empresa,0)),1,0,COUNTA(rng_list_status_empresa)-1)</definedName>
    <definedName name="vld_status_empresa" localSheetId="7" hidden="1">OFFSET(INDEX(rng_list_status_empresa,MATCH(#REF!,rng_list_status_empresa,0)),1,0,COUNTA(rng_list_status_empresa)-1)</definedName>
    <definedName name="vld_status_empresa" localSheetId="23" hidden="1">OFFSET(INDEX(rng_list_status_empresa,MATCH(#REF!,rng_list_status_empresa,0)),1,0,COUNTA(rng_list_status_empresa)-1)</definedName>
    <definedName name="vld_status_empresa" localSheetId="25" hidden="1">OFFSET(INDEX(rng_list_status_empresa,MATCH(#REF!,rng_list_status_empresa,0)),1,0,COUNTA(rng_list_status_empresa)-1)</definedName>
    <definedName name="vld_status_empresa" localSheetId="15" hidden="1">OFFSET(INDEX(rng_list_status_empresa,MATCH(#REF!,rng_list_status_empresa,0)),1,0,COUNTA(rng_list_status_empresa)-1)</definedName>
    <definedName name="vld_status_empresa" hidden="1">OFFSET(INDEX(rng_list_status_empresa,MATCH(#REF!,rng_list_status_empresa,0)),1,0,COUNTA(rng_list_status_empresa)-1)</definedName>
    <definedName name="vld_status_lancamento" localSheetId="14" hidden="1">IF(#REF!="Ativa",OFFSET(INDEX(rng_list_status_lancamento,MATCH(#REF!,rng_list_status_lancamento,0)),1,0,COUNTA(rng_list_status_lancamento)-1),#REF!)</definedName>
    <definedName name="vld_status_lancamento" localSheetId="11" hidden="1">IF(#REF!="Ativa",OFFSET(INDEX(rng_list_status_lancamento,MATCH(#REF!,rng_list_status_lancamento,0)),1,0,COUNTA(rng_list_status_lancamento)-1),#REF!)</definedName>
    <definedName name="vld_status_lancamento" localSheetId="3" hidden="1">IF(#REF!="Ativa",OFFSET(INDEX(rng_list_status_lancamento,MATCH(#REF!,rng_list_status_lancamento,0)),1,0,COUNTA(rng_list_status_lancamento)-1),#REF!)</definedName>
    <definedName name="vld_status_lancamento" localSheetId="12" hidden="1">IF(#REF!="Ativa",OFFSET(INDEX(rng_list_status_lancamento,MATCH(#REF!,rng_list_status_lancamento,0)),1,0,COUNTA(rng_list_status_lancamento)-1),#REF!)</definedName>
    <definedName name="vld_status_lancamento" localSheetId="29" hidden="1">IF(#REF!="Ativa",OFFSET(INDEX(rng_list_status_lancamento,MATCH(#REF!,rng_list_status_lancamento,0)),1,0,COUNTA(rng_list_status_lancamento)-1),#REF!)</definedName>
    <definedName name="vld_status_lancamento" localSheetId="31" hidden="1">IF(#REF!="Ativa",OFFSET(INDEX(rng_list_status_lancamento,MATCH(#REF!,rng_list_status_lancamento,0)),1,0,COUNTA(rng_list_status_lancamento)-1),#REF!)</definedName>
    <definedName name="vld_status_lancamento" localSheetId="30" hidden="1">IF(#REF!="Ativa",OFFSET(INDEX(rng_list_status_lancamento,MATCH(#REF!,rng_list_status_lancamento,0)),1,0,COUNTA(rng_list_status_lancamento)-1),#REF!)</definedName>
    <definedName name="vld_status_lancamento" localSheetId="28" hidden="1">IF(#REF!="Ativa",OFFSET(INDEX(rng_list_status_lancamento,MATCH(#REF!,rng_list_status_lancamento,0)),1,0,COUNTA(rng_list_status_lancamento)-1),#REF!)</definedName>
    <definedName name="vld_status_lancamento" localSheetId="32" hidden="1">IF(#REF!="Ativa",OFFSET(INDEX(rng_list_status_lancamento,MATCH(#REF!,rng_list_status_lancamento,0)),1,0,COUNTA(rng_list_status_lancamento)-1),#REF!)</definedName>
    <definedName name="vld_status_lancamento" localSheetId="27" hidden="1">IF(#REF!="Ativa",OFFSET(INDEX(rng_list_status_lancamento,MATCH(#REF!,rng_list_status_lancamento,0)),1,0,COUNTA(rng_list_status_lancamento)-1),#REF!)</definedName>
    <definedName name="vld_status_lancamento" localSheetId="33" hidden="1">IF(#REF!="Ativa",OFFSET(INDEX(rng_list_status_lancamento,MATCH(#REF!,rng_list_status_lancamento,0)),1,0,COUNTA(rng_list_status_lancamento)-1),#REF!)</definedName>
    <definedName name="vld_status_lancamento" localSheetId="18" hidden="1">IF(#REF!="Ativa",OFFSET(INDEX(rng_list_status_lancamento,MATCH(#REF!,rng_list_status_lancamento,0)),1,0,COUNTA(rng_list_status_lancamento)-1),#REF!)</definedName>
    <definedName name="vld_status_lancamento" localSheetId="35" hidden="1">IF(#REF!="Ativa",OFFSET(INDEX(rng_list_status_lancamento,MATCH(#REF!,rng_list_status_lancamento,0)),1,0,COUNTA(rng_list_status_lancamento)-1),#REF!)</definedName>
    <definedName name="vld_status_lancamento" localSheetId="7" hidden="1">IF(#REF!="Ativa",OFFSET(INDEX(rng_list_status_lancamento,MATCH(#REF!,rng_list_status_lancamento,0)),1,0,COUNTA(rng_list_status_lancamento)-1),#REF!)</definedName>
    <definedName name="vld_status_lancamento" localSheetId="23" hidden="1">IF(#REF!="Ativa",OFFSET(INDEX(rng_list_status_lancamento,MATCH(#REF!,rng_list_status_lancamento,0)),1,0,COUNTA(rng_list_status_lancamento)-1),#REF!)</definedName>
    <definedName name="vld_status_lancamento" localSheetId="25" hidden="1">IF(#REF!="Ativa",OFFSET(INDEX(rng_list_status_lancamento,MATCH(#REF!,rng_list_status_lancamento,0)),1,0,COUNTA(rng_list_status_lancamento)-1),#REF!)</definedName>
    <definedName name="vld_status_lancamento" localSheetId="15" hidden="1">IF(#REF!="Ativa",OFFSET(INDEX(rng_list_status_lancamento,MATCH(#REF!,rng_list_status_lancamento,0)),1,0,COUNTA(rng_list_status_lancamento)-1),#REF!)</definedName>
    <definedName name="vld_status_lancamento" hidden="1">IF(#REF!="Ativa",OFFSET(INDEX(rng_list_status_lancamento,MATCH(#REF!,rng_list_status_lancamento,0)),1,0,COUNTA(rng_list_status_lancamento)-1),#REF!)</definedName>
    <definedName name="vld_status_projeto" localSheetId="14" hidden="1">IF(#REF!="Ativa",OFFSET(INDEX(rng_list_status_projeto,MATCH(#REF!,rng_list_status_projeto,0)),1,0,COUNTA(rng_list_status_projeto)-1),#REF!)</definedName>
    <definedName name="vld_status_projeto" localSheetId="11" hidden="1">IF(#REF!="Ativa",OFFSET(INDEX(rng_list_status_projeto,MATCH(#REF!,rng_list_status_projeto,0)),1,0,COUNTA(rng_list_status_projeto)-1),#REF!)</definedName>
    <definedName name="vld_status_projeto" localSheetId="3" hidden="1">IF(#REF!="Ativa",OFFSET(INDEX(rng_list_status_projeto,MATCH(#REF!,rng_list_status_projeto,0)),1,0,COUNTA(rng_list_status_projeto)-1),#REF!)</definedName>
    <definedName name="vld_status_projeto" localSheetId="12" hidden="1">IF(#REF!="Ativa",OFFSET(INDEX(rng_list_status_projeto,MATCH(#REF!,rng_list_status_projeto,0)),1,0,COUNTA(rng_list_status_projeto)-1),#REF!)</definedName>
    <definedName name="vld_status_projeto" localSheetId="29" hidden="1">IF(#REF!="Ativa",OFFSET(INDEX(rng_list_status_projeto,MATCH(#REF!,rng_list_status_projeto,0)),1,0,COUNTA(rng_list_status_projeto)-1),#REF!)</definedName>
    <definedName name="vld_status_projeto" localSheetId="31" hidden="1">IF(#REF!="Ativa",OFFSET(INDEX(rng_list_status_projeto,MATCH(#REF!,rng_list_status_projeto,0)),1,0,COUNTA(rng_list_status_projeto)-1),#REF!)</definedName>
    <definedName name="vld_status_projeto" localSheetId="30" hidden="1">IF(#REF!="Ativa",OFFSET(INDEX(rng_list_status_projeto,MATCH(#REF!,rng_list_status_projeto,0)),1,0,COUNTA(rng_list_status_projeto)-1),#REF!)</definedName>
    <definedName name="vld_status_projeto" localSheetId="28" hidden="1">IF(#REF!="Ativa",OFFSET(INDEX(rng_list_status_projeto,MATCH(#REF!,rng_list_status_projeto,0)),1,0,COUNTA(rng_list_status_projeto)-1),#REF!)</definedName>
    <definedName name="vld_status_projeto" localSheetId="32" hidden="1">IF(#REF!="Ativa",OFFSET(INDEX(rng_list_status_projeto,MATCH(#REF!,rng_list_status_projeto,0)),1,0,COUNTA(rng_list_status_projeto)-1),#REF!)</definedName>
    <definedName name="vld_status_projeto" localSheetId="27" hidden="1">IF(#REF!="Ativa",OFFSET(INDEX(rng_list_status_projeto,MATCH(#REF!,rng_list_status_projeto,0)),1,0,COUNTA(rng_list_status_projeto)-1),#REF!)</definedName>
    <definedName name="vld_status_projeto" localSheetId="33" hidden="1">IF(#REF!="Ativa",OFFSET(INDEX(rng_list_status_projeto,MATCH(#REF!,rng_list_status_projeto,0)),1,0,COUNTA(rng_list_status_projeto)-1),#REF!)</definedName>
    <definedName name="vld_status_projeto" localSheetId="18" hidden="1">IF(#REF!="Ativa",OFFSET(INDEX(rng_list_status_projeto,MATCH(#REF!,rng_list_status_projeto,0)),1,0,COUNTA(rng_list_status_projeto)-1),#REF!)</definedName>
    <definedName name="vld_status_projeto" localSheetId="35" hidden="1">IF(#REF!="Ativa",OFFSET(INDEX(rng_list_status_projeto,MATCH(#REF!,rng_list_status_projeto,0)),1,0,COUNTA(rng_list_status_projeto)-1),#REF!)</definedName>
    <definedName name="vld_status_projeto" localSheetId="7" hidden="1">IF(#REF!="Ativa",OFFSET(INDEX(rng_list_status_projeto,MATCH(#REF!,rng_list_status_projeto,0)),1,0,COUNTA(rng_list_status_projeto)-1),#REF!)</definedName>
    <definedName name="vld_status_projeto" localSheetId="23" hidden="1">IF(#REF!="Ativa",OFFSET(INDEX(rng_list_status_projeto,MATCH(#REF!,rng_list_status_projeto,0)),1,0,COUNTA(rng_list_status_projeto)-1),#REF!)</definedName>
    <definedName name="vld_status_projeto" localSheetId="25" hidden="1">IF(#REF!="Ativa",OFFSET(INDEX(rng_list_status_projeto,MATCH(#REF!,rng_list_status_projeto,0)),1,0,COUNTA(rng_list_status_projeto)-1),#REF!)</definedName>
    <definedName name="vld_status_projeto" localSheetId="15" hidden="1">IF(#REF!="Ativa",OFFSET(INDEX(rng_list_status_projeto,MATCH(#REF!,rng_list_status_projeto,0)),1,0,COUNTA(rng_list_status_projeto)-1),#REF!)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localSheetId="14" hidden="1">OFFSET(INDEX(rng_list_status_viabilidade,MATCH(#REF!,rng_list_status_viabilidade,0)),1,0,COUNTA(rng_list_status_viabilidade)-1)</definedName>
    <definedName name="vld_status_viabilidade" localSheetId="11" hidden="1">OFFSET(INDEX(rng_list_status_viabilidade,MATCH(#REF!,rng_list_status_viabilidade,0)),1,0,COUNTA(rng_list_status_viabilidade)-1)</definedName>
    <definedName name="vld_status_viabilidade" localSheetId="3" hidden="1">OFFSET(INDEX(rng_list_status_viabilidade,MATCH(#REF!,rng_list_status_viabilidade,0)),1,0,COUNTA(rng_list_status_viabilidade)-1)</definedName>
    <definedName name="vld_status_viabilidade" localSheetId="12" hidden="1">OFFSET(INDEX(rng_list_status_viabilidade,MATCH(#REF!,rng_list_status_viabilidade,0)),1,0,COUNTA(rng_list_status_viabilidade)-1)</definedName>
    <definedName name="vld_status_viabilidade" localSheetId="29" hidden="1">OFFSET(INDEX(rng_list_status_viabilidade,MATCH(#REF!,rng_list_status_viabilidade,0)),1,0,COUNTA(rng_list_status_viabilidade)-1)</definedName>
    <definedName name="vld_status_viabilidade" localSheetId="31" hidden="1">OFFSET(INDEX(rng_list_status_viabilidade,MATCH(#REF!,rng_list_status_viabilidade,0)),1,0,COUNTA(rng_list_status_viabilidade)-1)</definedName>
    <definedName name="vld_status_viabilidade" localSheetId="30" hidden="1">OFFSET(INDEX(rng_list_status_viabilidade,MATCH(#REF!,rng_list_status_viabilidade,0)),1,0,COUNTA(rng_list_status_viabilidade)-1)</definedName>
    <definedName name="vld_status_viabilidade" localSheetId="28" hidden="1">OFFSET(INDEX(rng_list_status_viabilidade,MATCH(#REF!,rng_list_status_viabilidade,0)),1,0,COUNTA(rng_list_status_viabilidade)-1)</definedName>
    <definedName name="vld_status_viabilidade" localSheetId="32" hidden="1">OFFSET(INDEX(rng_list_status_viabilidade,MATCH(#REF!,rng_list_status_viabilidade,0)),1,0,COUNTA(rng_list_status_viabilidade)-1)</definedName>
    <definedName name="vld_status_viabilidade" localSheetId="27" hidden="1">OFFSET(INDEX(rng_list_status_viabilidade,MATCH(#REF!,rng_list_status_viabilidade,0)),1,0,COUNTA(rng_list_status_viabilidade)-1)</definedName>
    <definedName name="vld_status_viabilidade" localSheetId="33" hidden="1">OFFSET(INDEX(rng_list_status_viabilidade,MATCH(#REF!,rng_list_status_viabilidade,0)),1,0,COUNTA(rng_list_status_viabilidade)-1)</definedName>
    <definedName name="vld_status_viabilidade" localSheetId="18" hidden="1">OFFSET(INDEX(rng_list_status_viabilidade,MATCH(#REF!,rng_list_status_viabilidade,0)),1,0,COUNTA(rng_list_status_viabilidade)-1)</definedName>
    <definedName name="vld_status_viabilidade" localSheetId="35" hidden="1">OFFSET(INDEX(rng_list_status_viabilidade,MATCH(#REF!,rng_list_status_viabilidade,0)),1,0,COUNTA(rng_list_status_viabilidade)-1)</definedName>
    <definedName name="vld_status_viabilidade" localSheetId="7" hidden="1">OFFSET(INDEX(rng_list_status_viabilidade,MATCH(#REF!,rng_list_status_viabilidade,0)),1,0,COUNTA(rng_list_status_viabilidade)-1)</definedName>
    <definedName name="vld_status_viabilidade" localSheetId="23" hidden="1">OFFSET(INDEX(rng_list_status_viabilidade,MATCH(#REF!,rng_list_status_viabilidade,0)),1,0,COUNTA(rng_list_status_viabilidade)-1)</definedName>
    <definedName name="vld_status_viabilidade" localSheetId="25" hidden="1">OFFSET(INDEX(rng_list_status_viabilidade,MATCH(#REF!,rng_list_status_viabilidade,0)),1,0,COUNTA(rng_list_status_viabilidade)-1)</definedName>
    <definedName name="vld_status_viabilidade" localSheetId="15" hidden="1">OFFSET(INDEX(rng_list_status_viabilidade,MATCH(#REF!,rng_list_status_viabilidade,0)),1,0,COUNTA(rng_list_status_viabilidade)-1)</definedName>
    <definedName name="vld_status_viabilidade" hidden="1">OFFSET(INDEX(rng_list_status_viabilidade,MATCH(#REF!,rng_list_status_viabilidade,0)),1,0,COUNTA(rng_list_status_viabilidade)-1)</definedName>
    <definedName name="VOLUME1" localSheetId="12">#REF!</definedName>
    <definedName name="VOLUME1" localSheetId="30">#REF!</definedName>
    <definedName name="VOLUME1" localSheetId="28">#REF!</definedName>
    <definedName name="VOLUME1" localSheetId="27">#REF!</definedName>
    <definedName name="VOLUME1" localSheetId="18">#REF!</definedName>
    <definedName name="VOLUME1" localSheetId="7">#REF!</definedName>
    <definedName name="VOLUME1" localSheetId="23">#REF!</definedName>
    <definedName name="VOLUME1">#REF!</definedName>
    <definedName name="VOLUME2" localSheetId="12">#REF!</definedName>
    <definedName name="VOLUME2" localSheetId="30">#REF!</definedName>
    <definedName name="VOLUME2" localSheetId="28">#REF!</definedName>
    <definedName name="VOLUME2" localSheetId="27">#REF!</definedName>
    <definedName name="VOLUME2" localSheetId="18">#REF!</definedName>
    <definedName name="VOLUME2" localSheetId="7">#REF!</definedName>
    <definedName name="VOLUME2" localSheetId="23">#REF!</definedName>
    <definedName name="VOLUME2">#REF!</definedName>
    <definedName name="VOLUME3" localSheetId="12">#REF!</definedName>
    <definedName name="VOLUME3" localSheetId="30">#REF!</definedName>
    <definedName name="VOLUME3" localSheetId="28">#REF!</definedName>
    <definedName name="VOLUME3" localSheetId="27">#REF!</definedName>
    <definedName name="VOLUME3" localSheetId="18">#REF!</definedName>
    <definedName name="VOLUME3" localSheetId="7">#REF!</definedName>
    <definedName name="VOLUME3" localSheetId="23">#REF!</definedName>
    <definedName name="VOLUME3">#REF!</definedName>
    <definedName name="VSDHFGDFGR" localSheetId="3" hidden="1">{#N/A,#N/A,FALSE,"Plan1";#N/A,#N/A,FALSE,"Plan2"}</definedName>
    <definedName name="VSDHFGDFGR" localSheetId="33" hidden="1">{#N/A,#N/A,FALSE,"Plan1";#N/A,#N/A,FALSE,"Plan2"}</definedName>
    <definedName name="VSDHFGDFGR" localSheetId="35" hidden="1">{#N/A,#N/A,FALSE,"Plan1";#N/A,#N/A,FALSE,"Plan2"}</definedName>
    <definedName name="VSDHFGDFGR" hidden="1">{#N/A,#N/A,FALSE,"Plan1";#N/A,#N/A,FALSE,"Plan2"}</definedName>
    <definedName name="vvbb" localSheetId="3" hidden="1">{"tabela",#N/A,FALSE,"Tabela";"decoração",#N/A,FALSE,"Decor.";"Informações",#N/A,FALSE,"Inform."}</definedName>
    <definedName name="vvbb" localSheetId="33" hidden="1">{"tabela",#N/A,FALSE,"Tabela";"decoração",#N/A,FALSE,"Decor.";"Informações",#N/A,FALSE,"Inform."}</definedName>
    <definedName name="vvbb" localSheetId="35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3" hidden="1">{#N/A,#N/A,FALSE,"Plan1";#N/A,#N/A,FALSE,"Plan2"}</definedName>
    <definedName name="vvcbnb" localSheetId="33" hidden="1">{#N/A,#N/A,FALSE,"Plan1";#N/A,#N/A,FALSE,"Plan2"}</definedName>
    <definedName name="vvcbnb" localSheetId="35" hidden="1">{#N/A,#N/A,FALSE,"Plan1";#N/A,#N/A,FALSE,"Plan2"}</definedName>
    <definedName name="vvcbnb" hidden="1">{#N/A,#N/A,FALSE,"Plan1";#N/A,#N/A,FALSE,"Plan2"}</definedName>
    <definedName name="vvvvv" localSheetId="3" hidden="1">{"Econ Consolidado",#N/A,FALSE,"Econ Consol";"Fluxo de Caixa",#N/A,FALSE,"Fluxo Caixa";"Investimentos",#N/A,FALSE,"Investimentos"}</definedName>
    <definedName name="vvvvv" localSheetId="33" hidden="1">{"Econ Consolidado",#N/A,FALSE,"Econ Consol";"Fluxo de Caixa",#N/A,FALSE,"Fluxo Caixa";"Investimentos",#N/A,FALSE,"Investimentos"}</definedName>
    <definedName name="vvvvv" localSheetId="35" hidden="1">{"Econ Consolidado",#N/A,FALSE,"Econ Consol";"Fluxo de Caixa",#N/A,FALSE,"Fluxo Caixa";"Investimentos",#N/A,FALSE,"Investimentos"}</definedName>
    <definedName name="vvvvv" hidden="1">{"Econ Consolidado",#N/A,FALSE,"Econ Consol";"Fluxo de Caixa",#N/A,FALSE,"Fluxo Caixa";"Investimentos",#N/A,FALSE,"Investimentos"}</definedName>
    <definedName name="vvvvvv" localSheetId="3" hidden="1">{#N/A,#N/A,FALSE,"Plan1";#N/A,#N/A,FALSE,"Plan2"}</definedName>
    <definedName name="vvvvvv" localSheetId="33" hidden="1">{#N/A,#N/A,FALSE,"Plan1";#N/A,#N/A,FALSE,"Plan2"}</definedName>
    <definedName name="vvvvvv" localSheetId="35" hidden="1">{#N/A,#N/A,FALSE,"Plan1";#N/A,#N/A,FALSE,"Plan2"}</definedName>
    <definedName name="vvvvvv" hidden="1">{#N/A,#N/A,FALSE,"Plan1";#N/A,#N/A,FALSE,"Plan2"}</definedName>
    <definedName name="vvvvvvvvvvvvvvvvv" localSheetId="33" hidden="1">{"HW",#N/A,FALSE,"1998"}</definedName>
    <definedName name="vvvvvvvvvvvvvvvvv" localSheetId="35" hidden="1">{"HW",#N/A,FALSE,"1998"}</definedName>
    <definedName name="vvvvvvvvvvvvvvvvv" hidden="1">{"HW",#N/A,FALSE,"1998"}</definedName>
    <definedName name="VX" localSheetId="12" hidden="1">#REF!</definedName>
    <definedName name="VX" localSheetId="30" hidden="1">#REF!</definedName>
    <definedName name="VX" localSheetId="28" hidden="1">#REF!</definedName>
    <definedName name="VX" localSheetId="27" hidden="1">#REF!</definedName>
    <definedName name="VX" localSheetId="18" hidden="1">#REF!</definedName>
    <definedName name="VX" localSheetId="7" hidden="1">#REF!</definedName>
    <definedName name="VX" localSheetId="23" hidden="1">#REF!</definedName>
    <definedName name="VX" hidden="1">#REF!</definedName>
    <definedName name="w" localSheetId="12">#REF!</definedName>
    <definedName name="w" localSheetId="30">#REF!</definedName>
    <definedName name="w" localSheetId="28">#REF!</definedName>
    <definedName name="w" localSheetId="27">#REF!</definedName>
    <definedName name="w" localSheetId="18">#REF!</definedName>
    <definedName name="w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7">#REF!</definedName>
    <definedName name="w" localSheetId="23">#REF!</definedName>
    <definedName name="w">#REF!</definedName>
    <definedName name="wacc" localSheetId="12">#REF!</definedName>
    <definedName name="wacc" localSheetId="30">#REF!</definedName>
    <definedName name="wacc" localSheetId="28">#REF!</definedName>
    <definedName name="wacc" localSheetId="27">#REF!</definedName>
    <definedName name="wacc" localSheetId="18">#REF!</definedName>
    <definedName name="wacc" localSheetId="7">#REF!</definedName>
    <definedName name="wacc" localSheetId="23">#REF!</definedName>
    <definedName name="wacc">#REF!</definedName>
    <definedName name="wadalrdjlaev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localSheetId="3" hidden="1">#REF!</definedName>
    <definedName name="wdewr" localSheetId="12" hidden="1">#REF!</definedName>
    <definedName name="wdewr" localSheetId="30" hidden="1">#REF!</definedName>
    <definedName name="wdewr" localSheetId="28" hidden="1">#REF!</definedName>
    <definedName name="wdewr" localSheetId="27" hidden="1">#REF!</definedName>
    <definedName name="wdewr" localSheetId="18" hidden="1">#REF!</definedName>
    <definedName name="wdewr" localSheetId="7" hidden="1">#REF!</definedName>
    <definedName name="wdewr" localSheetId="23" hidden="1">#REF!</definedName>
    <definedName name="wdewr" hidden="1">#REF!</definedName>
    <definedName name="WE" localSheetId="12" hidden="1">#REF!</definedName>
    <definedName name="WE" localSheetId="30" hidden="1">#REF!</definedName>
    <definedName name="WE" localSheetId="28" hidden="1">#REF!</definedName>
    <definedName name="WE" localSheetId="27" hidden="1">#REF!</definedName>
    <definedName name="WE" localSheetId="18" hidden="1">#REF!</definedName>
    <definedName name="WE" localSheetId="7" hidden="1">#REF!</definedName>
    <definedName name="WE" localSheetId="23" hidden="1">#REF!</definedName>
    <definedName name="WE" hidden="1">#REF!</definedName>
    <definedName name="weki_9701.xls" localSheetId="12" hidden="1">#REF!</definedName>
    <definedName name="weki_9701.xls" localSheetId="30" hidden="1">#REF!</definedName>
    <definedName name="weki_9701.xls" localSheetId="28" hidden="1">#REF!</definedName>
    <definedName name="weki_9701.xls" localSheetId="27" hidden="1">#REF!</definedName>
    <definedName name="weki_9701.xls" localSheetId="18" hidden="1">#REF!</definedName>
    <definedName name="weki_9701.xls" localSheetId="7" hidden="1">#REF!</definedName>
    <definedName name="weki_9701.xls" localSheetId="23" hidden="1">#REF!</definedName>
    <definedName name="weki_9701.xls" hidden="1">#REF!</definedName>
    <definedName name="wekir9701.xls" localSheetId="12" hidden="1">#REF!</definedName>
    <definedName name="wekir9701.xls" localSheetId="30" hidden="1">#REF!</definedName>
    <definedName name="wekir9701.xls" localSheetId="28" hidden="1">#REF!</definedName>
    <definedName name="wekir9701.xls" localSheetId="27" hidden="1">#REF!</definedName>
    <definedName name="wekir9701.xls" localSheetId="18" hidden="1">#REF!</definedName>
    <definedName name="wekir9701.xls" localSheetId="7" hidden="1">#REF!</definedName>
    <definedName name="wekir9701.xls" localSheetId="23" hidden="1">#REF!</definedName>
    <definedName name="wekir9701.xls" hidden="1">#REF!</definedName>
    <definedName name="werw4tr" localSheetId="3" hidden="1">{#N/A,#N/A,FALSE,"Plan1";#N/A,#N/A,FALSE,"Plan2"}</definedName>
    <definedName name="werw4tr" localSheetId="33" hidden="1">{#N/A,#N/A,FALSE,"Plan1";#N/A,#N/A,FALSE,"Plan2"}</definedName>
    <definedName name="werw4tr" localSheetId="35" hidden="1">{#N/A,#N/A,FALSE,"Plan1";#N/A,#N/A,FALSE,"Plan2"}</definedName>
    <definedName name="werw4tr" hidden="1">{#N/A,#N/A,FALSE,"Plan1";#N/A,#N/A,FALSE,"Plan2"}</definedName>
    <definedName name="wetoedjtkdr" localSheetId="3" hidden="1">{#N/A,#N/A,FALSE,"Plan1";#N/A,#N/A,FALSE,"Plan2"}</definedName>
    <definedName name="wetoedjtkdr" localSheetId="33" hidden="1">{#N/A,#N/A,FALSE,"Plan1";#N/A,#N/A,FALSE,"Plan2"}</definedName>
    <definedName name="wetoedjtkdr" localSheetId="35" hidden="1">{#N/A,#N/A,FALSE,"Plan1";#N/A,#N/A,FALSE,"Plan2"}</definedName>
    <definedName name="wetoedjtkdr" hidden="1">{#N/A,#N/A,FALSE,"Plan1";#N/A,#N/A,FALSE,"Plan2"}</definedName>
    <definedName name="WHATS" localSheetId="33" hidden="1">{"'Edit'!$A$1:$V$2277"}</definedName>
    <definedName name="WHATS" localSheetId="35" hidden="1">{"'Edit'!$A$1:$V$2277"}</definedName>
    <definedName name="WHATS" hidden="1">{"'Edit'!$A$1:$V$2277"}</definedName>
    <definedName name="win.VESSEL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 localSheetId="12">#REF!</definedName>
    <definedName name="WITENS" localSheetId="30">#REF!</definedName>
    <definedName name="WITENS" localSheetId="28">#REF!</definedName>
    <definedName name="WITENS" localSheetId="27">#REF!</definedName>
    <definedName name="WITENS" localSheetId="18">#REF!</definedName>
    <definedName name="WITENS" localSheetId="7">#REF!</definedName>
    <definedName name="WITENS" localSheetId="23">#REF!</definedName>
    <definedName name="WITENS">#REF!</definedName>
    <definedName name="WKJHIR" localSheetId="3" hidden="1">{#N/A,#N/A,FALSE,"Plan1";#N/A,#N/A,FALSE,"Plan2"}</definedName>
    <definedName name="WKJHIR" localSheetId="33" hidden="1">{#N/A,#N/A,FALSE,"Plan1";#N/A,#N/A,FALSE,"Plan2"}</definedName>
    <definedName name="WKJHIR" localSheetId="35" hidden="1">{#N/A,#N/A,FALSE,"Plan1";#N/A,#N/A,FALSE,"Plan2"}</definedName>
    <definedName name="WKJHIR" hidden="1">{#N/A,#N/A,FALSE,"Plan1";#N/A,#N/A,FALSE,"Plan2"}</definedName>
    <definedName name="WLQ" localSheetId="33" hidden="1">{#N/A,#N/A,FALSE,"명세표"}</definedName>
    <definedName name="WLQ" localSheetId="35" hidden="1">{#N/A,#N/A,FALSE,"명세표"}</definedName>
    <definedName name="WLQ" hidden="1">{#N/A,#N/A,FALSE,"명세표"}</definedName>
    <definedName name="WNMLOCAL" localSheetId="12">#REF!</definedName>
    <definedName name="WNMLOCAL" localSheetId="30">#REF!</definedName>
    <definedName name="WNMLOCAL" localSheetId="28">#REF!</definedName>
    <definedName name="WNMLOCAL" localSheetId="27">#REF!</definedName>
    <definedName name="WNMLOCAL" localSheetId="18">#REF!</definedName>
    <definedName name="WNMLOCAL" localSheetId="7">#REF!</definedName>
    <definedName name="WNMLOCAL" localSheetId="23">#REF!</definedName>
    <definedName name="WNMLOCAL">#REF!</definedName>
    <definedName name="WNMMUN" localSheetId="12">#REF!</definedName>
    <definedName name="WNMMUN" localSheetId="30">#REF!</definedName>
    <definedName name="WNMMUN" localSheetId="28">#REF!</definedName>
    <definedName name="WNMMUN" localSheetId="27">#REF!</definedName>
    <definedName name="WNMMUN" localSheetId="18">#REF!</definedName>
    <definedName name="WNMMUN" localSheetId="7">#REF!</definedName>
    <definedName name="WNMMUN" localSheetId="23">#REF!</definedName>
    <definedName name="WNMMUN">#REF!</definedName>
    <definedName name="WNMSERV" localSheetId="12">#REF!</definedName>
    <definedName name="WNMSERV" localSheetId="30">#REF!</definedName>
    <definedName name="WNMSERV" localSheetId="28">#REF!</definedName>
    <definedName name="WNMSERV" localSheetId="27">#REF!</definedName>
    <definedName name="WNMSERV" localSheetId="18">#REF!</definedName>
    <definedName name="WNMSERV" localSheetId="7">#REF!</definedName>
    <definedName name="WNMSERV" localSheetId="23">#REF!</definedName>
    <definedName name="WNMSERV">#REF!</definedName>
    <definedName name="worl_cdi" localSheetId="12">#REF!</definedName>
    <definedName name="worl_cdi" localSheetId="30">#REF!</definedName>
    <definedName name="worl_cdi" localSheetId="28">#REF!</definedName>
    <definedName name="worl_cdi" localSheetId="27">#REF!</definedName>
    <definedName name="worl_cdi" localSheetId="18">#REF!</definedName>
    <definedName name="worl_cdi" localSheetId="7">#REF!</definedName>
    <definedName name="worl_cdi" localSheetId="23">#REF!</definedName>
    <definedName name="worl_cdi">#REF!</definedName>
    <definedName name="worl_hist" localSheetId="12">#REF!</definedName>
    <definedName name="worl_hist" localSheetId="30">#REF!</definedName>
    <definedName name="worl_hist" localSheetId="28">#REF!</definedName>
    <definedName name="worl_hist" localSheetId="27">#REF!</definedName>
    <definedName name="worl_hist" localSheetId="18">#REF!</definedName>
    <definedName name="worl_hist" localSheetId="7">#REF!</definedName>
    <definedName name="worl_hist" localSheetId="23">#REF!</definedName>
    <definedName name="worl_hist">#REF!</definedName>
    <definedName name="worl_uss" localSheetId="12">#REF!</definedName>
    <definedName name="worl_uss" localSheetId="30">#REF!</definedName>
    <definedName name="worl_uss" localSheetId="28">#REF!</definedName>
    <definedName name="worl_uss" localSheetId="27">#REF!</definedName>
    <definedName name="worl_uss" localSheetId="18">#REF!</definedName>
    <definedName name="worl_uss" localSheetId="7">#REF!</definedName>
    <definedName name="worl_uss" localSheetId="23">#REF!</definedName>
    <definedName name="worl_uss">#REF!</definedName>
    <definedName name="WRITE" localSheetId="33" hidden="1">{#N/A,#N/A,FALSE,"CCTV"}</definedName>
    <definedName name="WRITE" localSheetId="35" hidden="1">{#N/A,#N/A,FALSE,"CCTV"}</definedName>
    <definedName name="WRITE" hidden="1">{#N/A,#N/A,FALSE,"CCTV"}</definedName>
    <definedName name="wrn.BM." localSheetId="33" hidden="1">{#N/A,#N/A,FALSE,"CCTV"}</definedName>
    <definedName name="wrn.BM." localSheetId="35" hidden="1">{#N/A,#N/A,FALSE,"CCTV"}</definedName>
    <definedName name="wrn.BM." hidden="1">{#N/A,#N/A,FALSE,"CCTV"}</definedName>
    <definedName name="wrn.Brita98.xls." localSheetId="33" hidden="1">{#N/A,#N/A,TRUE,"Quinzena 01 à 15-04-98 "}</definedName>
    <definedName name="wrn.Brita98.xls." localSheetId="35" hidden="1">{#N/A,#N/A,TRUE,"Quinzena 01 à 15-04-98 "}</definedName>
    <definedName name="wrn.Brita98.xls." hidden="1">{#N/A,#N/A,TRUE,"Quinzena 01 à 15-04-98 "}</definedName>
    <definedName name="wrn.Completo." localSheetId="3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33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35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3" hidden="1">{"EconCons",#N/A,TRUE,"Econômico - Consolidado";"CaixaCons",#N/A,TRUE,"Caixa - Consolidado";"InvestCons",#N/A,TRUE,"Invest Consolidado"}</definedName>
    <definedName name="wrn.Cons." localSheetId="33" hidden="1">{"EconCons",#N/A,TRUE,"Econômico - Consolidado";"CaixaCons",#N/A,TRUE,"Caixa - Consolidado";"InvestCons",#N/A,TRUE,"Invest Consolidado"}</definedName>
    <definedName name="wrn.Cons." localSheetId="35" hidden="1">{"EconCons",#N/A,TRUE,"Econômico - Consolidado";"CaixaCons",#N/A,TRUE,"Caixa - Consolidado";"InvestCons",#N/A,TRUE,"Invest Consolidado"}</definedName>
    <definedName name="wrn.Cons." hidden="1">{"EconCons",#N/A,TRUE,"Econômico - Consolidado";"CaixaCons",#N/A,TRUE,"Caixa - Consolidado";"InvestCons",#N/A,TRUE,"Invest Consolidado"}</definedName>
    <definedName name="wrn.Consolidado." localSheetId="3" hidden="1">{"Econ Consolidado",#N/A,FALSE,"Econ Consol";"Fluxo de Caixa",#N/A,FALSE,"Fluxo Caixa";"Investimentos",#N/A,FALSE,"Investimentos"}</definedName>
    <definedName name="wrn.Consolidado." localSheetId="33" hidden="1">{"Econ Consolidado",#N/A,FALSE,"Econ Consol";"Fluxo de Caixa",#N/A,FALSE,"Fluxo Caixa";"Investimentos",#N/A,FALSE,"Investimentos"}</definedName>
    <definedName name="wrn.Consolidado." localSheetId="35" hidden="1">{"Econ Consolidado",#N/A,FALSE,"Econ Consol";"Fluxo de Caixa",#N/A,FALSE,"Fluxo Caixa";"Investimentos",#N/A,FALSE,"Investimentos"}</definedName>
    <definedName name="wrn.Consolidado." hidden="1">{"Econ Consolidado",#N/A,FALSE,"Econ Consol";"Fluxo de Caixa",#N/A,FALSE,"Fluxo Caixa";"Investimentos",#N/A,FALSE,"Investimentos"}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localSheetId="3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29" hidden="1">{#N/A,#N/A,FALSE,"ET-CAPA";#N/A,#N/A,FALSE,"ET-PAG1";#N/A,#N/A,FALSE,"ET-PAG2";#N/A,#N/A,FALSE,"ET-PAG3";#N/A,#N/A,FALSE,"ET-PAG4";#N/A,#N/A,FALSE,"ET-PAG5"}</definedName>
    <definedName name="wrn.GERAL." localSheetId="31" hidden="1">{#N/A,#N/A,FALSE,"ET-CAPA";#N/A,#N/A,FALSE,"ET-PAG1";#N/A,#N/A,FALSE,"ET-PAG2";#N/A,#N/A,FALSE,"ET-PAG3";#N/A,#N/A,FALSE,"ET-PAG4";#N/A,#N/A,FALSE,"ET-PAG5"}</definedName>
    <definedName name="wrn.GERAL." localSheetId="30" hidden="1">{#N/A,#N/A,FALSE,"ET-CAPA";#N/A,#N/A,FALSE,"ET-PAG1";#N/A,#N/A,FALSE,"ET-PAG2";#N/A,#N/A,FALSE,"ET-PAG3";#N/A,#N/A,FALSE,"ET-PAG4";#N/A,#N/A,FALSE,"ET-PAG5"}</definedName>
    <definedName name="wrn.GERAL." localSheetId="32" hidden="1">{#N/A,#N/A,FALSE,"ET-CAPA";#N/A,#N/A,FALSE,"ET-PAG1";#N/A,#N/A,FALSE,"ET-PAG2";#N/A,#N/A,FALSE,"ET-PAG3";#N/A,#N/A,FALSE,"ET-PAG4";#N/A,#N/A,FALSE,"ET-PAG5"}</definedName>
    <definedName name="wrn.GERAL." localSheetId="33" hidden="1">{#N/A,#N/A,FALSE,"ET-CAPA";#N/A,#N/A,FALSE,"ET-PAG1";#N/A,#N/A,FALSE,"ET-PAG2";#N/A,#N/A,FALSE,"ET-PAG3";#N/A,#N/A,FALSE,"ET-PAG4";#N/A,#N/A,FALSE,"ET-PAG5"}</definedName>
    <definedName name="wrn.GERAL." localSheetId="34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35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HAGE." localSheetId="33" hidden="1">{#N/A,#N/A,FALSE,"cdi";#N/A,#N/A,FALSE,"debent";#N/A,#N/A,FALSE,"fdos";#N/A,#N/A,FALSE,"resumo"}</definedName>
    <definedName name="wrn.HAGE." localSheetId="35" hidden="1">{#N/A,#N/A,FALSE,"cdi";#N/A,#N/A,FALSE,"debent";#N/A,#N/A,FALSE,"fdos";#N/A,#N/A,FALSE,"resumo"}</definedName>
    <definedName name="wrn.HAGE." hidden="1">{#N/A,#N/A,FALSE,"cdi";#N/A,#N/A,FALSE,"debent";#N/A,#N/A,FALSE,"fdos";#N/A,#N/A,FALSE,"resumo"}</definedName>
    <definedName name="wrn.HAGE01" localSheetId="33" hidden="1">{#N/A,#N/A,FALSE,"cdi";#N/A,#N/A,FALSE,"debent";#N/A,#N/A,FALSE,"fdos";#N/A,#N/A,FALSE,"resumo"}</definedName>
    <definedName name="wrn.HAGE01" localSheetId="35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localSheetId="33" hidden="1">{"HW",#N/A,FALSE,"1998"}</definedName>
    <definedName name="wrn.HW." localSheetId="35" hidden="1">{"HW",#N/A,FALSE,"1998"}</definedName>
    <definedName name="wrn.HW." hidden="1">{"HW",#N/A,FALSE,"1998"}</definedName>
    <definedName name="wrn.imp_flx." localSheetId="3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33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35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3" hidden="1">{#N/A,#N/A,FALSE,"Plan1";#N/A,#N/A,FALSE,"Plan2"}</definedName>
    <definedName name="wrn.IMPRESSO." localSheetId="33" hidden="1">{#N/A,#N/A,FALSE,"Plan1";#N/A,#N/A,FALSE,"Plan2"}</definedName>
    <definedName name="wrn.IMPRESSO." localSheetId="35" hidden="1">{#N/A,#N/A,FALSE,"Plan1";#N/A,#N/A,FALSE,"Plan2"}</definedName>
    <definedName name="wrn.IMPRESSO." hidden="1">{#N/A,#N/A,FALSE,"Plan1";#N/A,#N/A,FALSE,"Plan2"}</definedName>
    <definedName name="wrn.Imprimir." localSheetId="3" hidden="1">{"tabela",#N/A,FALSE,"Tabela";"decoração",#N/A,FALSE,"Decor.";"Informações",#N/A,FALSE,"Inform."}</definedName>
    <definedName name="wrn.Imprimir." localSheetId="33" hidden="1">{"tabela",#N/A,FALSE,"Tabela";"decoração",#N/A,FALSE,"Decor.";"Informações",#N/A,FALSE,"Inform."}</definedName>
    <definedName name="wrn.Imprimir." localSheetId="35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LPU._.MG." localSheetId="33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35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33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35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localSheetId="33" hidden="1">{#N/A,#N/A,FALSE,"Global Wls Trend";#N/A,#N/A,FALSE,"Region Trend";#N/A,#N/A,FALSE,"PBU Trend"}</definedName>
    <definedName name="wrn.Month._.Report._.Package." localSheetId="35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Report._.Package." localSheetId="33" hidden="1">{#N/A,#N/A,FALSE,"Global by BU";#N/A,#N/A,FALSE,"U.S. by BU";#N/A,#N/A,FALSE,"Canada by BU";#N/A,#N/A,FALSE,"Europe by BU";#N/A,#N/A,FALSE,"Asia by BU";#N/A,#N/A,FALSE,"Cala by BU"}</definedName>
    <definedName name="wrn.Monthly._.Report._.Package." localSheetId="35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33" hidden="1">{#N/A,#N/A,FALSE,"F-01"}</definedName>
    <definedName name="wrn.Planiha._.de._.Medição._.F._.01." localSheetId="35" hidden="1">{#N/A,#N/A,FALSE,"F-01"}</definedName>
    <definedName name="wrn.Planiha._.de._.Medição._.F._.01." hidden="1">{#N/A,#N/A,FALSE,"F-01"}</definedName>
    <definedName name="wrn.Planiha._.de._.Medição._.F._.01._1" localSheetId="33" hidden="1">{#N/A,#N/A,FALSE,"F-01"}</definedName>
    <definedName name="wrn.Planiha._.de._.Medição._.F._.01._1" localSheetId="35" hidden="1">{#N/A,#N/A,FALSE,"F-01"}</definedName>
    <definedName name="wrn.Planiha._.de._.Medição._.F._.01._1" hidden="1">{#N/A,#N/A,FALSE,"F-01"}</definedName>
    <definedName name="wrn.Planilha_de_Medição_F_02" localSheetId="33" hidden="1">{#N/A,#N/A,FALSE,"F-01"}</definedName>
    <definedName name="wrn.Planilha_de_Medição_F_02" localSheetId="35" hidden="1">{#N/A,#N/A,FALSE,"F-01"}</definedName>
    <definedName name="wrn.Planilha_de_Medição_F_02" hidden="1">{#N/A,#N/A,FALSE,"F-01"}</definedName>
    <definedName name="wrn.print._.all." localSheetId="33" hidden="1">{#N/A,#N/A,FALSE,"$170M Cash";#N/A,#N/A,FALSE,"$250M Cash";#N/A,#N/A,FALSE,"$325M Cash"}</definedName>
    <definedName name="wrn.print._.all." localSheetId="35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All." localSheetId="33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35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33" hidden="1">{#N/A,#N/A,FALSE,"Sheet1";#N/A,#N/A,FALSE,"Sheet2";#N/A,#N/A,FALSE,"Sheet3"}</definedName>
    <definedName name="wrn.PrintCurr." localSheetId="35" hidden="1">{#N/A,#N/A,FALSE,"Sheet1";#N/A,#N/A,FALSE,"Sheet2";#N/A,#N/A,FALSE,"Sheet3"}</definedName>
    <definedName name="wrn.PrintCurr." hidden="1">{#N/A,#N/A,FALSE,"Sheet1";#N/A,#N/A,FALSE,"Sheet2";#N/A,#N/A,FALSE,"Sheet3"}</definedName>
    <definedName name="wrn.PrintPrev1." localSheetId="33" hidden="1">{#N/A,#N/A,FALSE,"Sheet4";#N/A,#N/A,FALSE,"Sheet5";#N/A,#N/A,FALSE,"Sheet6"}</definedName>
    <definedName name="wrn.PrintPrev1." localSheetId="35" hidden="1">{#N/A,#N/A,FALSE,"Sheet4";#N/A,#N/A,FALSE,"Sheet5";#N/A,#N/A,FALSE,"Sheet6"}</definedName>
    <definedName name="wrn.PrintPrev1." hidden="1">{#N/A,#N/A,FALSE,"Sheet4";#N/A,#N/A,FALSE,"Sheet5";#N/A,#N/A,FALSE,"Sheet6"}</definedName>
    <definedName name="wrn.PrintPrev2." localSheetId="33" hidden="1">{#N/A,#N/A,FALSE,"Sheet7";#N/A,#N/A,FALSE,"Sheet8";#N/A,#N/A,FALSE,"Sheet9"}</definedName>
    <definedName name="wrn.PrintPrev2." localSheetId="35" hidden="1">{#N/A,#N/A,FALSE,"Sheet7";#N/A,#N/A,FALSE,"Sheet8";#N/A,#N/A,FALSE,"Sheet9"}</definedName>
    <definedName name="wrn.PrintPrev2." hidden="1">{#N/A,#N/A,FALSE,"Sheet7";#N/A,#N/A,FALSE,"Sheet8";#N/A,#N/A,FALSE,"Sheet9"}</definedName>
    <definedName name="wrn.Quadros._.relatório." localSheetId="33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35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33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35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33" hidden="1">{#N/A,#N/A,FALSE,"TABLE"}</definedName>
    <definedName name="wrn.STAFFS." localSheetId="35" hidden="1">{#N/A,#N/A,FALSE,"TABLE"}</definedName>
    <definedName name="wrn.STAFFS." hidden="1">{#N/A,#N/A,FALSE,"TABLE"}</definedName>
    <definedName name="wrn.TERCEIRO." localSheetId="3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35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3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35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33" hidden="1">{#N/A,#N/A,FALSE,"명세표"}</definedName>
    <definedName name="wrn.test1." localSheetId="35" hidden="1">{#N/A,#N/A,FALSE,"명세표"}</definedName>
    <definedName name="wrn.test1." hidden="1">{#N/A,#N/A,FALSE,"명세표"}</definedName>
    <definedName name="wrn.Unidades." localSheetId="3" hidden="1">{"Rio Branco",#N/A,FALSE,"Rio Branco";"Itajaí",#N/A,FALSE,"Itajaí";"Pinheiro Machado",#N/A,FALSE,"PMachado";"Esteio",#N/A,FALSE,"Esteio"}</definedName>
    <definedName name="wrn.Unidades." localSheetId="33" hidden="1">{"Rio Branco",#N/A,FALSE,"Rio Branco";"Itajaí",#N/A,FALSE,"Itajaí";"Pinheiro Machado",#N/A,FALSE,"PMachado";"Esteio",#N/A,FALSE,"Esteio"}</definedName>
    <definedName name="wrn.Unidades." localSheetId="35" hidden="1">{"Rio Branco",#N/A,FALSE,"Rio Branco";"Itajaí",#N/A,FALSE,"Itajaí";"Pinheiro Machado",#N/A,FALSE,"PMachado";"Esteio",#N/A,FALSE,"Esteio"}</definedName>
    <definedName name="wrn.Unidades." hidden="1">{"Rio Branco",#N/A,FALSE,"Rio Branco";"Itajaí",#N/A,FALSE,"Itajaí";"Pinheiro Machado",#N/A,FALSE,"PMachado";"Esteio",#N/A,FALSE,"Esteio"}</definedName>
    <definedName name="wrn.VESSEL및N2._.구입사양서.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33" hidden="1">{#N/A,#N/A,FALSE,"Sheet1";#N/A,#N/A,FALSE,"Sheet2";#N/A,#N/A,FALSE,"TAB96-1"}</definedName>
    <definedName name="wrn.견적." localSheetId="35" hidden="1">{#N/A,#N/A,FALSE,"Sheet1";#N/A,#N/A,FALSE,"Sheet2";#N/A,#N/A,FALSE,"TAB96-1"}</definedName>
    <definedName name="wrn.견적." hidden="1">{#N/A,#N/A,FALSE,"Sheet1";#N/A,#N/A,FALSE,"Sheet2";#N/A,#N/A,FALSE,"TAB96-1"}</definedName>
    <definedName name="wrn.보호계전기." localSheetId="33" hidden="1">{#N/A,#N/A,FALSE,"ENG'G(보호계전기)"}</definedName>
    <definedName name="wrn.보호계전기." localSheetId="35" hidden="1">{#N/A,#N/A,FALSE,"ENG'G(보호계전기)"}</definedName>
    <definedName name="wrn.보호계전기." hidden="1">{#N/A,#N/A,FALSE,"ENG'G(보호계전기)"}</definedName>
    <definedName name="wrn.현장._.NCR._.분석." localSheetId="33" hidden="1">{#N/A,#N/A,FALSE,"현장 NCR 분석";#N/A,#N/A,FALSE,"현장품질감사";#N/A,#N/A,FALSE,"현장품질감사"}</definedName>
    <definedName name="wrn.현장._.NCR._.분석." localSheetId="35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1.Cons." localSheetId="3" hidden="1">{"EconCons",#N/A,TRUE,"Econômico - Consolidado";"CaixaCons",#N/A,TRUE,"Caixa - Consolidado";"InvestCons",#N/A,TRUE,"Invest Consolidado"}</definedName>
    <definedName name="wrn1.Cons." localSheetId="33" hidden="1">{"EconCons",#N/A,TRUE,"Econômico - Consolidado";"CaixaCons",#N/A,TRUE,"Caixa - Consolidado";"InvestCons",#N/A,TRUE,"Invest Consolidado"}</definedName>
    <definedName name="wrn1.Cons." localSheetId="35" hidden="1">{"EconCons",#N/A,TRUE,"Econômico - Consolidado";"CaixaCons",#N/A,TRUE,"Caixa - Consolidado";"InvestCons",#N/A,TRUE,"Invest Consolidado"}</definedName>
    <definedName name="wrn1.Cons." hidden="1">{"EconCons",#N/A,TRUE,"Econômico - Consolidado";"CaixaCons",#N/A,TRUE,"Caixa - Consolidado";"InvestCons",#N/A,TRUE,"Invest Consolidado"}</definedName>
    <definedName name="wrn1.print._.all." localSheetId="33" hidden="1">{#N/A,#N/A,FALSE,"$170M Cash";#N/A,#N/A,FALSE,"$250M Cash";#N/A,#N/A,FALSE,"$325M Cash"}</definedName>
    <definedName name="wrn1.print._.all." localSheetId="35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S" localSheetId="33" hidden="1">{"'장비'!$A$3:$M$12"}</definedName>
    <definedName name="WRS" localSheetId="35" hidden="1">{"'장비'!$A$3:$M$12"}</definedName>
    <definedName name="WRS" hidden="1">{"'장비'!$A$3:$M$12"}</definedName>
    <definedName name="wrt" localSheetId="33" hidden="1">{#N/A,#N/A,FALSE,"$170M Cash";#N/A,#N/A,FALSE,"$250M Cash";#N/A,#N/A,FALSE,"$325M Cash"}</definedName>
    <definedName name="wrt" localSheetId="35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vu.PLANILHA2.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3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35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12">#REF!</definedName>
    <definedName name="X" localSheetId="30">#REF!</definedName>
    <definedName name="X" localSheetId="28">#REF!</definedName>
    <definedName name="X" localSheetId="27">#REF!</definedName>
    <definedName name="X" localSheetId="21">#REF!</definedName>
    <definedName name="X" localSheetId="18">#REF!</definedName>
    <definedName name="X" localSheetId="7">#REF!</definedName>
    <definedName name="X" localSheetId="23">#REF!</definedName>
    <definedName name="X">#REF!</definedName>
    <definedName name="XALFA" localSheetId="12">#REF!</definedName>
    <definedName name="XALFA" localSheetId="30">#REF!</definedName>
    <definedName name="XALFA" localSheetId="28">#REF!</definedName>
    <definedName name="XALFA" localSheetId="27">#REF!</definedName>
    <definedName name="XALFA" localSheetId="18">#REF!</definedName>
    <definedName name="XALFA" localSheetId="7">#REF!</definedName>
    <definedName name="XALFA" localSheetId="23">#REF!</definedName>
    <definedName name="XALFA">#REF!</definedName>
    <definedName name="XC" localSheetId="12">#REF!</definedName>
    <definedName name="XC" localSheetId="30">#REF!</definedName>
    <definedName name="XC" localSheetId="28">#REF!</definedName>
    <definedName name="XC" localSheetId="27">#REF!</definedName>
    <definedName name="XC" localSheetId="21">#REF!</definedName>
    <definedName name="XC" localSheetId="18">#REF!</definedName>
    <definedName name="XC" localSheetId="7">#REF!</definedName>
    <definedName name="XC" localSheetId="23">#REF!</definedName>
    <definedName name="XC">#REF!</definedName>
    <definedName name="xcfrt" localSheetId="3" hidden="1">{#N/A,#N/A,FALSE,"Plan1";#N/A,#N/A,FALSE,"Plan2"}</definedName>
    <definedName name="xcfrt" localSheetId="33" hidden="1">{#N/A,#N/A,FALSE,"Plan1";#N/A,#N/A,FALSE,"Plan2"}</definedName>
    <definedName name="xcfrt" localSheetId="35" hidden="1">{#N/A,#N/A,FALSE,"Plan1";#N/A,#N/A,FALSE,"Plan2"}</definedName>
    <definedName name="xcfrt" hidden="1">{#N/A,#N/A,FALSE,"Plan1";#N/A,#N/A,FALSE,"Plan2"}</definedName>
    <definedName name="xcgjkfghf" localSheetId="3" hidden="1">{#N/A,#N/A,FALSE,"Plan1";#N/A,#N/A,FALSE,"Plan2"}</definedName>
    <definedName name="xcgjkfghf" localSheetId="33" hidden="1">{#N/A,#N/A,FALSE,"Plan1";#N/A,#N/A,FALSE,"Plan2"}</definedName>
    <definedName name="xcgjkfghf" localSheetId="35" hidden="1">{#N/A,#N/A,FALSE,"Plan1";#N/A,#N/A,FALSE,"Plan2"}</definedName>
    <definedName name="xcgjkfghf" hidden="1">{#N/A,#N/A,FALSE,"Plan1";#N/A,#N/A,FALSE,"Plan2"}</definedName>
    <definedName name="XCGJKVHFDG" localSheetId="3" hidden="1">{#N/A,#N/A,FALSE,"Plan1";#N/A,#N/A,FALSE,"Plan2"}</definedName>
    <definedName name="XCGJKVHFDG" localSheetId="33" hidden="1">{#N/A,#N/A,FALSE,"Plan1";#N/A,#N/A,FALSE,"Plan2"}</definedName>
    <definedName name="XCGJKVHFDG" localSheetId="35" hidden="1">{#N/A,#N/A,FALSE,"Plan1";#N/A,#N/A,FALSE,"Plan2"}</definedName>
    <definedName name="XCGJKVHFDG" hidden="1">{#N/A,#N/A,FALSE,"Plan1";#N/A,#N/A,FALSE,"Plan2"}</definedName>
    <definedName name="xcgtrty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 localSheetId="12">#REF!</definedName>
    <definedName name="XCI" localSheetId="30">#REF!</definedName>
    <definedName name="XCI" localSheetId="28">#REF!</definedName>
    <definedName name="XCI" localSheetId="27">#REF!</definedName>
    <definedName name="XCI" localSheetId="21">#REF!</definedName>
    <definedName name="XCI" localSheetId="18">#REF!</definedName>
    <definedName name="XCI" localSheetId="7">#REF!</definedName>
    <definedName name="XCI" localSheetId="23">#REF!</definedName>
    <definedName name="XCI">#REF!</definedName>
    <definedName name="XCII" localSheetId="12">#REF!</definedName>
    <definedName name="XCII" localSheetId="30">#REF!</definedName>
    <definedName name="XCII" localSheetId="28">#REF!</definedName>
    <definedName name="XCII" localSheetId="27">#REF!</definedName>
    <definedName name="XCII" localSheetId="21">#REF!</definedName>
    <definedName name="XCII" localSheetId="18">#REF!</definedName>
    <definedName name="XCII" localSheetId="7">#REF!</definedName>
    <definedName name="XCII" localSheetId="23">#REF!</definedName>
    <definedName name="XCII">#REF!</definedName>
    <definedName name="XCIII" localSheetId="12">#REF!</definedName>
    <definedName name="XCIII" localSheetId="30">#REF!</definedName>
    <definedName name="XCIII" localSheetId="28">#REF!</definedName>
    <definedName name="XCIII" localSheetId="27">#REF!</definedName>
    <definedName name="XCIII" localSheetId="21">#REF!</definedName>
    <definedName name="XCIII" localSheetId="18">#REF!</definedName>
    <definedName name="XCIII" localSheetId="7">#REF!</definedName>
    <definedName name="XCIII" localSheetId="23">#REF!</definedName>
    <definedName name="XCIII">#REF!</definedName>
    <definedName name="XCIV" localSheetId="12">#REF!</definedName>
    <definedName name="XCIV" localSheetId="30">#REF!</definedName>
    <definedName name="XCIV" localSheetId="28">#REF!</definedName>
    <definedName name="XCIV" localSheetId="27">#REF!</definedName>
    <definedName name="XCIV" localSheetId="21">#REF!</definedName>
    <definedName name="XCIV" localSheetId="18">#REF!</definedName>
    <definedName name="XCIV" localSheetId="7">#REF!</definedName>
    <definedName name="XCIV" localSheetId="23">#REF!</definedName>
    <definedName name="XCIV">#REF!</definedName>
    <definedName name="XCIX" localSheetId="12">#REF!</definedName>
    <definedName name="XCIX" localSheetId="30">#REF!</definedName>
    <definedName name="XCIX" localSheetId="28">#REF!</definedName>
    <definedName name="XCIX" localSheetId="27">#REF!</definedName>
    <definedName name="XCIX" localSheetId="21">#REF!</definedName>
    <definedName name="XCIX" localSheetId="18">#REF!</definedName>
    <definedName name="XCIX" localSheetId="7">#REF!</definedName>
    <definedName name="XCIX" localSheetId="23">#REF!</definedName>
    <definedName name="XCIX">#REF!</definedName>
    <definedName name="xçl" localSheetId="3" hidden="1">{#N/A,#N/A,FALSE,"Plan1";#N/A,#N/A,FALSE,"Plan2"}</definedName>
    <definedName name="xçl" localSheetId="33" hidden="1">{#N/A,#N/A,FALSE,"Plan1";#N/A,#N/A,FALSE,"Plan2"}</definedName>
    <definedName name="xçl" localSheetId="35" hidden="1">{#N/A,#N/A,FALSE,"Plan1";#N/A,#N/A,FALSE,"Plan2"}</definedName>
    <definedName name="xçl" hidden="1">{#N/A,#N/A,FALSE,"Plan1";#N/A,#N/A,FALSE,"Plan2"}</definedName>
    <definedName name="xcndj" localSheetId="3" hidden="1">{#N/A,#N/A,FALSE,"Plan1";#N/A,#N/A,FALSE,"Plan2"}</definedName>
    <definedName name="xcndj" localSheetId="33" hidden="1">{#N/A,#N/A,FALSE,"Plan1";#N/A,#N/A,FALSE,"Plan2"}</definedName>
    <definedName name="xcndj" localSheetId="35" hidden="1">{#N/A,#N/A,FALSE,"Plan1";#N/A,#N/A,FALSE,"Plan2"}</definedName>
    <definedName name="xcndj" hidden="1">{#N/A,#N/A,FALSE,"Plan1";#N/A,#N/A,FALSE,"Plan2"}</definedName>
    <definedName name="XCV" localSheetId="12">#REF!</definedName>
    <definedName name="XCV" localSheetId="30">#REF!</definedName>
    <definedName name="XCV" localSheetId="28">#REF!</definedName>
    <definedName name="XCV" localSheetId="27">#REF!</definedName>
    <definedName name="XCV" localSheetId="21">#REF!</definedName>
    <definedName name="XCV" localSheetId="18">#REF!</definedName>
    <definedName name="XCV" localSheetId="7">#REF!</definedName>
    <definedName name="XCV" localSheetId="23">#REF!</definedName>
    <definedName name="XCV">#REF!</definedName>
    <definedName name="XCVGGT" localSheetId="3" hidden="1">{#N/A,#N/A,FALSE,"Plan1";#N/A,#N/A,FALSE,"Plan2"}</definedName>
    <definedName name="XCVGGT" localSheetId="33" hidden="1">{#N/A,#N/A,FALSE,"Plan1";#N/A,#N/A,FALSE,"Plan2"}</definedName>
    <definedName name="XCVGGT" localSheetId="35" hidden="1">{#N/A,#N/A,FALSE,"Plan1";#N/A,#N/A,FALSE,"Plan2"}</definedName>
    <definedName name="XCVGGT" hidden="1">{#N/A,#N/A,FALSE,"Plan1";#N/A,#N/A,FALSE,"Plan2"}</definedName>
    <definedName name="XCVI" localSheetId="12">#REF!</definedName>
    <definedName name="XCVI" localSheetId="30">#REF!</definedName>
    <definedName name="XCVI" localSheetId="28">#REF!</definedName>
    <definedName name="XCVI" localSheetId="27">#REF!</definedName>
    <definedName name="XCVI" localSheetId="21">#REF!</definedName>
    <definedName name="XCVI" localSheetId="18">#REF!</definedName>
    <definedName name="XCVI" localSheetId="7">#REF!</definedName>
    <definedName name="XCVI" localSheetId="23">#REF!</definedName>
    <definedName name="XCVI">#REF!</definedName>
    <definedName name="XCVII" localSheetId="12">#REF!</definedName>
    <definedName name="XCVII" localSheetId="30">#REF!</definedName>
    <definedName name="XCVII" localSheetId="28">#REF!</definedName>
    <definedName name="XCVII" localSheetId="27">#REF!</definedName>
    <definedName name="XCVII" localSheetId="21">#REF!</definedName>
    <definedName name="XCVII" localSheetId="18">#REF!</definedName>
    <definedName name="XCVII" localSheetId="7">#REF!</definedName>
    <definedName name="XCVII" localSheetId="23">#REF!</definedName>
    <definedName name="XCVII">#REF!</definedName>
    <definedName name="XCVIII" localSheetId="12">#REF!</definedName>
    <definedName name="XCVIII" localSheetId="30">#REF!</definedName>
    <definedName name="XCVIII" localSheetId="28">#REF!</definedName>
    <definedName name="XCVIII" localSheetId="27">#REF!</definedName>
    <definedName name="XCVIII" localSheetId="21">#REF!</definedName>
    <definedName name="XCVIII" localSheetId="18">#REF!</definedName>
    <definedName name="XCVIII" localSheetId="7">#REF!</definedName>
    <definedName name="XCVIII" localSheetId="23">#REF!</definedName>
    <definedName name="XCVIII">#REF!</definedName>
    <definedName name="xcvrg" localSheetId="3" hidden="1">{#N/A,#N/A,FALSE,"Plan1";#N/A,#N/A,FALSE,"Plan2"}</definedName>
    <definedName name="xcvrg" localSheetId="33" hidden="1">{#N/A,#N/A,FALSE,"Plan1";#N/A,#N/A,FALSE,"Plan2"}</definedName>
    <definedName name="xcvrg" localSheetId="35" hidden="1">{#N/A,#N/A,FALSE,"Plan1";#N/A,#N/A,FALSE,"Plan2"}</definedName>
    <definedName name="xcvrg" hidden="1">{#N/A,#N/A,FALSE,"Plan1";#N/A,#N/A,FALSE,"Plan2"}</definedName>
    <definedName name="XDATA" localSheetId="12">#REF!</definedName>
    <definedName name="XDATA" localSheetId="30">#REF!</definedName>
    <definedName name="XDATA" localSheetId="28">#REF!</definedName>
    <definedName name="XDATA" localSheetId="27">#REF!</definedName>
    <definedName name="XDATA" localSheetId="18">#REF!</definedName>
    <definedName name="XDATA" localSheetId="7">#REF!</definedName>
    <definedName name="XDATA" localSheetId="23">#REF!</definedName>
    <definedName name="XDATA">#REF!</definedName>
    <definedName name="xdfef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3" hidden="1">{#N/A,#N/A,FALSE,"Plan1";#N/A,#N/A,FALSE,"Plan2"}</definedName>
    <definedName name="xdgtyhyt" localSheetId="33" hidden="1">{#N/A,#N/A,FALSE,"Plan1";#N/A,#N/A,FALSE,"Plan2"}</definedName>
    <definedName name="xdgtyhyt" localSheetId="35" hidden="1">{#N/A,#N/A,FALSE,"Plan1";#N/A,#N/A,FALSE,"Plan2"}</definedName>
    <definedName name="xdgtyhyt" hidden="1">{#N/A,#N/A,FALSE,"Plan1";#N/A,#N/A,FALSE,"Plan2"}</definedName>
    <definedName name="xfdlfj" localSheetId="3" hidden="1">{#N/A,#N/A,FALSE,"Plan1";#N/A,#N/A,FALSE,"Plan2"}</definedName>
    <definedName name="xfdlfj" localSheetId="33" hidden="1">{#N/A,#N/A,FALSE,"Plan1";#N/A,#N/A,FALSE,"Plan2"}</definedName>
    <definedName name="xfdlfj" localSheetId="35" hidden="1">{#N/A,#N/A,FALSE,"Plan1";#N/A,#N/A,FALSE,"Plan2"}</definedName>
    <definedName name="xfdlfj" hidden="1">{#N/A,#N/A,FALSE,"Plan1";#N/A,#N/A,FALSE,"Plan2"}</definedName>
    <definedName name="xfdxfdf" localSheetId="3" hidden="1">{#N/A,#N/A,FALSE,"Plan1";#N/A,#N/A,FALSE,"Plan2"}</definedName>
    <definedName name="xfdxfdf" localSheetId="33" hidden="1">{#N/A,#N/A,FALSE,"Plan1";#N/A,#N/A,FALSE,"Plan2"}</definedName>
    <definedName name="xfdxfdf" localSheetId="35" hidden="1">{#N/A,#N/A,FALSE,"Plan1";#N/A,#N/A,FALSE,"Plan2"}</definedName>
    <definedName name="xfdxfdf" hidden="1">{#N/A,#N/A,FALSE,"Plan1";#N/A,#N/A,FALSE,"Plan2"}</definedName>
    <definedName name="XFJKLDJKLG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3" hidden="1">{#N/A,#N/A,FALSE,"Plan1";#N/A,#N/A,FALSE,"Plan2"}</definedName>
    <definedName name="xfrty" localSheetId="33" hidden="1">{#N/A,#N/A,FALSE,"Plan1";#N/A,#N/A,FALSE,"Plan2"}</definedName>
    <definedName name="xfrty" localSheetId="35" hidden="1">{#N/A,#N/A,FALSE,"Plan1";#N/A,#N/A,FALSE,"Plan2"}</definedName>
    <definedName name="xfrty" hidden="1">{#N/A,#N/A,FALSE,"Plan1";#N/A,#N/A,FALSE,"Plan2"}</definedName>
    <definedName name="XF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3" hidden="1">{"Econ Consolidado",#N/A,FALSE,"Econ Consol";"Fluxo de Caixa",#N/A,FALSE,"Fluxo Caixa";"Investimentos",#N/A,FALSE,"Investimentos"}</definedName>
    <definedName name="xfvchdhhd" localSheetId="33" hidden="1">{"Econ Consolidado",#N/A,FALSE,"Econ Consol";"Fluxo de Caixa",#N/A,FALSE,"Fluxo Caixa";"Investimentos",#N/A,FALSE,"Investimentos"}</definedName>
    <definedName name="xfvchdhhd" localSheetId="35" hidden="1">{"Econ Consolidado",#N/A,FALSE,"Econ Consol";"Fluxo de Caixa",#N/A,FALSE,"Fluxo Caixa";"Investimentos",#N/A,FALSE,"Investimentos"}</definedName>
    <definedName name="xfvchdhhd" hidden="1">{"Econ Consolidado",#N/A,FALSE,"Econ Consol";"Fluxo de Caixa",#N/A,FALSE,"Fluxo Caixa";"Investimentos",#N/A,FALSE,"Investimentos"}</definedName>
    <definedName name="xfvgcfgt" localSheetId="3" hidden="1">{#N/A,#N/A,FALSE,"Plan1";#N/A,#N/A,FALSE,"Plan2"}</definedName>
    <definedName name="xfvgcfgt" localSheetId="33" hidden="1">{#N/A,#N/A,FALSE,"Plan1";#N/A,#N/A,FALSE,"Plan2"}</definedName>
    <definedName name="xfvgcfgt" localSheetId="35" hidden="1">{#N/A,#N/A,FALSE,"Plan1";#N/A,#N/A,FALSE,"Plan2"}</definedName>
    <definedName name="xfvgcfgt" hidden="1">{#N/A,#N/A,FALSE,"Plan1";#N/A,#N/A,FALSE,"Plan2"}</definedName>
    <definedName name="xgrg" localSheetId="3" hidden="1">{#N/A,#N/A,FALSE,"Plan1";#N/A,#N/A,FALSE,"Plan2"}</definedName>
    <definedName name="xgrg" localSheetId="33" hidden="1">{#N/A,#N/A,FALSE,"Plan1";#N/A,#N/A,FALSE,"Plan2"}</definedName>
    <definedName name="xgrg" localSheetId="35" hidden="1">{#N/A,#N/A,FALSE,"Plan1";#N/A,#N/A,FALSE,"Plan2"}</definedName>
    <definedName name="xgrg" hidden="1">{#N/A,#N/A,FALSE,"Plan1";#N/A,#N/A,FALSE,"Plan2"}</definedName>
    <definedName name="XI" localSheetId="12">#REF!</definedName>
    <definedName name="XI" localSheetId="30">#REF!</definedName>
    <definedName name="XI" localSheetId="28">#REF!</definedName>
    <definedName name="XI" localSheetId="27">#REF!</definedName>
    <definedName name="XI" localSheetId="21">#REF!</definedName>
    <definedName name="XI" localSheetId="18">#REF!</definedName>
    <definedName name="XI" localSheetId="7">#REF!</definedName>
    <definedName name="XI" localSheetId="23">#REF!</definedName>
    <definedName name="XI">#REF!</definedName>
    <definedName name="XII" localSheetId="12">#REF!</definedName>
    <definedName name="XII" localSheetId="30">#REF!</definedName>
    <definedName name="XII" localSheetId="28">#REF!</definedName>
    <definedName name="XII" localSheetId="27">#REF!</definedName>
    <definedName name="XII" localSheetId="21">#REF!</definedName>
    <definedName name="XII" localSheetId="18">#REF!</definedName>
    <definedName name="XII" localSheetId="7">#REF!</definedName>
    <definedName name="XII" localSheetId="23">#REF!</definedName>
    <definedName name="XII">#REF!</definedName>
    <definedName name="XIII" localSheetId="12">#REF!</definedName>
    <definedName name="XIII" localSheetId="30">#REF!</definedName>
    <definedName name="XIII" localSheetId="28">#REF!</definedName>
    <definedName name="XIII" localSheetId="27">#REF!</definedName>
    <definedName name="XIII" localSheetId="21">#REF!</definedName>
    <definedName name="XIII" localSheetId="18">#REF!</definedName>
    <definedName name="XIII" localSheetId="7">#REF!</definedName>
    <definedName name="XIII" localSheetId="23">#REF!</definedName>
    <definedName name="XIII">#REF!</definedName>
    <definedName name="XITEM" localSheetId="12">#REF!</definedName>
    <definedName name="XITEM" localSheetId="30">#REF!</definedName>
    <definedName name="XITEM" localSheetId="28">#REF!</definedName>
    <definedName name="XITEM" localSheetId="27">#REF!</definedName>
    <definedName name="XITEM" localSheetId="18">#REF!</definedName>
    <definedName name="XITEM" localSheetId="7">#REF!</definedName>
    <definedName name="XITEM" localSheetId="23">#REF!</definedName>
    <definedName name="XITEM">#REF!</definedName>
    <definedName name="XIV" localSheetId="12">#REF!</definedName>
    <definedName name="XIV" localSheetId="30">#REF!</definedName>
    <definedName name="XIV" localSheetId="28">#REF!</definedName>
    <definedName name="XIV" localSheetId="27">#REF!</definedName>
    <definedName name="XIV" localSheetId="21">#REF!</definedName>
    <definedName name="XIV" localSheetId="18">#REF!</definedName>
    <definedName name="XIV" localSheetId="7">#REF!</definedName>
    <definedName name="XIV" localSheetId="23">#REF!</definedName>
    <definedName name="XIV">#REF!</definedName>
    <definedName name="XLOC" localSheetId="12">#REF!</definedName>
    <definedName name="XLOC" localSheetId="30">#REF!</definedName>
    <definedName name="XLOC" localSheetId="28">#REF!</definedName>
    <definedName name="XLOC" localSheetId="27">#REF!</definedName>
    <definedName name="XLOC" localSheetId="18">#REF!</definedName>
    <definedName name="XLOC" localSheetId="7">#REF!</definedName>
    <definedName name="XLOC" localSheetId="23">#REF!</definedName>
    <definedName name="XLOC">#REF!</definedName>
    <definedName name="xmght" localSheetId="3" hidden="1">{#N/A,#N/A,FALSE,"Plan1";#N/A,#N/A,FALSE,"Plan2"}</definedName>
    <definedName name="xmght" localSheetId="33" hidden="1">{#N/A,#N/A,FALSE,"Plan1";#N/A,#N/A,FALSE,"Plan2"}</definedName>
    <definedName name="xmght" localSheetId="35" hidden="1">{#N/A,#N/A,FALSE,"Plan1";#N/A,#N/A,FALSE,"Plan2"}</definedName>
    <definedName name="xmght" hidden="1">{#N/A,#N/A,FALSE,"Plan1";#N/A,#N/A,FALSE,"Plan2"}</definedName>
    <definedName name="xnInforme_quantos_bebedouros____bebqt__if_bebqt__0__xlQt.bebedouros_invalida___ENTER_p_reinformar__xresp__branch_rqtderv" localSheetId="12">#REF!</definedName>
    <definedName name="xnInforme_quantos_bebedouros____bebqt__if_bebqt__0__xlQt.bebedouros_invalida___ENTER_p_reinformar__xresp__branch_rqtderv" localSheetId="30">#REF!</definedName>
    <definedName name="xnInforme_quantos_bebedouros____bebqt__if_bebqt__0__xlQt.bebedouros_invalida___ENTER_p_reinformar__xresp__branch_rqtderv" localSheetId="28">#REF!</definedName>
    <definedName name="xnInforme_quantos_bebedouros____bebqt__if_bebqt__0__xlQt.bebedouros_invalida___ENTER_p_reinformar__xresp__branch_rqtderv" localSheetId="27">#REF!</definedName>
    <definedName name="xnInforme_quantos_bebedouros____bebqt__if_bebqt__0__xlQt.bebedouros_invalida___ENTER_p_reinformar__xresp__branch_rqtderv" localSheetId="18">#REF!</definedName>
    <definedName name="xnInforme_quantos_bebedouros____bebqt__if_bebqt__0__xlQt.bebedouros_invalida___ENTER_p_reinformar__xresp__branch_rqtderv" localSheetId="7">#REF!</definedName>
    <definedName name="xnInforme_quantos_bebedouros____bebqt__if_bebqt__0__xlQt.bebedouros_invalida___ENTER_p_reinformar__xresp__branch_rqtderv" localSheetId="23">#REF!</definedName>
    <definedName name="xnInforme_quantos_bebedouros____bebqt__if_bebqt__0__xlQt.bebedouros_invalida___ENTER_p_reinformar__xresp__branch_rqtderv">#REF!</definedName>
    <definedName name="XNUCOPIAS" localSheetId="12">#REF!</definedName>
    <definedName name="XNUCOPIAS" localSheetId="30">#REF!</definedName>
    <definedName name="XNUCOPIAS" localSheetId="28">#REF!</definedName>
    <definedName name="XNUCOPIAS" localSheetId="27">#REF!</definedName>
    <definedName name="XNUCOPIAS" localSheetId="18">#REF!</definedName>
    <definedName name="XNUCOPIAS" localSheetId="7">#REF!</definedName>
    <definedName name="XNUCOPIAS" localSheetId="23">#REF!</definedName>
    <definedName name="XNUCOPIAS">#REF!</definedName>
    <definedName name="xo" localSheetId="33" hidden="1">{#N/A,#N/A,FALSE,"Global by BU";#N/A,#N/A,FALSE,"U.S. by BU";#N/A,#N/A,FALSE,"Canada by BU";#N/A,#N/A,FALSE,"Europe by BU";#N/A,#N/A,FALSE,"Asia by BU";#N/A,#N/A,FALSE,"Cala by BU"}</definedName>
    <definedName name="xo" localSheetId="35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localSheetId="12" hidden="1">#REF!</definedName>
    <definedName name="XREF_COLUMN_1" localSheetId="30" hidden="1">#REF!</definedName>
    <definedName name="XREF_COLUMN_1" localSheetId="28" hidden="1">#REF!</definedName>
    <definedName name="XREF_COLUMN_1" localSheetId="27" hidden="1">#REF!</definedName>
    <definedName name="XREF_COLUMN_1" localSheetId="18" hidden="1">#REF!</definedName>
    <definedName name="XREF_COLUMN_1" localSheetId="7" hidden="1">#REF!</definedName>
    <definedName name="XREF_COLUMN_1" localSheetId="23" hidden="1">#REF!</definedName>
    <definedName name="XREF_COLUMN_1" hidden="1">#REF!</definedName>
    <definedName name="XREF_COLUMN_2" localSheetId="12" hidden="1">#REF!</definedName>
    <definedName name="XREF_COLUMN_2" localSheetId="30" hidden="1">#REF!</definedName>
    <definedName name="XREF_COLUMN_2" localSheetId="28" hidden="1">#REF!</definedName>
    <definedName name="XREF_COLUMN_2" localSheetId="27" hidden="1">#REF!</definedName>
    <definedName name="XREF_COLUMN_2" localSheetId="18" hidden="1">#REF!</definedName>
    <definedName name="XREF_COLUMN_2" localSheetId="7" hidden="1">#REF!</definedName>
    <definedName name="XREF_COLUMN_2" localSheetId="23" hidden="1">#REF!</definedName>
    <definedName name="XREF_COLUMN_2" hidden="1">#REF!</definedName>
    <definedName name="XREF_COLUMN_3" localSheetId="3" hidden="1">#REF!</definedName>
    <definedName name="XREF_COLUMN_3" localSheetId="12" hidden="1">#REF!</definedName>
    <definedName name="XREF_COLUMN_3" localSheetId="30" hidden="1">#REF!</definedName>
    <definedName name="XREF_COLUMN_3" localSheetId="28" hidden="1">#REF!</definedName>
    <definedName name="XREF_COLUMN_3" localSheetId="27" hidden="1">#REF!</definedName>
    <definedName name="XREF_COLUMN_3" localSheetId="18" hidden="1">#REF!</definedName>
    <definedName name="XREF_COLUMN_3" localSheetId="7" hidden="1">#REF!</definedName>
    <definedName name="XREF_COLUMN_3" localSheetId="23" hidden="1">#REF!</definedName>
    <definedName name="XREF_COLUMN_3" hidden="1">#REF!</definedName>
    <definedName name="XREF_COLUMN_4" localSheetId="3" hidden="1">#REF!</definedName>
    <definedName name="XREF_COLUMN_4" localSheetId="12" hidden="1">#REF!</definedName>
    <definedName name="XREF_COLUMN_4" localSheetId="30" hidden="1">#REF!</definedName>
    <definedName name="XREF_COLUMN_4" localSheetId="28" hidden="1">#REF!</definedName>
    <definedName name="XREF_COLUMN_4" localSheetId="27" hidden="1">#REF!</definedName>
    <definedName name="XREF_COLUMN_4" localSheetId="18" hidden="1">#REF!</definedName>
    <definedName name="XREF_COLUMN_4" localSheetId="7" hidden="1">#REF!</definedName>
    <definedName name="XREF_COLUMN_4" localSheetId="23" hidden="1">#REF!</definedName>
    <definedName name="XREF_COLUMN_4" hidden="1">#REF!</definedName>
    <definedName name="XRefColumnsCount" hidden="1">1</definedName>
    <definedName name="XRefCopy2" localSheetId="3" hidden="1">#REF!</definedName>
    <definedName name="XRefCopy2" localSheetId="12" hidden="1">#REF!</definedName>
    <definedName name="XRefCopy2" localSheetId="30" hidden="1">#REF!</definedName>
    <definedName name="XRefCopy2" localSheetId="28" hidden="1">#REF!</definedName>
    <definedName name="XRefCopy2" localSheetId="27" hidden="1">#REF!</definedName>
    <definedName name="XRefCopy2" localSheetId="18" hidden="1">#REF!</definedName>
    <definedName name="XRefCopy2" localSheetId="7" hidden="1">#REF!</definedName>
    <definedName name="XRefCopy2" localSheetId="23" hidden="1">#REF!</definedName>
    <definedName name="XRefCopy2" hidden="1">#REF!</definedName>
    <definedName name="XRefCopy3Row" localSheetId="3" hidden="1">#REF!</definedName>
    <definedName name="XRefCopy3Row" localSheetId="12" hidden="1">#REF!</definedName>
    <definedName name="XRefCopy3Row" localSheetId="30" hidden="1">#REF!</definedName>
    <definedName name="XRefCopy3Row" localSheetId="28" hidden="1">#REF!</definedName>
    <definedName name="XRefCopy3Row" localSheetId="27" hidden="1">#REF!</definedName>
    <definedName name="XRefCopy3Row" localSheetId="18" hidden="1">#REF!</definedName>
    <definedName name="XRefCopy3Row" localSheetId="7" hidden="1">#REF!</definedName>
    <definedName name="XRefCopy3Row" localSheetId="23" hidden="1">#REF!</definedName>
    <definedName name="XRefCopy3Row" hidden="1">#REF!</definedName>
    <definedName name="XRefCopy4Row" localSheetId="12" hidden="1">#REF!</definedName>
    <definedName name="XRefCopy4Row" localSheetId="30" hidden="1">#REF!</definedName>
    <definedName name="XRefCopy4Row" localSheetId="28" hidden="1">#REF!</definedName>
    <definedName name="XRefCopy4Row" localSheetId="27" hidden="1">#REF!</definedName>
    <definedName name="XRefCopy4Row" localSheetId="18" hidden="1">#REF!</definedName>
    <definedName name="XRefCopy4Row" localSheetId="7" hidden="1">#REF!</definedName>
    <definedName name="XRefCopy4Row" localSheetId="23" hidden="1">#REF!</definedName>
    <definedName name="XRefCopy4Row" hidden="1">#REF!</definedName>
    <definedName name="XRefCopy6" localSheetId="12" hidden="1">#REF!</definedName>
    <definedName name="XRefCopy6" localSheetId="30" hidden="1">#REF!</definedName>
    <definedName name="XRefCopy6" localSheetId="28" hidden="1">#REF!</definedName>
    <definedName name="XRefCopy6" localSheetId="27" hidden="1">#REF!</definedName>
    <definedName name="XRefCopy6" localSheetId="18" hidden="1">#REF!</definedName>
    <definedName name="XRefCopy6" localSheetId="7" hidden="1">#REF!</definedName>
    <definedName name="XRefCopy6" localSheetId="23" hidden="1">#REF!</definedName>
    <definedName name="XRefCopy6" hidden="1">#REF!</definedName>
    <definedName name="XRefCopyRangeCount" hidden="1">1</definedName>
    <definedName name="XRefPaste2" localSheetId="3" hidden="1">#REF!</definedName>
    <definedName name="XRefPaste2" localSheetId="12" hidden="1">#REF!</definedName>
    <definedName name="XRefPaste2" localSheetId="30" hidden="1">#REF!</definedName>
    <definedName name="XRefPaste2" localSheetId="28" hidden="1">#REF!</definedName>
    <definedName name="XRefPaste2" localSheetId="27" hidden="1">#REF!</definedName>
    <definedName name="XRefPaste2" localSheetId="18" hidden="1">#REF!</definedName>
    <definedName name="XRefPaste2" localSheetId="7" hidden="1">#REF!</definedName>
    <definedName name="XRefPaste2" localSheetId="23" hidden="1">#REF!</definedName>
    <definedName name="XRefPaste2" hidden="1">#REF!</definedName>
    <definedName name="XRefPaste4" localSheetId="12" hidden="1">#REF!</definedName>
    <definedName name="XRefPaste4" localSheetId="30" hidden="1">#REF!</definedName>
    <definedName name="XRefPaste4" localSheetId="28" hidden="1">#REF!</definedName>
    <definedName name="XRefPaste4" localSheetId="27" hidden="1">#REF!</definedName>
    <definedName name="XRefPaste4" localSheetId="18" hidden="1">#REF!</definedName>
    <definedName name="XRefPaste4" localSheetId="7" hidden="1">#REF!</definedName>
    <definedName name="XRefPaste4" localSheetId="23" hidden="1">#REF!</definedName>
    <definedName name="XRefPaste4" hidden="1">#REF!</definedName>
    <definedName name="XRefPaste5" localSheetId="12" hidden="1">#REF!</definedName>
    <definedName name="XRefPaste5" localSheetId="30" hidden="1">#REF!</definedName>
    <definedName name="XRefPaste5" localSheetId="28" hidden="1">#REF!</definedName>
    <definedName name="XRefPaste5" localSheetId="27" hidden="1">#REF!</definedName>
    <definedName name="XRefPaste5" localSheetId="18" hidden="1">#REF!</definedName>
    <definedName name="XRefPaste5" localSheetId="7" hidden="1">#REF!</definedName>
    <definedName name="XRefPaste5" localSheetId="23" hidden="1">#REF!</definedName>
    <definedName name="XRefPaste5" hidden="1">#REF!</definedName>
    <definedName name="XRefPaste6" localSheetId="12" hidden="1">#REF!</definedName>
    <definedName name="XRefPaste6" localSheetId="30" hidden="1">#REF!</definedName>
    <definedName name="XRefPaste6" localSheetId="28" hidden="1">#REF!</definedName>
    <definedName name="XRefPaste6" localSheetId="27" hidden="1">#REF!</definedName>
    <definedName name="XRefPaste6" localSheetId="18" hidden="1">#REF!</definedName>
    <definedName name="XRefPaste6" localSheetId="7" hidden="1">#REF!</definedName>
    <definedName name="XRefPaste6" localSheetId="23" hidden="1">#REF!</definedName>
    <definedName name="XRefPaste6" hidden="1">#REF!</definedName>
    <definedName name="XRefPaste7Row" localSheetId="12" hidden="1">#REF!</definedName>
    <definedName name="XRefPaste7Row" localSheetId="30" hidden="1">#REF!</definedName>
    <definedName name="XRefPaste7Row" localSheetId="28" hidden="1">#REF!</definedName>
    <definedName name="XRefPaste7Row" localSheetId="27" hidden="1">#REF!</definedName>
    <definedName name="XRefPaste7Row" localSheetId="18" hidden="1">#REF!</definedName>
    <definedName name="XRefPaste7Row" localSheetId="7" hidden="1">#REF!</definedName>
    <definedName name="XRefPaste7Row" localSheetId="23" hidden="1">#REF!</definedName>
    <definedName name="XRefPaste7Row" hidden="1">#REF!</definedName>
    <definedName name="XRefPasteRangeCount" hidden="1">1</definedName>
    <definedName name="XRESP" localSheetId="12">#REF!</definedName>
    <definedName name="XRESP" localSheetId="30">#REF!</definedName>
    <definedName name="XRESP" localSheetId="28">#REF!</definedName>
    <definedName name="XRESP" localSheetId="27">#REF!</definedName>
    <definedName name="XRESP" localSheetId="18">#REF!</definedName>
    <definedName name="XRESP" localSheetId="7">#REF!</definedName>
    <definedName name="XRESP" localSheetId="23">#REF!</definedName>
    <definedName name="XRESP">#REF!</definedName>
    <definedName name="XTITRES" localSheetId="12">#REF!</definedName>
    <definedName name="XTITRES" localSheetId="30">#REF!</definedName>
    <definedName name="XTITRES" localSheetId="28">#REF!</definedName>
    <definedName name="XTITRES" localSheetId="27">#REF!</definedName>
    <definedName name="XTITRES" localSheetId="18">#REF!</definedName>
    <definedName name="XTITRES" localSheetId="7">#REF!</definedName>
    <definedName name="XTITRES" localSheetId="23">#REF!</definedName>
    <definedName name="XTITRES">#REF!</definedName>
    <definedName name="XV" localSheetId="12">#REF!</definedName>
    <definedName name="XV" localSheetId="30">#REF!</definedName>
    <definedName name="XV" localSheetId="28">#REF!</definedName>
    <definedName name="XV" localSheetId="27">#REF!</definedName>
    <definedName name="XV" localSheetId="21">#REF!</definedName>
    <definedName name="XV" localSheetId="18">#REF!</definedName>
    <definedName name="XV" localSheetId="7">#REF!</definedName>
    <definedName name="XV" localSheetId="23">#REF!</definedName>
    <definedName name="XV">#REF!</definedName>
    <definedName name="XX" localSheetId="12">#REF!</definedName>
    <definedName name="XX" localSheetId="30">#REF!</definedName>
    <definedName name="XX" localSheetId="28">#REF!</definedName>
    <definedName name="XX" localSheetId="27">#REF!</definedName>
    <definedName name="XX" localSheetId="21">#REF!</definedName>
    <definedName name="XX" localSheetId="18">#REF!</definedName>
    <definedName name="xx" localSheetId="35" hidden="1">#REF!</definedName>
    <definedName name="XX" localSheetId="7">#REF!</definedName>
    <definedName name="XX" localSheetId="23">#REF!</definedName>
    <definedName name="XX">#REF!</definedName>
    <definedName name="XXI" localSheetId="12">#REF!</definedName>
    <definedName name="XXI" localSheetId="30">#REF!</definedName>
    <definedName name="XXI" localSheetId="28">#REF!</definedName>
    <definedName name="XXI" localSheetId="27">#REF!</definedName>
    <definedName name="XXI" localSheetId="21">#REF!</definedName>
    <definedName name="XXI" localSheetId="18">#REF!</definedName>
    <definedName name="XXI" localSheetId="7">#REF!</definedName>
    <definedName name="XXI" localSheetId="23">#REF!</definedName>
    <definedName name="XXI">#REF!</definedName>
    <definedName name="XXII" localSheetId="12">#REF!</definedName>
    <definedName name="XXII" localSheetId="30">#REF!</definedName>
    <definedName name="XXII" localSheetId="28">#REF!</definedName>
    <definedName name="XXII" localSheetId="27">#REF!</definedName>
    <definedName name="XXII" localSheetId="21">#REF!</definedName>
    <definedName name="XXII" localSheetId="18">#REF!</definedName>
    <definedName name="XXII" localSheetId="7">#REF!</definedName>
    <definedName name="XXII" localSheetId="23">#REF!</definedName>
    <definedName name="XXII">#REF!</definedName>
    <definedName name="XXIII" localSheetId="12">#REF!</definedName>
    <definedName name="XXIII" localSheetId="30">#REF!</definedName>
    <definedName name="XXIII" localSheetId="28">#REF!</definedName>
    <definedName name="XXIII" localSheetId="27">#REF!</definedName>
    <definedName name="XXIII" localSheetId="21">#REF!</definedName>
    <definedName name="XXIII" localSheetId="18">#REF!</definedName>
    <definedName name="XXIII" localSheetId="7">#REF!</definedName>
    <definedName name="XXIII" localSheetId="23">#REF!</definedName>
    <definedName name="XXIII">#REF!</definedName>
    <definedName name="XXIV" localSheetId="12">#REF!</definedName>
    <definedName name="XXIV" localSheetId="30">#REF!</definedName>
    <definedName name="XXIV" localSheetId="28">#REF!</definedName>
    <definedName name="XXIV" localSheetId="27">#REF!</definedName>
    <definedName name="XXIV" localSheetId="21">#REF!</definedName>
    <definedName name="XXIV" localSheetId="18">#REF!</definedName>
    <definedName name="XXIV" localSheetId="7">#REF!</definedName>
    <definedName name="XXIV" localSheetId="23">#REF!</definedName>
    <definedName name="XXIV">#REF!</definedName>
    <definedName name="XXV" localSheetId="12">#REF!</definedName>
    <definedName name="XXV" localSheetId="30">#REF!</definedName>
    <definedName name="XXV" localSheetId="28">#REF!</definedName>
    <definedName name="XXV" localSheetId="27">#REF!</definedName>
    <definedName name="XXV" localSheetId="21">#REF!</definedName>
    <definedName name="XXV" localSheetId="18">#REF!</definedName>
    <definedName name="XXV" localSheetId="7">#REF!</definedName>
    <definedName name="XXV" localSheetId="23">#REF!</definedName>
    <definedName name="XXV">#REF!</definedName>
    <definedName name="XXX" localSheetId="12">#REF!</definedName>
    <definedName name="XXX" localSheetId="30">#REF!</definedName>
    <definedName name="XXX" localSheetId="28">#REF!</definedName>
    <definedName name="XXX" localSheetId="27">#REF!</definedName>
    <definedName name="XXX" localSheetId="21">#REF!</definedName>
    <definedName name="XXX" localSheetId="18">#REF!</definedName>
    <definedName name="xxx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7">#REF!</definedName>
    <definedName name="XXX" localSheetId="23">#REF!</definedName>
    <definedName name="XXX">#REF!</definedName>
    <definedName name="XXXI" localSheetId="12">#REF!</definedName>
    <definedName name="XXXI" localSheetId="30">#REF!</definedName>
    <definedName name="XXXI" localSheetId="28">#REF!</definedName>
    <definedName name="XXXI" localSheetId="27">#REF!</definedName>
    <definedName name="XXXI" localSheetId="21">#REF!</definedName>
    <definedName name="XXXI" localSheetId="18">#REF!</definedName>
    <definedName name="XXXI" localSheetId="7">#REF!</definedName>
    <definedName name="XXXI" localSheetId="23">#REF!</definedName>
    <definedName name="XXXI">#REF!</definedName>
    <definedName name="XXXII" localSheetId="12">#REF!</definedName>
    <definedName name="XXXII" localSheetId="30">#REF!</definedName>
    <definedName name="XXXII" localSheetId="28">#REF!</definedName>
    <definedName name="XXXII" localSheetId="27">#REF!</definedName>
    <definedName name="XXXII" localSheetId="21">#REF!</definedName>
    <definedName name="XXXII" localSheetId="18">#REF!</definedName>
    <definedName name="XXXII" localSheetId="7">#REF!</definedName>
    <definedName name="XXXII" localSheetId="23">#REF!</definedName>
    <definedName name="XXXII">#REF!</definedName>
    <definedName name="XXXIII" localSheetId="12">#REF!</definedName>
    <definedName name="XXXIII" localSheetId="30">#REF!</definedName>
    <definedName name="XXXIII" localSheetId="28">#REF!</definedName>
    <definedName name="XXXIII" localSheetId="27">#REF!</definedName>
    <definedName name="XXXIII" localSheetId="21">#REF!</definedName>
    <definedName name="XXXIII" localSheetId="18">#REF!</definedName>
    <definedName name="XXXIII" localSheetId="7">#REF!</definedName>
    <definedName name="XXXIII" localSheetId="23">#REF!</definedName>
    <definedName name="XXXIII">#REF!</definedName>
    <definedName name="XXXIV" localSheetId="12">#REF!</definedName>
    <definedName name="XXXIV" localSheetId="30">#REF!</definedName>
    <definedName name="XXXIV" localSheetId="28">#REF!</definedName>
    <definedName name="XXXIV" localSheetId="27">#REF!</definedName>
    <definedName name="XXXIV" localSheetId="21">#REF!</definedName>
    <definedName name="XXXIV" localSheetId="18">#REF!</definedName>
    <definedName name="XXXIV" localSheetId="7">#REF!</definedName>
    <definedName name="XXXIV" localSheetId="23">#REF!</definedName>
    <definedName name="XXXIV">#REF!</definedName>
    <definedName name="XXXIX" localSheetId="12">#REF!</definedName>
    <definedName name="XXXIX" localSheetId="30">#REF!</definedName>
    <definedName name="XXXIX" localSheetId="28">#REF!</definedName>
    <definedName name="XXXIX" localSheetId="27">#REF!</definedName>
    <definedName name="XXXIX" localSheetId="21">#REF!</definedName>
    <definedName name="XXXIX" localSheetId="18">#REF!</definedName>
    <definedName name="XXXIX" localSheetId="7">#REF!</definedName>
    <definedName name="XXXIX" localSheetId="23">#REF!</definedName>
    <definedName name="XXXIX">#REF!</definedName>
    <definedName name="XXXV" localSheetId="12">#REF!</definedName>
    <definedName name="XXXV" localSheetId="30">#REF!</definedName>
    <definedName name="XXXV" localSheetId="28">#REF!</definedName>
    <definedName name="XXXV" localSheetId="27">#REF!</definedName>
    <definedName name="XXXV" localSheetId="21">#REF!</definedName>
    <definedName name="XXXV" localSheetId="18">#REF!</definedName>
    <definedName name="XXXV" localSheetId="7">#REF!</definedName>
    <definedName name="XXXV" localSheetId="23">#REF!</definedName>
    <definedName name="XXXV">#REF!</definedName>
    <definedName name="XXXVI" localSheetId="12">#REF!</definedName>
    <definedName name="XXXVI" localSheetId="30">#REF!</definedName>
    <definedName name="XXXVI" localSheetId="28">#REF!</definedName>
    <definedName name="XXXVI" localSheetId="27">#REF!</definedName>
    <definedName name="XXXVI" localSheetId="21">#REF!</definedName>
    <definedName name="XXXVI" localSheetId="18">#REF!</definedName>
    <definedName name="XXXVI" localSheetId="7">#REF!</definedName>
    <definedName name="XXXVI" localSheetId="23">#REF!</definedName>
    <definedName name="XXXVI">#REF!</definedName>
    <definedName name="XXXVII" localSheetId="12">#REF!</definedName>
    <definedName name="XXXVII" localSheetId="30">#REF!</definedName>
    <definedName name="XXXVII" localSheetId="28">#REF!</definedName>
    <definedName name="XXXVII" localSheetId="27">#REF!</definedName>
    <definedName name="XXXVII" localSheetId="21">#REF!</definedName>
    <definedName name="XXXVII" localSheetId="18">#REF!</definedName>
    <definedName name="XXXVII" localSheetId="7">#REF!</definedName>
    <definedName name="XXXVII" localSheetId="23">#REF!</definedName>
    <definedName name="XXXVII">#REF!</definedName>
    <definedName name="XXXVIII" localSheetId="12">#REF!</definedName>
    <definedName name="XXXVIII" localSheetId="30">#REF!</definedName>
    <definedName name="XXXVIII" localSheetId="28">#REF!</definedName>
    <definedName name="XXXVIII" localSheetId="27">#REF!</definedName>
    <definedName name="XXXVIII" localSheetId="21">#REF!</definedName>
    <definedName name="XXXVIII" localSheetId="18">#REF!</definedName>
    <definedName name="XXXVIII" localSheetId="7">#REF!</definedName>
    <definedName name="XXXVIII" localSheetId="23">#REF!</definedName>
    <definedName name="XXXVIII">#REF!</definedName>
    <definedName name="xxxx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12">#REF!</definedName>
    <definedName name="xxxxxxxxxxxx" localSheetId="30">#REF!</definedName>
    <definedName name="xxxxxxxxxxxx" localSheetId="28">#REF!</definedName>
    <definedName name="xxxxxxxxxxxx" localSheetId="27">#REF!</definedName>
    <definedName name="xxxxxxxxxxxx" localSheetId="21">#REF!</definedName>
    <definedName name="xxxxxxxxxxxx" localSheetId="18">#REF!</definedName>
    <definedName name="xxxxxxxxxxxx" localSheetId="35" hidden="1">{"'Edit'!$A$1:$V$2277"}</definedName>
    <definedName name="xxxxxxxxxxxx" localSheetId="7">#REF!</definedName>
    <definedName name="xxxxxxxxxxxx" localSheetId="23">#REF!</definedName>
    <definedName name="xxxxxxxxxxxx">#REF!</definedName>
    <definedName name="xxxxxxxxxxxxxx" localSheetId="3" hidden="1">{#N/A,#N/A,FALSE,"Plan1";#N/A,#N/A,FALSE,"Plan2"}</definedName>
    <definedName name="xxxxxxxxxxxxxx" localSheetId="33" hidden="1">{#N/A,#N/A,FALSE,"Plan1";#N/A,#N/A,FALSE,"Plan2"}</definedName>
    <definedName name="xxxxxxxxxxxxxx" localSheetId="35" hidden="1">{#N/A,#N/A,FALSE,"Plan1";#N/A,#N/A,FALSE,"Plan2"}</definedName>
    <definedName name="xxxxxxxxxxxxxx" hidden="1">{#N/A,#N/A,FALSE,"Plan1";#N/A,#N/A,FALSE,"Plan2"}</definedName>
    <definedName name="xzfrt" localSheetId="3" hidden="1">{#N/A,#N/A,FALSE,"Plan1";#N/A,#N/A,FALSE,"Plan2"}</definedName>
    <definedName name="xzfrt" localSheetId="33" hidden="1">{#N/A,#N/A,FALSE,"Plan1";#N/A,#N/A,FALSE,"Plan2"}</definedName>
    <definedName name="xzfrt" localSheetId="35" hidden="1">{#N/A,#N/A,FALSE,"Plan1";#N/A,#N/A,FALSE,"Plan2"}</definedName>
    <definedName name="xzfrt" hidden="1">{#N/A,#N/A,FALSE,"Plan1";#N/A,#N/A,FALSE,"Plan2"}</definedName>
    <definedName name="yeitrtged" localSheetId="3" hidden="1">{#N/A,#N/A,FALSE,"Plan1";#N/A,#N/A,FALSE,"Plan2"}</definedName>
    <definedName name="yeitrtged" localSheetId="33" hidden="1">{#N/A,#N/A,FALSE,"Plan1";#N/A,#N/A,FALSE,"Plan2"}</definedName>
    <definedName name="yeitrtged" localSheetId="35" hidden="1">{#N/A,#N/A,FALSE,"Plan1";#N/A,#N/A,FALSE,"Plan2"}</definedName>
    <definedName name="yeitrtged" hidden="1">{#N/A,#N/A,FALSE,"Plan1";#N/A,#N/A,FALSE,"Plan2"}</definedName>
    <definedName name="yhdfiuygrui" localSheetId="3" hidden="1">{#N/A,#N/A,FALSE,"Plan1";#N/A,#N/A,FALSE,"Plan2"}</definedName>
    <definedName name="yhdfiuygrui" localSheetId="33" hidden="1">{#N/A,#N/A,FALSE,"Plan1";#N/A,#N/A,FALSE,"Plan2"}</definedName>
    <definedName name="yhdfiuygrui" localSheetId="35" hidden="1">{#N/A,#N/A,FALSE,"Plan1";#N/A,#N/A,FALSE,"Plan2"}</definedName>
    <definedName name="yhdfiuygrui" hidden="1">{#N/A,#N/A,FALSE,"Plan1";#N/A,#N/A,FALSE,"Plan2"}</definedName>
    <definedName name="YRGUYDRIY" localSheetId="3" hidden="1">{"Econ Consolidado",#N/A,FALSE,"Econ Consol";"Fluxo de Caixa",#N/A,FALSE,"Fluxo Caixa";"Investimentos",#N/A,FALSE,"Investimentos"}</definedName>
    <definedName name="YRGUYDRIY" localSheetId="33" hidden="1">{"Econ Consolidado",#N/A,FALSE,"Econ Consol";"Fluxo de Caixa",#N/A,FALSE,"Fluxo Caixa";"Investimentos",#N/A,FALSE,"Investimentos"}</definedName>
    <definedName name="YRGUYDRIY" localSheetId="35" hidden="1">{"Econ Consolidado",#N/A,FALSE,"Econ Consol";"Fluxo de Caixa",#N/A,FALSE,"Fluxo Caixa";"Investimentos",#N/A,FALSE,"Investimentos"}</definedName>
    <definedName name="YRGUYDRIY" hidden="1">{"Econ Consolidado",#N/A,FALSE,"Econ Consol";"Fluxo de Caixa",#N/A,FALSE,"Fluxo Caixa";"Investimentos",#N/A,FALSE,"Investimentos"}</definedName>
    <definedName name="ytdju" localSheetId="12">#REF!</definedName>
    <definedName name="ytdju" localSheetId="30">#REF!</definedName>
    <definedName name="ytdju" localSheetId="28">#REF!</definedName>
    <definedName name="ytdju" localSheetId="27">#REF!</definedName>
    <definedName name="ytdju" localSheetId="18">#REF!</definedName>
    <definedName name="ytdju" localSheetId="7">#REF!</definedName>
    <definedName name="ytdju" localSheetId="23">#REF!</definedName>
    <definedName name="ytdju">#REF!</definedName>
    <definedName name="yuegursdmksf" localSheetId="3" hidden="1">{#N/A,#N/A,FALSE,"Plan1";#N/A,#N/A,FALSE,"Plan2"}</definedName>
    <definedName name="yuegursdmksf" localSheetId="33" hidden="1">{#N/A,#N/A,FALSE,"Plan1";#N/A,#N/A,FALSE,"Plan2"}</definedName>
    <definedName name="yuegursdmksf" localSheetId="35" hidden="1">{#N/A,#N/A,FALSE,"Plan1";#N/A,#N/A,FALSE,"Plan2"}</definedName>
    <definedName name="yuegursdmksf" hidden="1">{#N/A,#N/A,FALSE,"Plan1";#N/A,#N/A,FALSE,"Plan2"}</definedName>
    <definedName name="yuekl4fr" localSheetId="3" hidden="1">{#N/A,#N/A,FALSE,"Plan1";#N/A,#N/A,FALSE,"Plan2"}</definedName>
    <definedName name="yuekl4fr" localSheetId="33" hidden="1">{#N/A,#N/A,FALSE,"Plan1";#N/A,#N/A,FALSE,"Plan2"}</definedName>
    <definedName name="yuekl4fr" localSheetId="35" hidden="1">{#N/A,#N/A,FALSE,"Plan1";#N/A,#N/A,FALSE,"Plan2"}</definedName>
    <definedName name="yuekl4fr" hidden="1">{#N/A,#N/A,FALSE,"Plan1";#N/A,#N/A,FALSE,"Plan2"}</definedName>
    <definedName name="yureytuyrea" localSheetId="3" hidden="1">{#N/A,#N/A,FALSE,"Plan1";#N/A,#N/A,FALSE,"Plan2"}</definedName>
    <definedName name="yureytuyrea" localSheetId="33" hidden="1">{#N/A,#N/A,FALSE,"Plan1";#N/A,#N/A,FALSE,"Plan2"}</definedName>
    <definedName name="yureytuyrea" localSheetId="35" hidden="1">{#N/A,#N/A,FALSE,"Plan1";#N/A,#N/A,FALSE,"Plan2"}</definedName>
    <definedName name="yureytuyrea" hidden="1">{#N/A,#N/A,FALSE,"Plan1";#N/A,#N/A,FALSE,"Plan2"}</definedName>
    <definedName name="z" localSheetId="33" hidden="1">{"'Estimativa de Lançamento-JAN'!$A$1:$AI$85"}</definedName>
    <definedName name="z" localSheetId="35" hidden="1">{"'Estimativa de Lançamento-JAN'!$A$1:$AI$85"}</definedName>
    <definedName name="z" hidden="1">{"'Estimativa de Lançamento-JAN'!$A$1:$AI$85"}</definedName>
    <definedName name="z\djs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localSheetId="12" hidden="1">#REF!</definedName>
    <definedName name="Z_022B7420_7F94_427F_B370_84030F9B3342_.wvu.FilterData" localSheetId="30" hidden="1">#REF!</definedName>
    <definedName name="Z_022B7420_7F94_427F_B370_84030F9B3342_.wvu.FilterData" localSheetId="28" hidden="1">#REF!</definedName>
    <definedName name="Z_022B7420_7F94_427F_B370_84030F9B3342_.wvu.FilterData" localSheetId="27" hidden="1">#REF!</definedName>
    <definedName name="Z_022B7420_7F94_427F_B370_84030F9B3342_.wvu.FilterData" localSheetId="18" hidden="1">#REF!</definedName>
    <definedName name="Z_022B7420_7F94_427F_B370_84030F9B3342_.wvu.FilterData" localSheetId="7" hidden="1">#REF!</definedName>
    <definedName name="Z_022B7420_7F94_427F_B370_84030F9B3342_.wvu.FilterData" localSheetId="23" hidden="1">#REF!</definedName>
    <definedName name="Z_022B7420_7F94_427F_B370_84030F9B3342_.wvu.FilterData" hidden="1">#REF!</definedName>
    <definedName name="Z_04BC043C_175B_412D_8093_6F29CD74FBAE_.wvu.FilterData" localSheetId="12" hidden="1">#REF!</definedName>
    <definedName name="Z_04BC043C_175B_412D_8093_6F29CD74FBAE_.wvu.FilterData" localSheetId="30" hidden="1">#REF!</definedName>
    <definedName name="Z_04BC043C_175B_412D_8093_6F29CD74FBAE_.wvu.FilterData" localSheetId="28" hidden="1">#REF!</definedName>
    <definedName name="Z_04BC043C_175B_412D_8093_6F29CD74FBAE_.wvu.FilterData" localSheetId="27" hidden="1">#REF!</definedName>
    <definedName name="Z_04BC043C_175B_412D_8093_6F29CD74FBAE_.wvu.FilterData" localSheetId="18" hidden="1">#REF!</definedName>
    <definedName name="Z_04BC043C_175B_412D_8093_6F29CD74FBAE_.wvu.FilterData" localSheetId="7" hidden="1">#REF!</definedName>
    <definedName name="Z_04BC043C_175B_412D_8093_6F29CD74FBAE_.wvu.FilterData" localSheetId="23" hidden="1">#REF!</definedName>
    <definedName name="Z_04BC043C_175B_412D_8093_6F29CD74FBAE_.wvu.FilterData" hidden="1">#REF!</definedName>
    <definedName name="Z_058B9256_CB4D_4C39_834D_D693FEEB491F_.wvu.FilterData" localSheetId="12" hidden="1">#REF!</definedName>
    <definedName name="Z_058B9256_CB4D_4C39_834D_D693FEEB491F_.wvu.FilterData" localSheetId="30" hidden="1">#REF!</definedName>
    <definedName name="Z_058B9256_CB4D_4C39_834D_D693FEEB491F_.wvu.FilterData" localSheetId="28" hidden="1">#REF!</definedName>
    <definedName name="Z_058B9256_CB4D_4C39_834D_D693FEEB491F_.wvu.FilterData" localSheetId="27" hidden="1">#REF!</definedName>
    <definedName name="Z_058B9256_CB4D_4C39_834D_D693FEEB491F_.wvu.FilterData" localSheetId="18" hidden="1">#REF!</definedName>
    <definedName name="Z_058B9256_CB4D_4C39_834D_D693FEEB491F_.wvu.FilterData" localSheetId="7" hidden="1">#REF!</definedName>
    <definedName name="Z_058B9256_CB4D_4C39_834D_D693FEEB491F_.wvu.FilterData" localSheetId="23" hidden="1">#REF!</definedName>
    <definedName name="Z_058B9256_CB4D_4C39_834D_D693FEEB491F_.wvu.FilterData" hidden="1">#REF!</definedName>
    <definedName name="Z_05D1A71D_3B7B_4FB7_8DF3_B8E29CA3927A_.wvu.FilterData" localSheetId="12" hidden="1">#REF!</definedName>
    <definedName name="Z_05D1A71D_3B7B_4FB7_8DF3_B8E29CA3927A_.wvu.FilterData" localSheetId="30" hidden="1">#REF!</definedName>
    <definedName name="Z_05D1A71D_3B7B_4FB7_8DF3_B8E29CA3927A_.wvu.FilterData" localSheetId="28" hidden="1">#REF!</definedName>
    <definedName name="Z_05D1A71D_3B7B_4FB7_8DF3_B8E29CA3927A_.wvu.FilterData" localSheetId="27" hidden="1">#REF!</definedName>
    <definedName name="Z_05D1A71D_3B7B_4FB7_8DF3_B8E29CA3927A_.wvu.FilterData" localSheetId="18" hidden="1">#REF!</definedName>
    <definedName name="Z_05D1A71D_3B7B_4FB7_8DF3_B8E29CA3927A_.wvu.FilterData" localSheetId="7" hidden="1">#REF!</definedName>
    <definedName name="Z_05D1A71D_3B7B_4FB7_8DF3_B8E29CA3927A_.wvu.FilterData" localSheetId="23" hidden="1">#REF!</definedName>
    <definedName name="Z_05D1A71D_3B7B_4FB7_8DF3_B8E29CA3927A_.wvu.FilterData" hidden="1">#REF!</definedName>
    <definedName name="Z_07C2CF55_E6DF_411A_AB00_7E155615468C_.wvu.FilterData" localSheetId="12" hidden="1">#REF!</definedName>
    <definedName name="Z_07C2CF55_E6DF_411A_AB00_7E155615468C_.wvu.FilterData" localSheetId="30" hidden="1">#REF!</definedName>
    <definedName name="Z_07C2CF55_E6DF_411A_AB00_7E155615468C_.wvu.FilterData" localSheetId="28" hidden="1">#REF!</definedName>
    <definedName name="Z_07C2CF55_E6DF_411A_AB00_7E155615468C_.wvu.FilterData" localSheetId="27" hidden="1">#REF!</definedName>
    <definedName name="Z_07C2CF55_E6DF_411A_AB00_7E155615468C_.wvu.FilterData" localSheetId="18" hidden="1">#REF!</definedName>
    <definedName name="Z_07C2CF55_E6DF_411A_AB00_7E155615468C_.wvu.FilterData" localSheetId="7" hidden="1">#REF!</definedName>
    <definedName name="Z_07C2CF55_E6DF_411A_AB00_7E155615468C_.wvu.FilterData" localSheetId="23" hidden="1">#REF!</definedName>
    <definedName name="Z_07C2CF55_E6DF_411A_AB00_7E155615468C_.wvu.FilterData" hidden="1">#REF!</definedName>
    <definedName name="Z_0B1003A7_69DB_4D5B_966D_57B9E8AF76FB_.wvu.FilterData" localSheetId="12" hidden="1">#REF!</definedName>
    <definedName name="Z_0B1003A7_69DB_4D5B_966D_57B9E8AF76FB_.wvu.FilterData" localSheetId="30" hidden="1">#REF!</definedName>
    <definedName name="Z_0B1003A7_69DB_4D5B_966D_57B9E8AF76FB_.wvu.FilterData" localSheetId="28" hidden="1">#REF!</definedName>
    <definedName name="Z_0B1003A7_69DB_4D5B_966D_57B9E8AF76FB_.wvu.FilterData" localSheetId="27" hidden="1">#REF!</definedName>
    <definedName name="Z_0B1003A7_69DB_4D5B_966D_57B9E8AF76FB_.wvu.FilterData" localSheetId="18" hidden="1">#REF!</definedName>
    <definedName name="Z_0B1003A7_69DB_4D5B_966D_57B9E8AF76FB_.wvu.FilterData" localSheetId="7" hidden="1">#REF!</definedName>
    <definedName name="Z_0B1003A7_69DB_4D5B_966D_57B9E8AF76FB_.wvu.FilterData" localSheetId="23" hidden="1">#REF!</definedName>
    <definedName name="Z_0B1003A7_69DB_4D5B_966D_57B9E8AF76FB_.wvu.FilterData" hidden="1">#REF!</definedName>
    <definedName name="Z_0C3EE359_64F6_4049_9576_8EACA8563EA4_.wvu.FilterData" localSheetId="12" hidden="1">#REF!</definedName>
    <definedName name="Z_0C3EE359_64F6_4049_9576_8EACA8563EA4_.wvu.FilterData" localSheetId="30" hidden="1">#REF!</definedName>
    <definedName name="Z_0C3EE359_64F6_4049_9576_8EACA8563EA4_.wvu.FilterData" localSheetId="28" hidden="1">#REF!</definedName>
    <definedName name="Z_0C3EE359_64F6_4049_9576_8EACA8563EA4_.wvu.FilterData" localSheetId="27" hidden="1">#REF!</definedName>
    <definedName name="Z_0C3EE359_64F6_4049_9576_8EACA8563EA4_.wvu.FilterData" localSheetId="18" hidden="1">#REF!</definedName>
    <definedName name="Z_0C3EE359_64F6_4049_9576_8EACA8563EA4_.wvu.FilterData" localSheetId="7" hidden="1">#REF!</definedName>
    <definedName name="Z_0C3EE359_64F6_4049_9576_8EACA8563EA4_.wvu.FilterData" localSheetId="23" hidden="1">#REF!</definedName>
    <definedName name="Z_0C3EE359_64F6_4049_9576_8EACA8563EA4_.wvu.FilterData" hidden="1">#REF!</definedName>
    <definedName name="Z_0D05AC4E_32D3_4985_8208_9776E00AC749_.wvu.FilterData" localSheetId="12" hidden="1">#REF!</definedName>
    <definedName name="Z_0D05AC4E_32D3_4985_8208_9776E00AC749_.wvu.FilterData" localSheetId="30" hidden="1">#REF!</definedName>
    <definedName name="Z_0D05AC4E_32D3_4985_8208_9776E00AC749_.wvu.FilterData" localSheetId="28" hidden="1">#REF!</definedName>
    <definedName name="Z_0D05AC4E_32D3_4985_8208_9776E00AC749_.wvu.FilterData" localSheetId="27" hidden="1">#REF!</definedName>
    <definedName name="Z_0D05AC4E_32D3_4985_8208_9776E00AC749_.wvu.FilterData" localSheetId="18" hidden="1">#REF!</definedName>
    <definedName name="Z_0D05AC4E_32D3_4985_8208_9776E00AC749_.wvu.FilterData" localSheetId="7" hidden="1">#REF!</definedName>
    <definedName name="Z_0D05AC4E_32D3_4985_8208_9776E00AC749_.wvu.FilterData" localSheetId="23" hidden="1">#REF!</definedName>
    <definedName name="Z_0D05AC4E_32D3_4985_8208_9776E00AC749_.wvu.FilterData" hidden="1">#REF!</definedName>
    <definedName name="Z_0DB407A0_1449_11D8_ADD1_0060083A646F_.wvu.PrintArea" localSheetId="12" hidden="1">#REF!</definedName>
    <definedName name="Z_0DB407A0_1449_11D8_ADD1_0060083A646F_.wvu.PrintArea" localSheetId="30" hidden="1">#REF!</definedName>
    <definedName name="Z_0DB407A0_1449_11D8_ADD1_0060083A646F_.wvu.PrintArea" localSheetId="28" hidden="1">#REF!</definedName>
    <definedName name="Z_0DB407A0_1449_11D8_ADD1_0060083A646F_.wvu.PrintArea" localSheetId="27" hidden="1">#REF!</definedName>
    <definedName name="Z_0DB407A0_1449_11D8_ADD1_0060083A646F_.wvu.PrintArea" localSheetId="18" hidden="1">#REF!</definedName>
    <definedName name="Z_0DB407A0_1449_11D8_ADD1_0060083A646F_.wvu.PrintArea" localSheetId="7" hidden="1">#REF!</definedName>
    <definedName name="Z_0DB407A0_1449_11D8_ADD1_0060083A646F_.wvu.PrintArea" localSheetId="23" hidden="1">#REF!</definedName>
    <definedName name="Z_0DB407A0_1449_11D8_ADD1_0060083A646F_.wvu.PrintArea" hidden="1">#REF!</definedName>
    <definedName name="Z_0DC459DE_F68C_4E33_8D1E_F1663ABAC944_.wvu.FilterData" localSheetId="12" hidden="1">#REF!</definedName>
    <definedName name="Z_0DC459DE_F68C_4E33_8D1E_F1663ABAC944_.wvu.FilterData" localSheetId="30" hidden="1">#REF!</definedName>
    <definedName name="Z_0DC459DE_F68C_4E33_8D1E_F1663ABAC944_.wvu.FilterData" localSheetId="28" hidden="1">#REF!</definedName>
    <definedName name="Z_0DC459DE_F68C_4E33_8D1E_F1663ABAC944_.wvu.FilterData" localSheetId="27" hidden="1">#REF!</definedName>
    <definedName name="Z_0DC459DE_F68C_4E33_8D1E_F1663ABAC944_.wvu.FilterData" localSheetId="18" hidden="1">#REF!</definedName>
    <definedName name="Z_0DC459DE_F68C_4E33_8D1E_F1663ABAC944_.wvu.FilterData" localSheetId="7" hidden="1">#REF!</definedName>
    <definedName name="Z_0DC459DE_F68C_4E33_8D1E_F1663ABAC944_.wvu.FilterData" localSheetId="23" hidden="1">#REF!</definedName>
    <definedName name="Z_0DC459DE_F68C_4E33_8D1E_F1663ABAC944_.wvu.FilterData" hidden="1">#REF!</definedName>
    <definedName name="Z_0FACBA89_1203_4ED8_87E5_EC1D45B051B7_.wvu.FilterData" localSheetId="12" hidden="1">#REF!</definedName>
    <definedName name="Z_0FACBA89_1203_4ED8_87E5_EC1D45B051B7_.wvu.FilterData" localSheetId="30" hidden="1">#REF!</definedName>
    <definedName name="Z_0FACBA89_1203_4ED8_87E5_EC1D45B051B7_.wvu.FilterData" localSheetId="28" hidden="1">#REF!</definedName>
    <definedName name="Z_0FACBA89_1203_4ED8_87E5_EC1D45B051B7_.wvu.FilterData" localSheetId="27" hidden="1">#REF!</definedName>
    <definedName name="Z_0FACBA89_1203_4ED8_87E5_EC1D45B051B7_.wvu.FilterData" localSheetId="18" hidden="1">#REF!</definedName>
    <definedName name="Z_0FACBA89_1203_4ED8_87E5_EC1D45B051B7_.wvu.FilterData" localSheetId="7" hidden="1">#REF!</definedName>
    <definedName name="Z_0FACBA89_1203_4ED8_87E5_EC1D45B051B7_.wvu.FilterData" localSheetId="23" hidden="1">#REF!</definedName>
    <definedName name="Z_0FACBA89_1203_4ED8_87E5_EC1D45B051B7_.wvu.FilterData" hidden="1">#REF!</definedName>
    <definedName name="Z_0FEA3536_5108_4591_BECF_C3181387F85F_.wvu.FilterData" localSheetId="12" hidden="1">#REF!</definedName>
    <definedName name="Z_0FEA3536_5108_4591_BECF_C3181387F85F_.wvu.FilterData" localSheetId="30" hidden="1">#REF!</definedName>
    <definedName name="Z_0FEA3536_5108_4591_BECF_C3181387F85F_.wvu.FilterData" localSheetId="28" hidden="1">#REF!</definedName>
    <definedName name="Z_0FEA3536_5108_4591_BECF_C3181387F85F_.wvu.FilterData" localSheetId="27" hidden="1">#REF!</definedName>
    <definedName name="Z_0FEA3536_5108_4591_BECF_C3181387F85F_.wvu.FilterData" localSheetId="18" hidden="1">#REF!</definedName>
    <definedName name="Z_0FEA3536_5108_4591_BECF_C3181387F85F_.wvu.FilterData" localSheetId="7" hidden="1">#REF!</definedName>
    <definedName name="Z_0FEA3536_5108_4591_BECF_C3181387F85F_.wvu.FilterData" localSheetId="23" hidden="1">#REF!</definedName>
    <definedName name="Z_0FEA3536_5108_4591_BECF_C3181387F85F_.wvu.FilterData" hidden="1">#REF!</definedName>
    <definedName name="Z_0FEFDB42_ECBC_4500_A6C8_FEE3D368790B_.wvu.FilterData" localSheetId="12" hidden="1">#REF!</definedName>
    <definedName name="Z_0FEFDB42_ECBC_4500_A6C8_FEE3D368790B_.wvu.FilterData" localSheetId="30" hidden="1">#REF!</definedName>
    <definedName name="Z_0FEFDB42_ECBC_4500_A6C8_FEE3D368790B_.wvu.FilterData" localSheetId="28" hidden="1">#REF!</definedName>
    <definedName name="Z_0FEFDB42_ECBC_4500_A6C8_FEE3D368790B_.wvu.FilterData" localSheetId="27" hidden="1">#REF!</definedName>
    <definedName name="Z_0FEFDB42_ECBC_4500_A6C8_FEE3D368790B_.wvu.FilterData" localSheetId="18" hidden="1">#REF!</definedName>
    <definedName name="Z_0FEFDB42_ECBC_4500_A6C8_FEE3D368790B_.wvu.FilterData" localSheetId="7" hidden="1">#REF!</definedName>
    <definedName name="Z_0FEFDB42_ECBC_4500_A6C8_FEE3D368790B_.wvu.FilterData" localSheetId="23" hidden="1">#REF!</definedName>
    <definedName name="Z_0FEFDB42_ECBC_4500_A6C8_FEE3D368790B_.wvu.FilterData" hidden="1">#REF!</definedName>
    <definedName name="Z_110A0651_47C7_408E_B3BF_0C80D30B95FC_.wvu.FilterData" localSheetId="12" hidden="1">#REF!</definedName>
    <definedName name="Z_110A0651_47C7_408E_B3BF_0C80D30B95FC_.wvu.FilterData" localSheetId="30" hidden="1">#REF!</definedName>
    <definedName name="Z_110A0651_47C7_408E_B3BF_0C80D30B95FC_.wvu.FilterData" localSheetId="28" hidden="1">#REF!</definedName>
    <definedName name="Z_110A0651_47C7_408E_B3BF_0C80D30B95FC_.wvu.FilterData" localSheetId="27" hidden="1">#REF!</definedName>
    <definedName name="Z_110A0651_47C7_408E_B3BF_0C80D30B95FC_.wvu.FilterData" localSheetId="18" hidden="1">#REF!</definedName>
    <definedName name="Z_110A0651_47C7_408E_B3BF_0C80D30B95FC_.wvu.FilterData" localSheetId="7" hidden="1">#REF!</definedName>
    <definedName name="Z_110A0651_47C7_408E_B3BF_0C80D30B95FC_.wvu.FilterData" localSheetId="23" hidden="1">#REF!</definedName>
    <definedName name="Z_110A0651_47C7_408E_B3BF_0C80D30B95FC_.wvu.FilterData" hidden="1">#REF!</definedName>
    <definedName name="Z_128E64DD_BE84_40EE_A6D2_C9B0EB25CBBD_.wvu.FilterData" localSheetId="12" hidden="1">#REF!</definedName>
    <definedName name="Z_128E64DD_BE84_40EE_A6D2_C9B0EB25CBBD_.wvu.FilterData" localSheetId="30" hidden="1">#REF!</definedName>
    <definedName name="Z_128E64DD_BE84_40EE_A6D2_C9B0EB25CBBD_.wvu.FilterData" localSheetId="28" hidden="1">#REF!</definedName>
    <definedName name="Z_128E64DD_BE84_40EE_A6D2_C9B0EB25CBBD_.wvu.FilterData" localSheetId="27" hidden="1">#REF!</definedName>
    <definedName name="Z_128E64DD_BE84_40EE_A6D2_C9B0EB25CBBD_.wvu.FilterData" localSheetId="18" hidden="1">#REF!</definedName>
    <definedName name="Z_128E64DD_BE84_40EE_A6D2_C9B0EB25CBBD_.wvu.FilterData" localSheetId="7" hidden="1">#REF!</definedName>
    <definedName name="Z_128E64DD_BE84_40EE_A6D2_C9B0EB25CBBD_.wvu.FilterData" localSheetId="23" hidden="1">#REF!</definedName>
    <definedName name="Z_128E64DD_BE84_40EE_A6D2_C9B0EB25CBBD_.wvu.FilterData" hidden="1">#REF!</definedName>
    <definedName name="Z_12F2973E_0018_407B_98AD_CD9C5D1F65FA_.wvu.FilterData" localSheetId="12" hidden="1">#REF!</definedName>
    <definedName name="Z_12F2973E_0018_407B_98AD_CD9C5D1F65FA_.wvu.FilterData" localSheetId="30" hidden="1">#REF!</definedName>
    <definedName name="Z_12F2973E_0018_407B_98AD_CD9C5D1F65FA_.wvu.FilterData" localSheetId="28" hidden="1">#REF!</definedName>
    <definedName name="Z_12F2973E_0018_407B_98AD_CD9C5D1F65FA_.wvu.FilterData" localSheetId="27" hidden="1">#REF!</definedName>
    <definedName name="Z_12F2973E_0018_407B_98AD_CD9C5D1F65FA_.wvu.FilterData" localSheetId="18" hidden="1">#REF!</definedName>
    <definedName name="Z_12F2973E_0018_407B_98AD_CD9C5D1F65FA_.wvu.FilterData" localSheetId="7" hidden="1">#REF!</definedName>
    <definedName name="Z_12F2973E_0018_407B_98AD_CD9C5D1F65FA_.wvu.FilterData" localSheetId="23" hidden="1">#REF!</definedName>
    <definedName name="Z_12F2973E_0018_407B_98AD_CD9C5D1F65FA_.wvu.FilterData" hidden="1">#REF!</definedName>
    <definedName name="Z_137DAE61_8A8D_4219_A4CC_0EEC18A94882_.wvu.FilterData" localSheetId="12" hidden="1">#REF!</definedName>
    <definedName name="Z_137DAE61_8A8D_4219_A4CC_0EEC18A94882_.wvu.FilterData" localSheetId="30" hidden="1">#REF!</definedName>
    <definedName name="Z_137DAE61_8A8D_4219_A4CC_0EEC18A94882_.wvu.FilterData" localSheetId="28" hidden="1">#REF!</definedName>
    <definedName name="Z_137DAE61_8A8D_4219_A4CC_0EEC18A94882_.wvu.FilterData" localSheetId="27" hidden="1">#REF!</definedName>
    <definedName name="Z_137DAE61_8A8D_4219_A4CC_0EEC18A94882_.wvu.FilterData" localSheetId="18" hidden="1">#REF!</definedName>
    <definedName name="Z_137DAE61_8A8D_4219_A4CC_0EEC18A94882_.wvu.FilterData" localSheetId="7" hidden="1">#REF!</definedName>
    <definedName name="Z_137DAE61_8A8D_4219_A4CC_0EEC18A94882_.wvu.FilterData" localSheetId="23" hidden="1">#REF!</definedName>
    <definedName name="Z_137DAE61_8A8D_4219_A4CC_0EEC18A94882_.wvu.FilterData" hidden="1">#REF!</definedName>
    <definedName name="Z_13E06FB5_D019_406D_B278_1B53AD2F6386_.wvu.FilterData" localSheetId="12" hidden="1">#REF!</definedName>
    <definedName name="Z_13E06FB5_D019_406D_B278_1B53AD2F6386_.wvu.FilterData" localSheetId="30" hidden="1">#REF!</definedName>
    <definedName name="Z_13E06FB5_D019_406D_B278_1B53AD2F6386_.wvu.FilterData" localSheetId="28" hidden="1">#REF!</definedName>
    <definedName name="Z_13E06FB5_D019_406D_B278_1B53AD2F6386_.wvu.FilterData" localSheetId="27" hidden="1">#REF!</definedName>
    <definedName name="Z_13E06FB5_D019_406D_B278_1B53AD2F6386_.wvu.FilterData" localSheetId="18" hidden="1">#REF!</definedName>
    <definedName name="Z_13E06FB5_D019_406D_B278_1B53AD2F6386_.wvu.FilterData" localSheetId="7" hidden="1">#REF!</definedName>
    <definedName name="Z_13E06FB5_D019_406D_B278_1B53AD2F6386_.wvu.FilterData" localSheetId="23" hidden="1">#REF!</definedName>
    <definedName name="Z_13E06FB5_D019_406D_B278_1B53AD2F6386_.wvu.FilterData" hidden="1">#REF!</definedName>
    <definedName name="Z_14D375AC_5615_46DE_8EE3_95915B2A8B54_.wvu.FilterData" localSheetId="12" hidden="1">#REF!</definedName>
    <definedName name="Z_14D375AC_5615_46DE_8EE3_95915B2A8B54_.wvu.FilterData" localSheetId="30" hidden="1">#REF!</definedName>
    <definedName name="Z_14D375AC_5615_46DE_8EE3_95915B2A8B54_.wvu.FilterData" localSheetId="28" hidden="1">#REF!</definedName>
    <definedName name="Z_14D375AC_5615_46DE_8EE3_95915B2A8B54_.wvu.FilterData" localSheetId="27" hidden="1">#REF!</definedName>
    <definedName name="Z_14D375AC_5615_46DE_8EE3_95915B2A8B54_.wvu.FilterData" localSheetId="18" hidden="1">#REF!</definedName>
    <definedName name="Z_14D375AC_5615_46DE_8EE3_95915B2A8B54_.wvu.FilterData" localSheetId="7" hidden="1">#REF!</definedName>
    <definedName name="Z_14D375AC_5615_46DE_8EE3_95915B2A8B54_.wvu.FilterData" localSheetId="23" hidden="1">#REF!</definedName>
    <definedName name="Z_14D375AC_5615_46DE_8EE3_95915B2A8B54_.wvu.FilterData" hidden="1">#REF!</definedName>
    <definedName name="Z_15697660_066E_11D5_AF15_00010242ED40_.wvu.PrintArea" localSheetId="3" hidden="1">#REF!</definedName>
    <definedName name="Z_15697660_066E_11D5_AF15_00010242ED40_.wvu.PrintArea" localSheetId="12" hidden="1">#REF!</definedName>
    <definedName name="Z_15697660_066E_11D5_AF15_00010242ED40_.wvu.PrintArea" localSheetId="30" hidden="1">#REF!</definedName>
    <definedName name="Z_15697660_066E_11D5_AF15_00010242ED40_.wvu.PrintArea" localSheetId="28" hidden="1">#REF!</definedName>
    <definedName name="Z_15697660_066E_11D5_AF15_00010242ED40_.wvu.PrintArea" localSheetId="27" hidden="1">#REF!</definedName>
    <definedName name="Z_15697660_066E_11D5_AF15_00010242ED40_.wvu.PrintArea" localSheetId="18" hidden="1">#REF!</definedName>
    <definedName name="Z_15697660_066E_11D5_AF15_00010242ED40_.wvu.PrintArea" localSheetId="7" hidden="1">#REF!</definedName>
    <definedName name="Z_15697660_066E_11D5_AF15_00010242ED40_.wvu.PrintArea" localSheetId="23" hidden="1">#REF!</definedName>
    <definedName name="Z_15697660_066E_11D5_AF15_00010242ED40_.wvu.PrintArea" hidden="1">#REF!</definedName>
    <definedName name="Z_15697660_066E_11D5_AF15_00010242ED40_.wvu.PrintTitles" localSheetId="12" hidden="1">#REF!</definedName>
    <definedName name="Z_15697660_066E_11D5_AF15_00010242ED40_.wvu.PrintTitles" localSheetId="30" hidden="1">#REF!</definedName>
    <definedName name="Z_15697660_066E_11D5_AF15_00010242ED40_.wvu.PrintTitles" localSheetId="28" hidden="1">#REF!</definedName>
    <definedName name="Z_15697660_066E_11D5_AF15_00010242ED40_.wvu.PrintTitles" localSheetId="27" hidden="1">#REF!</definedName>
    <definedName name="Z_15697660_066E_11D5_AF15_00010242ED40_.wvu.PrintTitles" localSheetId="18" hidden="1">#REF!</definedName>
    <definedName name="Z_15697660_066E_11D5_AF15_00010242ED40_.wvu.PrintTitles" localSheetId="7" hidden="1">#REF!</definedName>
    <definedName name="Z_15697660_066E_11D5_AF15_00010242ED40_.wvu.PrintTitles" localSheetId="23" hidden="1">#REF!</definedName>
    <definedName name="Z_15697660_066E_11D5_AF15_00010242ED40_.wvu.PrintTitles" hidden="1">#REF!</definedName>
    <definedName name="Z_15697660_066E_11D5_AF15_00010242ED40_.wvu.Rows" localSheetId="12" hidden="1">#REF!</definedName>
    <definedName name="Z_15697660_066E_11D5_AF15_00010242ED40_.wvu.Rows" localSheetId="30" hidden="1">#REF!</definedName>
    <definedName name="Z_15697660_066E_11D5_AF15_00010242ED40_.wvu.Rows" localSheetId="28" hidden="1">#REF!</definedName>
    <definedName name="Z_15697660_066E_11D5_AF15_00010242ED40_.wvu.Rows" localSheetId="27" hidden="1">#REF!</definedName>
    <definedName name="Z_15697660_066E_11D5_AF15_00010242ED40_.wvu.Rows" localSheetId="18" hidden="1">#REF!</definedName>
    <definedName name="Z_15697660_066E_11D5_AF15_00010242ED40_.wvu.Rows" localSheetId="7" hidden="1">#REF!</definedName>
    <definedName name="Z_15697660_066E_11D5_AF15_00010242ED40_.wvu.Rows" localSheetId="23" hidden="1">#REF!</definedName>
    <definedName name="Z_15697660_066E_11D5_AF15_00010242ED40_.wvu.Rows" hidden="1">#REF!</definedName>
    <definedName name="Z_15B5DC78_B02F_4AC6_8572_015040A55619_.wvu.FilterData" localSheetId="12" hidden="1">#REF!</definedName>
    <definedName name="Z_15B5DC78_B02F_4AC6_8572_015040A55619_.wvu.FilterData" localSheetId="30" hidden="1">#REF!</definedName>
    <definedName name="Z_15B5DC78_B02F_4AC6_8572_015040A55619_.wvu.FilterData" localSheetId="28" hidden="1">#REF!</definedName>
    <definedName name="Z_15B5DC78_B02F_4AC6_8572_015040A55619_.wvu.FilterData" localSheetId="27" hidden="1">#REF!</definedName>
    <definedName name="Z_15B5DC78_B02F_4AC6_8572_015040A55619_.wvu.FilterData" localSheetId="18" hidden="1">#REF!</definedName>
    <definedName name="Z_15B5DC78_B02F_4AC6_8572_015040A55619_.wvu.FilterData" localSheetId="7" hidden="1">#REF!</definedName>
    <definedName name="Z_15B5DC78_B02F_4AC6_8572_015040A55619_.wvu.FilterData" localSheetId="23" hidden="1">#REF!</definedName>
    <definedName name="Z_15B5DC78_B02F_4AC6_8572_015040A55619_.wvu.FilterData" hidden="1">#REF!</definedName>
    <definedName name="Z_166D6F0F_4D44_46E7_8C36_48FD4848B5AA_.wvu.FilterData" localSheetId="12" hidden="1">#REF!</definedName>
    <definedName name="Z_166D6F0F_4D44_46E7_8C36_48FD4848B5AA_.wvu.FilterData" localSheetId="30" hidden="1">#REF!</definedName>
    <definedName name="Z_166D6F0F_4D44_46E7_8C36_48FD4848B5AA_.wvu.FilterData" localSheetId="28" hidden="1">#REF!</definedName>
    <definedName name="Z_166D6F0F_4D44_46E7_8C36_48FD4848B5AA_.wvu.FilterData" localSheetId="27" hidden="1">#REF!</definedName>
    <definedName name="Z_166D6F0F_4D44_46E7_8C36_48FD4848B5AA_.wvu.FilterData" localSheetId="18" hidden="1">#REF!</definedName>
    <definedName name="Z_166D6F0F_4D44_46E7_8C36_48FD4848B5AA_.wvu.FilterData" localSheetId="7" hidden="1">#REF!</definedName>
    <definedName name="Z_166D6F0F_4D44_46E7_8C36_48FD4848B5AA_.wvu.FilterData" localSheetId="23" hidden="1">#REF!</definedName>
    <definedName name="Z_166D6F0F_4D44_46E7_8C36_48FD4848B5AA_.wvu.FilterData" hidden="1">#REF!</definedName>
    <definedName name="Z_16FAB836_2255_4D4C_90E4_6B46255F3759_.wvu.FilterData" localSheetId="12" hidden="1">#REF!</definedName>
    <definedName name="Z_16FAB836_2255_4D4C_90E4_6B46255F3759_.wvu.FilterData" localSheetId="30" hidden="1">#REF!</definedName>
    <definedName name="Z_16FAB836_2255_4D4C_90E4_6B46255F3759_.wvu.FilterData" localSheetId="28" hidden="1">#REF!</definedName>
    <definedName name="Z_16FAB836_2255_4D4C_90E4_6B46255F3759_.wvu.FilterData" localSheetId="27" hidden="1">#REF!</definedName>
    <definedName name="Z_16FAB836_2255_4D4C_90E4_6B46255F3759_.wvu.FilterData" localSheetId="18" hidden="1">#REF!</definedName>
    <definedName name="Z_16FAB836_2255_4D4C_90E4_6B46255F3759_.wvu.FilterData" localSheetId="7" hidden="1">#REF!</definedName>
    <definedName name="Z_16FAB836_2255_4D4C_90E4_6B46255F3759_.wvu.FilterData" localSheetId="23" hidden="1">#REF!</definedName>
    <definedName name="Z_16FAB836_2255_4D4C_90E4_6B46255F3759_.wvu.FilterData" hidden="1">#REF!</definedName>
    <definedName name="Z_198D391C_95CB_49F5_8924_5FEA3CE5C98A_.wvu.FilterData" localSheetId="12" hidden="1">#REF!</definedName>
    <definedName name="Z_198D391C_95CB_49F5_8924_5FEA3CE5C98A_.wvu.FilterData" localSheetId="30" hidden="1">#REF!</definedName>
    <definedName name="Z_198D391C_95CB_49F5_8924_5FEA3CE5C98A_.wvu.FilterData" localSheetId="28" hidden="1">#REF!</definedName>
    <definedName name="Z_198D391C_95CB_49F5_8924_5FEA3CE5C98A_.wvu.FilterData" localSheetId="27" hidden="1">#REF!</definedName>
    <definedName name="Z_198D391C_95CB_49F5_8924_5FEA3CE5C98A_.wvu.FilterData" localSheetId="18" hidden="1">#REF!</definedName>
    <definedName name="Z_198D391C_95CB_49F5_8924_5FEA3CE5C98A_.wvu.FilterData" localSheetId="7" hidden="1">#REF!</definedName>
    <definedName name="Z_198D391C_95CB_49F5_8924_5FEA3CE5C98A_.wvu.FilterData" localSheetId="23" hidden="1">#REF!</definedName>
    <definedName name="Z_198D391C_95CB_49F5_8924_5FEA3CE5C98A_.wvu.FilterData" hidden="1">#REF!</definedName>
    <definedName name="Z_1D9C37CC_3E33_4D4D_B7CD_819F75C83D65_.wvu.FilterData" localSheetId="12" hidden="1">#REF!</definedName>
    <definedName name="Z_1D9C37CC_3E33_4D4D_B7CD_819F75C83D65_.wvu.FilterData" localSheetId="30" hidden="1">#REF!</definedName>
    <definedName name="Z_1D9C37CC_3E33_4D4D_B7CD_819F75C83D65_.wvu.FilterData" localSheetId="28" hidden="1">#REF!</definedName>
    <definedName name="Z_1D9C37CC_3E33_4D4D_B7CD_819F75C83D65_.wvu.FilterData" localSheetId="27" hidden="1">#REF!</definedName>
    <definedName name="Z_1D9C37CC_3E33_4D4D_B7CD_819F75C83D65_.wvu.FilterData" localSheetId="18" hidden="1">#REF!</definedName>
    <definedName name="Z_1D9C37CC_3E33_4D4D_B7CD_819F75C83D65_.wvu.FilterData" localSheetId="7" hidden="1">#REF!</definedName>
    <definedName name="Z_1D9C37CC_3E33_4D4D_B7CD_819F75C83D65_.wvu.FilterData" localSheetId="23" hidden="1">#REF!</definedName>
    <definedName name="Z_1D9C37CC_3E33_4D4D_B7CD_819F75C83D65_.wvu.FilterData" hidden="1">#REF!</definedName>
    <definedName name="Z_1DF9838C_880D_4C4E_BFFE_89B5894EC40F_.wvu.FilterData" localSheetId="12" hidden="1">#REF!</definedName>
    <definedName name="Z_1DF9838C_880D_4C4E_BFFE_89B5894EC40F_.wvu.FilterData" localSheetId="30" hidden="1">#REF!</definedName>
    <definedName name="Z_1DF9838C_880D_4C4E_BFFE_89B5894EC40F_.wvu.FilterData" localSheetId="28" hidden="1">#REF!</definedName>
    <definedName name="Z_1DF9838C_880D_4C4E_BFFE_89B5894EC40F_.wvu.FilterData" localSheetId="27" hidden="1">#REF!</definedName>
    <definedName name="Z_1DF9838C_880D_4C4E_BFFE_89B5894EC40F_.wvu.FilterData" localSheetId="18" hidden="1">#REF!</definedName>
    <definedName name="Z_1DF9838C_880D_4C4E_BFFE_89B5894EC40F_.wvu.FilterData" localSheetId="7" hidden="1">#REF!</definedName>
    <definedName name="Z_1DF9838C_880D_4C4E_BFFE_89B5894EC40F_.wvu.FilterData" localSheetId="23" hidden="1">#REF!</definedName>
    <definedName name="Z_1DF9838C_880D_4C4E_BFFE_89B5894EC40F_.wvu.FilterData" hidden="1">#REF!</definedName>
    <definedName name="Z_1EF42BFC_874B_4E01_B67D_1607E823ACD0_.wvu.FilterData" localSheetId="12" hidden="1">#REF!</definedName>
    <definedName name="Z_1EF42BFC_874B_4E01_B67D_1607E823ACD0_.wvu.FilterData" localSheetId="30" hidden="1">#REF!</definedName>
    <definedName name="Z_1EF42BFC_874B_4E01_B67D_1607E823ACD0_.wvu.FilterData" localSheetId="28" hidden="1">#REF!</definedName>
    <definedName name="Z_1EF42BFC_874B_4E01_B67D_1607E823ACD0_.wvu.FilterData" localSheetId="27" hidden="1">#REF!</definedName>
    <definedName name="Z_1EF42BFC_874B_4E01_B67D_1607E823ACD0_.wvu.FilterData" localSheetId="18" hidden="1">#REF!</definedName>
    <definedName name="Z_1EF42BFC_874B_4E01_B67D_1607E823ACD0_.wvu.FilterData" localSheetId="7" hidden="1">#REF!</definedName>
    <definedName name="Z_1EF42BFC_874B_4E01_B67D_1607E823ACD0_.wvu.FilterData" localSheetId="23" hidden="1">#REF!</definedName>
    <definedName name="Z_1EF42BFC_874B_4E01_B67D_1607E823ACD0_.wvu.FilterData" hidden="1">#REF!</definedName>
    <definedName name="Z_1F94C6E7_3CCA_4599_AF6F_4D6291B2AD93_.wvu.FilterData" localSheetId="12" hidden="1">#REF!</definedName>
    <definedName name="Z_1F94C6E7_3CCA_4599_AF6F_4D6291B2AD93_.wvu.FilterData" localSheetId="30" hidden="1">#REF!</definedName>
    <definedName name="Z_1F94C6E7_3CCA_4599_AF6F_4D6291B2AD93_.wvu.FilterData" localSheetId="28" hidden="1">#REF!</definedName>
    <definedName name="Z_1F94C6E7_3CCA_4599_AF6F_4D6291B2AD93_.wvu.FilterData" localSheetId="27" hidden="1">#REF!</definedName>
    <definedName name="Z_1F94C6E7_3CCA_4599_AF6F_4D6291B2AD93_.wvu.FilterData" localSheetId="18" hidden="1">#REF!</definedName>
    <definedName name="Z_1F94C6E7_3CCA_4599_AF6F_4D6291B2AD93_.wvu.FilterData" localSheetId="7" hidden="1">#REF!</definedName>
    <definedName name="Z_1F94C6E7_3CCA_4599_AF6F_4D6291B2AD93_.wvu.FilterData" localSheetId="23" hidden="1">#REF!</definedName>
    <definedName name="Z_1F94C6E7_3CCA_4599_AF6F_4D6291B2AD93_.wvu.FilterData" hidden="1">#REF!</definedName>
    <definedName name="Z_20A9AA17_0DEB_4190_8DAD_FC60D0D33A52_.wvu.FilterData" localSheetId="12" hidden="1">#REF!</definedName>
    <definedName name="Z_20A9AA17_0DEB_4190_8DAD_FC60D0D33A52_.wvu.FilterData" localSheetId="30" hidden="1">#REF!</definedName>
    <definedName name="Z_20A9AA17_0DEB_4190_8DAD_FC60D0D33A52_.wvu.FilterData" localSheetId="28" hidden="1">#REF!</definedName>
    <definedName name="Z_20A9AA17_0DEB_4190_8DAD_FC60D0D33A52_.wvu.FilterData" localSheetId="27" hidden="1">#REF!</definedName>
    <definedName name="Z_20A9AA17_0DEB_4190_8DAD_FC60D0D33A52_.wvu.FilterData" localSheetId="18" hidden="1">#REF!</definedName>
    <definedName name="Z_20A9AA17_0DEB_4190_8DAD_FC60D0D33A52_.wvu.FilterData" localSheetId="7" hidden="1">#REF!</definedName>
    <definedName name="Z_20A9AA17_0DEB_4190_8DAD_FC60D0D33A52_.wvu.FilterData" localSheetId="23" hidden="1">#REF!</definedName>
    <definedName name="Z_20A9AA17_0DEB_4190_8DAD_FC60D0D33A52_.wvu.FilterData" hidden="1">#REF!</definedName>
    <definedName name="Z_2103F656_ECB2_4F99_BE9B_56F4D7A5CEE2_.wvu.FilterData" localSheetId="12" hidden="1">#REF!</definedName>
    <definedName name="Z_2103F656_ECB2_4F99_BE9B_56F4D7A5CEE2_.wvu.FilterData" localSheetId="30" hidden="1">#REF!</definedName>
    <definedName name="Z_2103F656_ECB2_4F99_BE9B_56F4D7A5CEE2_.wvu.FilterData" localSheetId="28" hidden="1">#REF!</definedName>
    <definedName name="Z_2103F656_ECB2_4F99_BE9B_56F4D7A5CEE2_.wvu.FilterData" localSheetId="27" hidden="1">#REF!</definedName>
    <definedName name="Z_2103F656_ECB2_4F99_BE9B_56F4D7A5CEE2_.wvu.FilterData" localSheetId="18" hidden="1">#REF!</definedName>
    <definedName name="Z_2103F656_ECB2_4F99_BE9B_56F4D7A5CEE2_.wvu.FilterData" localSheetId="7" hidden="1">#REF!</definedName>
    <definedName name="Z_2103F656_ECB2_4F99_BE9B_56F4D7A5CEE2_.wvu.FilterData" localSheetId="23" hidden="1">#REF!</definedName>
    <definedName name="Z_2103F656_ECB2_4F99_BE9B_56F4D7A5CEE2_.wvu.FilterData" hidden="1">#REF!</definedName>
    <definedName name="Z_2158A2BC_8DB5_455D_AFDE_914B22949288_.wvu.FilterData" localSheetId="12" hidden="1">#REF!</definedName>
    <definedName name="Z_2158A2BC_8DB5_455D_AFDE_914B22949288_.wvu.FilterData" localSheetId="30" hidden="1">#REF!</definedName>
    <definedName name="Z_2158A2BC_8DB5_455D_AFDE_914B22949288_.wvu.FilterData" localSheetId="28" hidden="1">#REF!</definedName>
    <definedName name="Z_2158A2BC_8DB5_455D_AFDE_914B22949288_.wvu.FilterData" localSheetId="27" hidden="1">#REF!</definedName>
    <definedName name="Z_2158A2BC_8DB5_455D_AFDE_914B22949288_.wvu.FilterData" localSheetId="18" hidden="1">#REF!</definedName>
    <definedName name="Z_2158A2BC_8DB5_455D_AFDE_914B22949288_.wvu.FilterData" localSheetId="7" hidden="1">#REF!</definedName>
    <definedName name="Z_2158A2BC_8DB5_455D_AFDE_914B22949288_.wvu.FilterData" localSheetId="23" hidden="1">#REF!</definedName>
    <definedName name="Z_2158A2BC_8DB5_455D_AFDE_914B22949288_.wvu.FilterData" hidden="1">#REF!</definedName>
    <definedName name="Z_21A967FF_561E_495F_AEB9_4DD3BEDA53BC_.wvu.FilterData" localSheetId="12" hidden="1">#REF!</definedName>
    <definedName name="Z_21A967FF_561E_495F_AEB9_4DD3BEDA53BC_.wvu.FilterData" localSheetId="30" hidden="1">#REF!</definedName>
    <definedName name="Z_21A967FF_561E_495F_AEB9_4DD3BEDA53BC_.wvu.FilterData" localSheetId="28" hidden="1">#REF!</definedName>
    <definedName name="Z_21A967FF_561E_495F_AEB9_4DD3BEDA53BC_.wvu.FilterData" localSheetId="27" hidden="1">#REF!</definedName>
    <definedName name="Z_21A967FF_561E_495F_AEB9_4DD3BEDA53BC_.wvu.FilterData" localSheetId="18" hidden="1">#REF!</definedName>
    <definedName name="Z_21A967FF_561E_495F_AEB9_4DD3BEDA53BC_.wvu.FilterData" localSheetId="7" hidden="1">#REF!</definedName>
    <definedName name="Z_21A967FF_561E_495F_AEB9_4DD3BEDA53BC_.wvu.FilterData" localSheetId="23" hidden="1">#REF!</definedName>
    <definedName name="Z_21A967FF_561E_495F_AEB9_4DD3BEDA53BC_.wvu.FilterData" hidden="1">#REF!</definedName>
    <definedName name="Z_227E7522_DC52_4EA7_A11A_0741FF23CC42_.wvu.FilterData" localSheetId="12" hidden="1">#REF!</definedName>
    <definedName name="Z_227E7522_DC52_4EA7_A11A_0741FF23CC42_.wvu.FilterData" localSheetId="30" hidden="1">#REF!</definedName>
    <definedName name="Z_227E7522_DC52_4EA7_A11A_0741FF23CC42_.wvu.FilterData" localSheetId="28" hidden="1">#REF!</definedName>
    <definedName name="Z_227E7522_DC52_4EA7_A11A_0741FF23CC42_.wvu.FilterData" localSheetId="27" hidden="1">#REF!</definedName>
    <definedName name="Z_227E7522_DC52_4EA7_A11A_0741FF23CC42_.wvu.FilterData" localSheetId="18" hidden="1">#REF!</definedName>
    <definedName name="Z_227E7522_DC52_4EA7_A11A_0741FF23CC42_.wvu.FilterData" localSheetId="7" hidden="1">#REF!</definedName>
    <definedName name="Z_227E7522_DC52_4EA7_A11A_0741FF23CC42_.wvu.FilterData" localSheetId="23" hidden="1">#REF!</definedName>
    <definedName name="Z_227E7522_DC52_4EA7_A11A_0741FF23CC42_.wvu.FilterData" hidden="1">#REF!</definedName>
    <definedName name="Z_23BA0C23_280B_4568_A53C_1C6D2E85772A_.wvu.FilterData" localSheetId="12" hidden="1">#REF!</definedName>
    <definedName name="Z_23BA0C23_280B_4568_A53C_1C6D2E85772A_.wvu.FilterData" localSheetId="30" hidden="1">#REF!</definedName>
    <definedName name="Z_23BA0C23_280B_4568_A53C_1C6D2E85772A_.wvu.FilterData" localSheetId="28" hidden="1">#REF!</definedName>
    <definedName name="Z_23BA0C23_280B_4568_A53C_1C6D2E85772A_.wvu.FilterData" localSheetId="27" hidden="1">#REF!</definedName>
    <definedName name="Z_23BA0C23_280B_4568_A53C_1C6D2E85772A_.wvu.FilterData" localSheetId="18" hidden="1">#REF!</definedName>
    <definedName name="Z_23BA0C23_280B_4568_A53C_1C6D2E85772A_.wvu.FilterData" localSheetId="7" hidden="1">#REF!</definedName>
    <definedName name="Z_23BA0C23_280B_4568_A53C_1C6D2E85772A_.wvu.FilterData" localSheetId="23" hidden="1">#REF!</definedName>
    <definedName name="Z_23BA0C23_280B_4568_A53C_1C6D2E85772A_.wvu.FilterData" hidden="1">#REF!</definedName>
    <definedName name="Z_244346C6_3866_4160_9E2E_C77913F25398_.wvu.FilterData" localSheetId="12" hidden="1">#REF!</definedName>
    <definedName name="Z_244346C6_3866_4160_9E2E_C77913F25398_.wvu.FilterData" localSheetId="30" hidden="1">#REF!</definedName>
    <definedName name="Z_244346C6_3866_4160_9E2E_C77913F25398_.wvu.FilterData" localSheetId="28" hidden="1">#REF!</definedName>
    <definedName name="Z_244346C6_3866_4160_9E2E_C77913F25398_.wvu.FilterData" localSheetId="27" hidden="1">#REF!</definedName>
    <definedName name="Z_244346C6_3866_4160_9E2E_C77913F25398_.wvu.FilterData" localSheetId="18" hidden="1">#REF!</definedName>
    <definedName name="Z_244346C6_3866_4160_9E2E_C77913F25398_.wvu.FilterData" localSheetId="7" hidden="1">#REF!</definedName>
    <definedName name="Z_244346C6_3866_4160_9E2E_C77913F25398_.wvu.FilterData" localSheetId="23" hidden="1">#REF!</definedName>
    <definedName name="Z_244346C6_3866_4160_9E2E_C77913F25398_.wvu.FilterData" hidden="1">#REF!</definedName>
    <definedName name="Z_25117F67_F0EE_43EF_8FF9_79F533CE10B0_.wvu.FilterData" localSheetId="12" hidden="1">#REF!</definedName>
    <definedName name="Z_25117F67_F0EE_43EF_8FF9_79F533CE10B0_.wvu.FilterData" localSheetId="30" hidden="1">#REF!</definedName>
    <definedName name="Z_25117F67_F0EE_43EF_8FF9_79F533CE10B0_.wvu.FilterData" localSheetId="28" hidden="1">#REF!</definedName>
    <definedName name="Z_25117F67_F0EE_43EF_8FF9_79F533CE10B0_.wvu.FilterData" localSheetId="27" hidden="1">#REF!</definedName>
    <definedName name="Z_25117F67_F0EE_43EF_8FF9_79F533CE10B0_.wvu.FilterData" localSheetId="18" hidden="1">#REF!</definedName>
    <definedName name="Z_25117F67_F0EE_43EF_8FF9_79F533CE10B0_.wvu.FilterData" localSheetId="7" hidden="1">#REF!</definedName>
    <definedName name="Z_25117F67_F0EE_43EF_8FF9_79F533CE10B0_.wvu.FilterData" localSheetId="23" hidden="1">#REF!</definedName>
    <definedName name="Z_25117F67_F0EE_43EF_8FF9_79F533CE10B0_.wvu.FilterData" hidden="1">#REF!</definedName>
    <definedName name="Z_259E2DDE_5459_4510_B7A2_66F49964C56E_.wvu.FilterData" localSheetId="12" hidden="1">#REF!</definedName>
    <definedName name="Z_259E2DDE_5459_4510_B7A2_66F49964C56E_.wvu.FilterData" localSheetId="30" hidden="1">#REF!</definedName>
    <definedName name="Z_259E2DDE_5459_4510_B7A2_66F49964C56E_.wvu.FilterData" localSheetId="28" hidden="1">#REF!</definedName>
    <definedName name="Z_259E2DDE_5459_4510_B7A2_66F49964C56E_.wvu.FilterData" localSheetId="27" hidden="1">#REF!</definedName>
    <definedName name="Z_259E2DDE_5459_4510_B7A2_66F49964C56E_.wvu.FilterData" localSheetId="18" hidden="1">#REF!</definedName>
    <definedName name="Z_259E2DDE_5459_4510_B7A2_66F49964C56E_.wvu.FilterData" localSheetId="7" hidden="1">#REF!</definedName>
    <definedName name="Z_259E2DDE_5459_4510_B7A2_66F49964C56E_.wvu.FilterData" localSheetId="23" hidden="1">#REF!</definedName>
    <definedName name="Z_259E2DDE_5459_4510_B7A2_66F49964C56E_.wvu.FilterData" hidden="1">#REF!</definedName>
    <definedName name="Z_25C7DFCF_BE54_4A41_B957_DE39B9B2A5B5_.wvu.FilterData" localSheetId="12" hidden="1">#REF!</definedName>
    <definedName name="Z_25C7DFCF_BE54_4A41_B957_DE39B9B2A5B5_.wvu.FilterData" localSheetId="30" hidden="1">#REF!</definedName>
    <definedName name="Z_25C7DFCF_BE54_4A41_B957_DE39B9B2A5B5_.wvu.FilterData" localSheetId="28" hidden="1">#REF!</definedName>
    <definedName name="Z_25C7DFCF_BE54_4A41_B957_DE39B9B2A5B5_.wvu.FilterData" localSheetId="27" hidden="1">#REF!</definedName>
    <definedName name="Z_25C7DFCF_BE54_4A41_B957_DE39B9B2A5B5_.wvu.FilterData" localSheetId="18" hidden="1">#REF!</definedName>
    <definedName name="Z_25C7DFCF_BE54_4A41_B957_DE39B9B2A5B5_.wvu.FilterData" localSheetId="7" hidden="1">#REF!</definedName>
    <definedName name="Z_25C7DFCF_BE54_4A41_B957_DE39B9B2A5B5_.wvu.FilterData" localSheetId="23" hidden="1">#REF!</definedName>
    <definedName name="Z_25C7DFCF_BE54_4A41_B957_DE39B9B2A5B5_.wvu.FilterData" hidden="1">#REF!</definedName>
    <definedName name="Z_272E0E4D_901D_11D7_B59C_0050DAB35C7B_.wvu.FilterData" localSheetId="12" hidden="1">#REF!</definedName>
    <definedName name="Z_272E0E4D_901D_11D7_B59C_0050DAB35C7B_.wvu.FilterData" localSheetId="30" hidden="1">#REF!</definedName>
    <definedName name="Z_272E0E4D_901D_11D7_B59C_0050DAB35C7B_.wvu.FilterData" localSheetId="28" hidden="1">#REF!</definedName>
    <definedName name="Z_272E0E4D_901D_11D7_B59C_0050DAB35C7B_.wvu.FilterData" localSheetId="27" hidden="1">#REF!</definedName>
    <definedName name="Z_272E0E4D_901D_11D7_B59C_0050DAB35C7B_.wvu.FilterData" localSheetId="18" hidden="1">#REF!</definedName>
    <definedName name="Z_272E0E4D_901D_11D7_B59C_0050DAB35C7B_.wvu.FilterData" localSheetId="7" hidden="1">#REF!</definedName>
    <definedName name="Z_272E0E4D_901D_11D7_B59C_0050DAB35C7B_.wvu.FilterData" localSheetId="23" hidden="1">#REF!</definedName>
    <definedName name="Z_272E0E4D_901D_11D7_B59C_0050DAB35C7B_.wvu.FilterData" hidden="1">#REF!</definedName>
    <definedName name="Z_27D9353E_5A5F_49BF_8724_FA312A4073FF_.wvu.FilterData" localSheetId="12" hidden="1">#REF!</definedName>
    <definedName name="Z_27D9353E_5A5F_49BF_8724_FA312A4073FF_.wvu.FilterData" localSheetId="30" hidden="1">#REF!</definedName>
    <definedName name="Z_27D9353E_5A5F_49BF_8724_FA312A4073FF_.wvu.FilterData" localSheetId="28" hidden="1">#REF!</definedName>
    <definedName name="Z_27D9353E_5A5F_49BF_8724_FA312A4073FF_.wvu.FilterData" localSheetId="27" hidden="1">#REF!</definedName>
    <definedName name="Z_27D9353E_5A5F_49BF_8724_FA312A4073FF_.wvu.FilterData" localSheetId="18" hidden="1">#REF!</definedName>
    <definedName name="Z_27D9353E_5A5F_49BF_8724_FA312A4073FF_.wvu.FilterData" localSheetId="7" hidden="1">#REF!</definedName>
    <definedName name="Z_27D9353E_5A5F_49BF_8724_FA312A4073FF_.wvu.FilterData" localSheetId="23" hidden="1">#REF!</definedName>
    <definedName name="Z_27D9353E_5A5F_49BF_8724_FA312A4073FF_.wvu.FilterData" hidden="1">#REF!</definedName>
    <definedName name="Z_299BE965_B904_49FA_A79D_B9538F94936F_.wvu.FilterData" localSheetId="12" hidden="1">#REF!</definedName>
    <definedName name="Z_299BE965_B904_49FA_A79D_B9538F94936F_.wvu.FilterData" localSheetId="30" hidden="1">#REF!</definedName>
    <definedName name="Z_299BE965_B904_49FA_A79D_B9538F94936F_.wvu.FilterData" localSheetId="28" hidden="1">#REF!</definedName>
    <definedName name="Z_299BE965_B904_49FA_A79D_B9538F94936F_.wvu.FilterData" localSheetId="27" hidden="1">#REF!</definedName>
    <definedName name="Z_299BE965_B904_49FA_A79D_B9538F94936F_.wvu.FilterData" localSheetId="18" hidden="1">#REF!</definedName>
    <definedName name="Z_299BE965_B904_49FA_A79D_B9538F94936F_.wvu.FilterData" localSheetId="7" hidden="1">#REF!</definedName>
    <definedName name="Z_299BE965_B904_49FA_A79D_B9538F94936F_.wvu.FilterData" localSheetId="23" hidden="1">#REF!</definedName>
    <definedName name="Z_299BE965_B904_49FA_A79D_B9538F94936F_.wvu.FilterData" hidden="1">#REF!</definedName>
    <definedName name="Z_29D37CE9_76D1_4D09_99A0_55ABA6929929_.wvu.FilterData" localSheetId="12" hidden="1">#REF!</definedName>
    <definedName name="Z_29D37CE9_76D1_4D09_99A0_55ABA6929929_.wvu.FilterData" localSheetId="30" hidden="1">#REF!</definedName>
    <definedName name="Z_29D37CE9_76D1_4D09_99A0_55ABA6929929_.wvu.FilterData" localSheetId="28" hidden="1">#REF!</definedName>
    <definedName name="Z_29D37CE9_76D1_4D09_99A0_55ABA6929929_.wvu.FilterData" localSheetId="27" hidden="1">#REF!</definedName>
    <definedName name="Z_29D37CE9_76D1_4D09_99A0_55ABA6929929_.wvu.FilterData" localSheetId="18" hidden="1">#REF!</definedName>
    <definedName name="Z_29D37CE9_76D1_4D09_99A0_55ABA6929929_.wvu.FilterData" localSheetId="7" hidden="1">#REF!</definedName>
    <definedName name="Z_29D37CE9_76D1_4D09_99A0_55ABA6929929_.wvu.FilterData" localSheetId="23" hidden="1">#REF!</definedName>
    <definedName name="Z_29D37CE9_76D1_4D09_99A0_55ABA6929929_.wvu.FilterData" hidden="1">#REF!</definedName>
    <definedName name="Z_2C05BC27_731C_41F4_980F_CD81E4A7A662_.wvu.FilterData" localSheetId="12" hidden="1">#REF!</definedName>
    <definedName name="Z_2C05BC27_731C_41F4_980F_CD81E4A7A662_.wvu.FilterData" localSheetId="30" hidden="1">#REF!</definedName>
    <definedName name="Z_2C05BC27_731C_41F4_980F_CD81E4A7A662_.wvu.FilterData" localSheetId="28" hidden="1">#REF!</definedName>
    <definedName name="Z_2C05BC27_731C_41F4_980F_CD81E4A7A662_.wvu.FilterData" localSheetId="27" hidden="1">#REF!</definedName>
    <definedName name="Z_2C05BC27_731C_41F4_980F_CD81E4A7A662_.wvu.FilterData" localSheetId="18" hidden="1">#REF!</definedName>
    <definedName name="Z_2C05BC27_731C_41F4_980F_CD81E4A7A662_.wvu.FilterData" localSheetId="7" hidden="1">#REF!</definedName>
    <definedName name="Z_2C05BC27_731C_41F4_980F_CD81E4A7A662_.wvu.FilterData" localSheetId="23" hidden="1">#REF!</definedName>
    <definedName name="Z_2C05BC27_731C_41F4_980F_CD81E4A7A662_.wvu.FilterData" hidden="1">#REF!</definedName>
    <definedName name="Z_2C0BDCBF_705B_4E5A_9659_05D99EC56641_.wvu.FilterData" localSheetId="12" hidden="1">#REF!</definedName>
    <definedName name="Z_2C0BDCBF_705B_4E5A_9659_05D99EC56641_.wvu.FilterData" localSheetId="30" hidden="1">#REF!</definedName>
    <definedName name="Z_2C0BDCBF_705B_4E5A_9659_05D99EC56641_.wvu.FilterData" localSheetId="28" hidden="1">#REF!</definedName>
    <definedName name="Z_2C0BDCBF_705B_4E5A_9659_05D99EC56641_.wvu.FilterData" localSheetId="27" hidden="1">#REF!</definedName>
    <definedName name="Z_2C0BDCBF_705B_4E5A_9659_05D99EC56641_.wvu.FilterData" localSheetId="18" hidden="1">#REF!</definedName>
    <definedName name="Z_2C0BDCBF_705B_4E5A_9659_05D99EC56641_.wvu.FilterData" localSheetId="7" hidden="1">#REF!</definedName>
    <definedName name="Z_2C0BDCBF_705B_4E5A_9659_05D99EC56641_.wvu.FilterData" localSheetId="23" hidden="1">#REF!</definedName>
    <definedName name="Z_2C0BDCBF_705B_4E5A_9659_05D99EC56641_.wvu.FilterData" hidden="1">#REF!</definedName>
    <definedName name="Z_2CD580B5_D99D_45ED_AC1E_45F8CBBBB9F1_.wvu.FilterData" localSheetId="12" hidden="1">#REF!</definedName>
    <definedName name="Z_2CD580B5_D99D_45ED_AC1E_45F8CBBBB9F1_.wvu.FilterData" localSheetId="30" hidden="1">#REF!</definedName>
    <definedName name="Z_2CD580B5_D99D_45ED_AC1E_45F8CBBBB9F1_.wvu.FilterData" localSheetId="28" hidden="1">#REF!</definedName>
    <definedName name="Z_2CD580B5_D99D_45ED_AC1E_45F8CBBBB9F1_.wvu.FilterData" localSheetId="27" hidden="1">#REF!</definedName>
    <definedName name="Z_2CD580B5_D99D_45ED_AC1E_45F8CBBBB9F1_.wvu.FilterData" localSheetId="18" hidden="1">#REF!</definedName>
    <definedName name="Z_2CD580B5_D99D_45ED_AC1E_45F8CBBBB9F1_.wvu.FilterData" localSheetId="7" hidden="1">#REF!</definedName>
    <definedName name="Z_2CD580B5_D99D_45ED_AC1E_45F8CBBBB9F1_.wvu.FilterData" localSheetId="23" hidden="1">#REF!</definedName>
    <definedName name="Z_2CD580B5_D99D_45ED_AC1E_45F8CBBBB9F1_.wvu.FilterData" hidden="1">#REF!</definedName>
    <definedName name="Z_2D98D706_A306_4353_8B3D_DA92F9EAEC9A_.wvu.FilterData" localSheetId="12" hidden="1">#REF!</definedName>
    <definedName name="Z_2D98D706_A306_4353_8B3D_DA92F9EAEC9A_.wvu.FilterData" localSheetId="30" hidden="1">#REF!</definedName>
    <definedName name="Z_2D98D706_A306_4353_8B3D_DA92F9EAEC9A_.wvu.FilterData" localSheetId="28" hidden="1">#REF!</definedName>
    <definedName name="Z_2D98D706_A306_4353_8B3D_DA92F9EAEC9A_.wvu.FilterData" localSheetId="27" hidden="1">#REF!</definedName>
    <definedName name="Z_2D98D706_A306_4353_8B3D_DA92F9EAEC9A_.wvu.FilterData" localSheetId="18" hidden="1">#REF!</definedName>
    <definedName name="Z_2D98D706_A306_4353_8B3D_DA92F9EAEC9A_.wvu.FilterData" localSheetId="7" hidden="1">#REF!</definedName>
    <definedName name="Z_2D98D706_A306_4353_8B3D_DA92F9EAEC9A_.wvu.FilterData" localSheetId="23" hidden="1">#REF!</definedName>
    <definedName name="Z_2D98D706_A306_4353_8B3D_DA92F9EAEC9A_.wvu.FilterData" hidden="1">#REF!</definedName>
    <definedName name="Z_2F8736FC_F07E_49E8_9C13_8E0A0F5EFE5F_.wvu.FilterData" localSheetId="12" hidden="1">#REF!</definedName>
    <definedName name="Z_2F8736FC_F07E_49E8_9C13_8E0A0F5EFE5F_.wvu.FilterData" localSheetId="30" hidden="1">#REF!</definedName>
    <definedName name="Z_2F8736FC_F07E_49E8_9C13_8E0A0F5EFE5F_.wvu.FilterData" localSheetId="28" hidden="1">#REF!</definedName>
    <definedName name="Z_2F8736FC_F07E_49E8_9C13_8E0A0F5EFE5F_.wvu.FilterData" localSheetId="27" hidden="1">#REF!</definedName>
    <definedName name="Z_2F8736FC_F07E_49E8_9C13_8E0A0F5EFE5F_.wvu.FilterData" localSheetId="18" hidden="1">#REF!</definedName>
    <definedName name="Z_2F8736FC_F07E_49E8_9C13_8E0A0F5EFE5F_.wvu.FilterData" localSheetId="7" hidden="1">#REF!</definedName>
    <definedName name="Z_2F8736FC_F07E_49E8_9C13_8E0A0F5EFE5F_.wvu.FilterData" localSheetId="23" hidden="1">#REF!</definedName>
    <definedName name="Z_2F8736FC_F07E_49E8_9C13_8E0A0F5EFE5F_.wvu.FilterData" hidden="1">#REF!</definedName>
    <definedName name="Z_304C2F7A_D3A6_4DBA_A568_C3E56D7C6E2F_.wvu.FilterData" localSheetId="12" hidden="1">#REF!</definedName>
    <definedName name="Z_304C2F7A_D3A6_4DBA_A568_C3E56D7C6E2F_.wvu.FilterData" localSheetId="30" hidden="1">#REF!</definedName>
    <definedName name="Z_304C2F7A_D3A6_4DBA_A568_C3E56D7C6E2F_.wvu.FilterData" localSheetId="28" hidden="1">#REF!</definedName>
    <definedName name="Z_304C2F7A_D3A6_4DBA_A568_C3E56D7C6E2F_.wvu.FilterData" localSheetId="27" hidden="1">#REF!</definedName>
    <definedName name="Z_304C2F7A_D3A6_4DBA_A568_C3E56D7C6E2F_.wvu.FilterData" localSheetId="18" hidden="1">#REF!</definedName>
    <definedName name="Z_304C2F7A_D3A6_4DBA_A568_C3E56D7C6E2F_.wvu.FilterData" localSheetId="7" hidden="1">#REF!</definedName>
    <definedName name="Z_304C2F7A_D3A6_4DBA_A568_C3E56D7C6E2F_.wvu.FilterData" localSheetId="23" hidden="1">#REF!</definedName>
    <definedName name="Z_304C2F7A_D3A6_4DBA_A568_C3E56D7C6E2F_.wvu.FilterData" hidden="1">#REF!</definedName>
    <definedName name="Z_30E0ACE8_B29A_44E9_B542_E8C1CA3FD802_.wvu.FilterData" localSheetId="12" hidden="1">#REF!</definedName>
    <definedName name="Z_30E0ACE8_B29A_44E9_B542_E8C1CA3FD802_.wvu.FilterData" localSheetId="30" hidden="1">#REF!</definedName>
    <definedName name="Z_30E0ACE8_B29A_44E9_B542_E8C1CA3FD802_.wvu.FilterData" localSheetId="28" hidden="1">#REF!</definedName>
    <definedName name="Z_30E0ACE8_B29A_44E9_B542_E8C1CA3FD802_.wvu.FilterData" localSheetId="27" hidden="1">#REF!</definedName>
    <definedName name="Z_30E0ACE8_B29A_44E9_B542_E8C1CA3FD802_.wvu.FilterData" localSheetId="18" hidden="1">#REF!</definedName>
    <definedName name="Z_30E0ACE8_B29A_44E9_B542_E8C1CA3FD802_.wvu.FilterData" localSheetId="7" hidden="1">#REF!</definedName>
    <definedName name="Z_30E0ACE8_B29A_44E9_B542_E8C1CA3FD802_.wvu.FilterData" localSheetId="23" hidden="1">#REF!</definedName>
    <definedName name="Z_30E0ACE8_B29A_44E9_B542_E8C1CA3FD802_.wvu.FilterData" hidden="1">#REF!</definedName>
    <definedName name="Z_31A27EA2_D574_43B8_A671_7419A12151C9_.wvu.FilterData" localSheetId="12" hidden="1">#REF!</definedName>
    <definedName name="Z_31A27EA2_D574_43B8_A671_7419A12151C9_.wvu.FilterData" localSheetId="30" hidden="1">#REF!</definedName>
    <definedName name="Z_31A27EA2_D574_43B8_A671_7419A12151C9_.wvu.FilterData" localSheetId="28" hidden="1">#REF!</definedName>
    <definedName name="Z_31A27EA2_D574_43B8_A671_7419A12151C9_.wvu.FilterData" localSheetId="27" hidden="1">#REF!</definedName>
    <definedName name="Z_31A27EA2_D574_43B8_A671_7419A12151C9_.wvu.FilterData" localSheetId="18" hidden="1">#REF!</definedName>
    <definedName name="Z_31A27EA2_D574_43B8_A671_7419A12151C9_.wvu.FilterData" localSheetId="7" hidden="1">#REF!</definedName>
    <definedName name="Z_31A27EA2_D574_43B8_A671_7419A12151C9_.wvu.FilterData" localSheetId="23" hidden="1">#REF!</definedName>
    <definedName name="Z_31A27EA2_D574_43B8_A671_7419A12151C9_.wvu.FilterData" hidden="1">#REF!</definedName>
    <definedName name="Z_32D1B352_62AB_4105_8DFC_EAA2DF743365_.wvu.FilterData" localSheetId="12" hidden="1">#REF!</definedName>
    <definedName name="Z_32D1B352_62AB_4105_8DFC_EAA2DF743365_.wvu.FilterData" localSheetId="30" hidden="1">#REF!</definedName>
    <definedName name="Z_32D1B352_62AB_4105_8DFC_EAA2DF743365_.wvu.FilterData" localSheetId="28" hidden="1">#REF!</definedName>
    <definedName name="Z_32D1B352_62AB_4105_8DFC_EAA2DF743365_.wvu.FilterData" localSheetId="27" hidden="1">#REF!</definedName>
    <definedName name="Z_32D1B352_62AB_4105_8DFC_EAA2DF743365_.wvu.FilterData" localSheetId="18" hidden="1">#REF!</definedName>
    <definedName name="Z_32D1B352_62AB_4105_8DFC_EAA2DF743365_.wvu.FilterData" localSheetId="7" hidden="1">#REF!</definedName>
    <definedName name="Z_32D1B352_62AB_4105_8DFC_EAA2DF743365_.wvu.FilterData" localSheetId="23" hidden="1">#REF!</definedName>
    <definedName name="Z_32D1B352_62AB_4105_8DFC_EAA2DF743365_.wvu.FilterData" hidden="1">#REF!</definedName>
    <definedName name="Z_330DF436_5BED_40AF_AC51_73D268BD9DF4_.wvu.FilterData" localSheetId="12" hidden="1">#REF!</definedName>
    <definedName name="Z_330DF436_5BED_40AF_AC51_73D268BD9DF4_.wvu.FilterData" localSheetId="30" hidden="1">#REF!</definedName>
    <definedName name="Z_330DF436_5BED_40AF_AC51_73D268BD9DF4_.wvu.FilterData" localSheetId="28" hidden="1">#REF!</definedName>
    <definedName name="Z_330DF436_5BED_40AF_AC51_73D268BD9DF4_.wvu.FilterData" localSheetId="27" hidden="1">#REF!</definedName>
    <definedName name="Z_330DF436_5BED_40AF_AC51_73D268BD9DF4_.wvu.FilterData" localSheetId="18" hidden="1">#REF!</definedName>
    <definedName name="Z_330DF436_5BED_40AF_AC51_73D268BD9DF4_.wvu.FilterData" localSheetId="7" hidden="1">#REF!</definedName>
    <definedName name="Z_330DF436_5BED_40AF_AC51_73D268BD9DF4_.wvu.FilterData" localSheetId="23" hidden="1">#REF!</definedName>
    <definedName name="Z_330DF436_5BED_40AF_AC51_73D268BD9DF4_.wvu.FilterData" hidden="1">#REF!</definedName>
    <definedName name="Z_33B8EF57_2FB1_4600_9590_B0A2F2FE409B_.wvu.FilterData" localSheetId="12" hidden="1">#REF!</definedName>
    <definedName name="Z_33B8EF57_2FB1_4600_9590_B0A2F2FE409B_.wvu.FilterData" localSheetId="30" hidden="1">#REF!</definedName>
    <definedName name="Z_33B8EF57_2FB1_4600_9590_B0A2F2FE409B_.wvu.FilterData" localSheetId="28" hidden="1">#REF!</definedName>
    <definedName name="Z_33B8EF57_2FB1_4600_9590_B0A2F2FE409B_.wvu.FilterData" localSheetId="27" hidden="1">#REF!</definedName>
    <definedName name="Z_33B8EF57_2FB1_4600_9590_B0A2F2FE409B_.wvu.FilterData" localSheetId="18" hidden="1">#REF!</definedName>
    <definedName name="Z_33B8EF57_2FB1_4600_9590_B0A2F2FE409B_.wvu.FilterData" localSheetId="7" hidden="1">#REF!</definedName>
    <definedName name="Z_33B8EF57_2FB1_4600_9590_B0A2F2FE409B_.wvu.FilterData" localSheetId="23" hidden="1">#REF!</definedName>
    <definedName name="Z_33B8EF57_2FB1_4600_9590_B0A2F2FE409B_.wvu.FilterData" hidden="1">#REF!</definedName>
    <definedName name="Z_3404588C_6CE7_4C97_A62C_D19D9EE290D3_.wvu.FilterData" localSheetId="12" hidden="1">#REF!</definedName>
    <definedName name="Z_3404588C_6CE7_4C97_A62C_D19D9EE290D3_.wvu.FilterData" localSheetId="30" hidden="1">#REF!</definedName>
    <definedName name="Z_3404588C_6CE7_4C97_A62C_D19D9EE290D3_.wvu.FilterData" localSheetId="28" hidden="1">#REF!</definedName>
    <definedName name="Z_3404588C_6CE7_4C97_A62C_D19D9EE290D3_.wvu.FilterData" localSheetId="27" hidden="1">#REF!</definedName>
    <definedName name="Z_3404588C_6CE7_4C97_A62C_D19D9EE290D3_.wvu.FilterData" localSheetId="18" hidden="1">#REF!</definedName>
    <definedName name="Z_3404588C_6CE7_4C97_A62C_D19D9EE290D3_.wvu.FilterData" localSheetId="7" hidden="1">#REF!</definedName>
    <definedName name="Z_3404588C_6CE7_4C97_A62C_D19D9EE290D3_.wvu.FilterData" localSheetId="23" hidden="1">#REF!</definedName>
    <definedName name="Z_3404588C_6CE7_4C97_A62C_D19D9EE290D3_.wvu.FilterData" hidden="1">#REF!</definedName>
    <definedName name="Z_34E71878_8D1A_4343_91A1_3FE085136D2B_.wvu.FilterData" localSheetId="12" hidden="1">#REF!</definedName>
    <definedName name="Z_34E71878_8D1A_4343_91A1_3FE085136D2B_.wvu.FilterData" localSheetId="30" hidden="1">#REF!</definedName>
    <definedName name="Z_34E71878_8D1A_4343_91A1_3FE085136D2B_.wvu.FilterData" localSheetId="28" hidden="1">#REF!</definedName>
    <definedName name="Z_34E71878_8D1A_4343_91A1_3FE085136D2B_.wvu.FilterData" localSheetId="27" hidden="1">#REF!</definedName>
    <definedName name="Z_34E71878_8D1A_4343_91A1_3FE085136D2B_.wvu.FilterData" localSheetId="18" hidden="1">#REF!</definedName>
    <definedName name="Z_34E71878_8D1A_4343_91A1_3FE085136D2B_.wvu.FilterData" localSheetId="7" hidden="1">#REF!</definedName>
    <definedName name="Z_34E71878_8D1A_4343_91A1_3FE085136D2B_.wvu.FilterData" localSheetId="23" hidden="1">#REF!</definedName>
    <definedName name="Z_34E71878_8D1A_4343_91A1_3FE085136D2B_.wvu.FilterData" hidden="1">#REF!</definedName>
    <definedName name="Z_37611AA0_E86A_42C8_8705_108B25E060A1_.wvu.FilterData" localSheetId="12" hidden="1">#REF!</definedName>
    <definedName name="Z_37611AA0_E86A_42C8_8705_108B25E060A1_.wvu.FilterData" localSheetId="30" hidden="1">#REF!</definedName>
    <definedName name="Z_37611AA0_E86A_42C8_8705_108B25E060A1_.wvu.FilterData" localSheetId="28" hidden="1">#REF!</definedName>
    <definedName name="Z_37611AA0_E86A_42C8_8705_108B25E060A1_.wvu.FilterData" localSheetId="27" hidden="1">#REF!</definedName>
    <definedName name="Z_37611AA0_E86A_42C8_8705_108B25E060A1_.wvu.FilterData" localSheetId="18" hidden="1">#REF!</definedName>
    <definedName name="Z_37611AA0_E86A_42C8_8705_108B25E060A1_.wvu.FilterData" localSheetId="7" hidden="1">#REF!</definedName>
    <definedName name="Z_37611AA0_E86A_42C8_8705_108B25E060A1_.wvu.FilterData" localSheetId="23" hidden="1">#REF!</definedName>
    <definedName name="Z_37611AA0_E86A_42C8_8705_108B25E060A1_.wvu.FilterData" hidden="1">#REF!</definedName>
    <definedName name="Z_38FE6CED_4C19_4332_9788_ACC902B20A46_.wvu.FilterData" localSheetId="12" hidden="1">#REF!</definedName>
    <definedName name="Z_38FE6CED_4C19_4332_9788_ACC902B20A46_.wvu.FilterData" localSheetId="30" hidden="1">#REF!</definedName>
    <definedName name="Z_38FE6CED_4C19_4332_9788_ACC902B20A46_.wvu.FilterData" localSheetId="28" hidden="1">#REF!</definedName>
    <definedName name="Z_38FE6CED_4C19_4332_9788_ACC902B20A46_.wvu.FilterData" localSheetId="27" hidden="1">#REF!</definedName>
    <definedName name="Z_38FE6CED_4C19_4332_9788_ACC902B20A46_.wvu.FilterData" localSheetId="18" hidden="1">#REF!</definedName>
    <definedName name="Z_38FE6CED_4C19_4332_9788_ACC902B20A46_.wvu.FilterData" localSheetId="7" hidden="1">#REF!</definedName>
    <definedName name="Z_38FE6CED_4C19_4332_9788_ACC902B20A46_.wvu.FilterData" localSheetId="23" hidden="1">#REF!</definedName>
    <definedName name="Z_38FE6CED_4C19_4332_9788_ACC902B20A46_.wvu.FilterData" hidden="1">#REF!</definedName>
    <definedName name="Z_394E75CB_4F7F_4C88_A08F_29E48E587341_.wvu.FilterData" localSheetId="12" hidden="1">#REF!</definedName>
    <definedName name="Z_394E75CB_4F7F_4C88_A08F_29E48E587341_.wvu.FilterData" localSheetId="30" hidden="1">#REF!</definedName>
    <definedName name="Z_394E75CB_4F7F_4C88_A08F_29E48E587341_.wvu.FilterData" localSheetId="28" hidden="1">#REF!</definedName>
    <definedName name="Z_394E75CB_4F7F_4C88_A08F_29E48E587341_.wvu.FilterData" localSheetId="27" hidden="1">#REF!</definedName>
    <definedName name="Z_394E75CB_4F7F_4C88_A08F_29E48E587341_.wvu.FilterData" localSheetId="18" hidden="1">#REF!</definedName>
    <definedName name="Z_394E75CB_4F7F_4C88_A08F_29E48E587341_.wvu.FilterData" localSheetId="7" hidden="1">#REF!</definedName>
    <definedName name="Z_394E75CB_4F7F_4C88_A08F_29E48E587341_.wvu.FilterData" localSheetId="23" hidden="1">#REF!</definedName>
    <definedName name="Z_394E75CB_4F7F_4C88_A08F_29E48E587341_.wvu.FilterData" hidden="1">#REF!</definedName>
    <definedName name="Z_3C200595_20A3_4A0C_B071_705F4AD5DAD3_.wvu.FilterData" localSheetId="12" hidden="1">#REF!</definedName>
    <definedName name="Z_3C200595_20A3_4A0C_B071_705F4AD5DAD3_.wvu.FilterData" localSheetId="30" hidden="1">#REF!</definedName>
    <definedName name="Z_3C200595_20A3_4A0C_B071_705F4AD5DAD3_.wvu.FilterData" localSheetId="28" hidden="1">#REF!</definedName>
    <definedName name="Z_3C200595_20A3_4A0C_B071_705F4AD5DAD3_.wvu.FilterData" localSheetId="27" hidden="1">#REF!</definedName>
    <definedName name="Z_3C200595_20A3_4A0C_B071_705F4AD5DAD3_.wvu.FilterData" localSheetId="18" hidden="1">#REF!</definedName>
    <definedName name="Z_3C200595_20A3_4A0C_B071_705F4AD5DAD3_.wvu.FilterData" localSheetId="7" hidden="1">#REF!</definedName>
    <definedName name="Z_3C200595_20A3_4A0C_B071_705F4AD5DAD3_.wvu.FilterData" localSheetId="23" hidden="1">#REF!</definedName>
    <definedName name="Z_3C200595_20A3_4A0C_B071_705F4AD5DAD3_.wvu.FilterData" hidden="1">#REF!</definedName>
    <definedName name="Z_3E93FF4A_0B7F_475C_A63C_54FBDB9DB4C5_.wvu.FilterData" localSheetId="12" hidden="1">#REF!</definedName>
    <definedName name="Z_3E93FF4A_0B7F_475C_A63C_54FBDB9DB4C5_.wvu.FilterData" localSheetId="30" hidden="1">#REF!</definedName>
    <definedName name="Z_3E93FF4A_0B7F_475C_A63C_54FBDB9DB4C5_.wvu.FilterData" localSheetId="28" hidden="1">#REF!</definedName>
    <definedName name="Z_3E93FF4A_0B7F_475C_A63C_54FBDB9DB4C5_.wvu.FilterData" localSheetId="27" hidden="1">#REF!</definedName>
    <definedName name="Z_3E93FF4A_0B7F_475C_A63C_54FBDB9DB4C5_.wvu.FilterData" localSheetId="18" hidden="1">#REF!</definedName>
    <definedName name="Z_3E93FF4A_0B7F_475C_A63C_54FBDB9DB4C5_.wvu.FilterData" localSheetId="7" hidden="1">#REF!</definedName>
    <definedName name="Z_3E93FF4A_0B7F_475C_A63C_54FBDB9DB4C5_.wvu.FilterData" localSheetId="23" hidden="1">#REF!</definedName>
    <definedName name="Z_3E93FF4A_0B7F_475C_A63C_54FBDB9DB4C5_.wvu.FilterData" hidden="1">#REF!</definedName>
    <definedName name="Z_3FF05DC4_CA9E_470D_A193_91785ACE00EF_.wvu.FilterData" localSheetId="12" hidden="1">#REF!</definedName>
    <definedName name="Z_3FF05DC4_CA9E_470D_A193_91785ACE00EF_.wvu.FilterData" localSheetId="30" hidden="1">#REF!</definedName>
    <definedName name="Z_3FF05DC4_CA9E_470D_A193_91785ACE00EF_.wvu.FilterData" localSheetId="28" hidden="1">#REF!</definedName>
    <definedName name="Z_3FF05DC4_CA9E_470D_A193_91785ACE00EF_.wvu.FilterData" localSheetId="27" hidden="1">#REF!</definedName>
    <definedName name="Z_3FF05DC4_CA9E_470D_A193_91785ACE00EF_.wvu.FilterData" localSheetId="18" hidden="1">#REF!</definedName>
    <definedName name="Z_3FF05DC4_CA9E_470D_A193_91785ACE00EF_.wvu.FilterData" localSheetId="7" hidden="1">#REF!</definedName>
    <definedName name="Z_3FF05DC4_CA9E_470D_A193_91785ACE00EF_.wvu.FilterData" localSheetId="23" hidden="1">#REF!</definedName>
    <definedName name="Z_3FF05DC4_CA9E_470D_A193_91785ACE00EF_.wvu.FilterData" hidden="1">#REF!</definedName>
    <definedName name="Z_43791B95_57D7_42F4_8815_D1B7E488543E_.wvu.FilterData" localSheetId="12" hidden="1">#REF!</definedName>
    <definedName name="Z_43791B95_57D7_42F4_8815_D1B7E488543E_.wvu.FilterData" localSheetId="30" hidden="1">#REF!</definedName>
    <definedName name="Z_43791B95_57D7_42F4_8815_D1B7E488543E_.wvu.FilterData" localSheetId="28" hidden="1">#REF!</definedName>
    <definedName name="Z_43791B95_57D7_42F4_8815_D1B7E488543E_.wvu.FilterData" localSheetId="27" hidden="1">#REF!</definedName>
    <definedName name="Z_43791B95_57D7_42F4_8815_D1B7E488543E_.wvu.FilterData" localSheetId="18" hidden="1">#REF!</definedName>
    <definedName name="Z_43791B95_57D7_42F4_8815_D1B7E488543E_.wvu.FilterData" localSheetId="7" hidden="1">#REF!</definedName>
    <definedName name="Z_43791B95_57D7_42F4_8815_D1B7E488543E_.wvu.FilterData" localSheetId="23" hidden="1">#REF!</definedName>
    <definedName name="Z_43791B95_57D7_42F4_8815_D1B7E488543E_.wvu.FilterData" hidden="1">#REF!</definedName>
    <definedName name="Z_445AA90F_6D9B_40F5_8E1D_CE1EF57CF450_.wvu.FilterData" localSheetId="12" hidden="1">#REF!</definedName>
    <definedName name="Z_445AA90F_6D9B_40F5_8E1D_CE1EF57CF450_.wvu.FilterData" localSheetId="30" hidden="1">#REF!</definedName>
    <definedName name="Z_445AA90F_6D9B_40F5_8E1D_CE1EF57CF450_.wvu.FilterData" localSheetId="28" hidden="1">#REF!</definedName>
    <definedName name="Z_445AA90F_6D9B_40F5_8E1D_CE1EF57CF450_.wvu.FilterData" localSheetId="27" hidden="1">#REF!</definedName>
    <definedName name="Z_445AA90F_6D9B_40F5_8E1D_CE1EF57CF450_.wvu.FilterData" localSheetId="18" hidden="1">#REF!</definedName>
    <definedName name="Z_445AA90F_6D9B_40F5_8E1D_CE1EF57CF450_.wvu.FilterData" localSheetId="7" hidden="1">#REF!</definedName>
    <definedName name="Z_445AA90F_6D9B_40F5_8E1D_CE1EF57CF450_.wvu.FilterData" localSheetId="23" hidden="1">#REF!</definedName>
    <definedName name="Z_445AA90F_6D9B_40F5_8E1D_CE1EF57CF450_.wvu.FilterData" hidden="1">#REF!</definedName>
    <definedName name="Z_454E0C40_F84F_42A3_A371_6F23C1F38595_.wvu.FilterData" localSheetId="12" hidden="1">#REF!</definedName>
    <definedName name="Z_454E0C40_F84F_42A3_A371_6F23C1F38595_.wvu.FilterData" localSheetId="30" hidden="1">#REF!</definedName>
    <definedName name="Z_454E0C40_F84F_42A3_A371_6F23C1F38595_.wvu.FilterData" localSheetId="28" hidden="1">#REF!</definedName>
    <definedName name="Z_454E0C40_F84F_42A3_A371_6F23C1F38595_.wvu.FilterData" localSheetId="27" hidden="1">#REF!</definedName>
    <definedName name="Z_454E0C40_F84F_42A3_A371_6F23C1F38595_.wvu.FilterData" localSheetId="18" hidden="1">#REF!</definedName>
    <definedName name="Z_454E0C40_F84F_42A3_A371_6F23C1F38595_.wvu.FilterData" localSheetId="7" hidden="1">#REF!</definedName>
    <definedName name="Z_454E0C40_F84F_42A3_A371_6F23C1F38595_.wvu.FilterData" localSheetId="23" hidden="1">#REF!</definedName>
    <definedName name="Z_454E0C40_F84F_42A3_A371_6F23C1F38595_.wvu.FilterData" hidden="1">#REF!</definedName>
    <definedName name="Z_4608FCB3_3552_4D58_B6CE_B8F34D78221E_.wvu.FilterData" localSheetId="12" hidden="1">#REF!</definedName>
    <definedName name="Z_4608FCB3_3552_4D58_B6CE_B8F34D78221E_.wvu.FilterData" localSheetId="30" hidden="1">#REF!</definedName>
    <definedName name="Z_4608FCB3_3552_4D58_B6CE_B8F34D78221E_.wvu.FilterData" localSheetId="28" hidden="1">#REF!</definedName>
    <definedName name="Z_4608FCB3_3552_4D58_B6CE_B8F34D78221E_.wvu.FilterData" localSheetId="27" hidden="1">#REF!</definedName>
    <definedName name="Z_4608FCB3_3552_4D58_B6CE_B8F34D78221E_.wvu.FilterData" localSheetId="18" hidden="1">#REF!</definedName>
    <definedName name="Z_4608FCB3_3552_4D58_B6CE_B8F34D78221E_.wvu.FilterData" localSheetId="7" hidden="1">#REF!</definedName>
    <definedName name="Z_4608FCB3_3552_4D58_B6CE_B8F34D78221E_.wvu.FilterData" localSheetId="23" hidden="1">#REF!</definedName>
    <definedName name="Z_4608FCB3_3552_4D58_B6CE_B8F34D78221E_.wvu.FilterData" hidden="1">#REF!</definedName>
    <definedName name="Z_46E47F7C_9185_4E39_BED5_B4A69FF64CC1_.wvu.FilterData" localSheetId="12" hidden="1">#REF!</definedName>
    <definedName name="Z_46E47F7C_9185_4E39_BED5_B4A69FF64CC1_.wvu.FilterData" localSheetId="30" hidden="1">#REF!</definedName>
    <definedName name="Z_46E47F7C_9185_4E39_BED5_B4A69FF64CC1_.wvu.FilterData" localSheetId="28" hidden="1">#REF!</definedName>
    <definedName name="Z_46E47F7C_9185_4E39_BED5_B4A69FF64CC1_.wvu.FilterData" localSheetId="27" hidden="1">#REF!</definedName>
    <definedName name="Z_46E47F7C_9185_4E39_BED5_B4A69FF64CC1_.wvu.FilterData" localSheetId="18" hidden="1">#REF!</definedName>
    <definedName name="Z_46E47F7C_9185_4E39_BED5_B4A69FF64CC1_.wvu.FilterData" localSheetId="7" hidden="1">#REF!</definedName>
    <definedName name="Z_46E47F7C_9185_4E39_BED5_B4A69FF64CC1_.wvu.FilterData" localSheetId="23" hidden="1">#REF!</definedName>
    <definedName name="Z_46E47F7C_9185_4E39_BED5_B4A69FF64CC1_.wvu.FilterData" hidden="1">#REF!</definedName>
    <definedName name="Z_48202D5D_77CB_41DE_8C59_9325C98D7C97_.wvu.FilterData" localSheetId="12" hidden="1">#REF!</definedName>
    <definedName name="Z_48202D5D_77CB_41DE_8C59_9325C98D7C97_.wvu.FilterData" localSheetId="30" hidden="1">#REF!</definedName>
    <definedName name="Z_48202D5D_77CB_41DE_8C59_9325C98D7C97_.wvu.FilterData" localSheetId="28" hidden="1">#REF!</definedName>
    <definedName name="Z_48202D5D_77CB_41DE_8C59_9325C98D7C97_.wvu.FilterData" localSheetId="27" hidden="1">#REF!</definedName>
    <definedName name="Z_48202D5D_77CB_41DE_8C59_9325C98D7C97_.wvu.FilterData" localSheetId="18" hidden="1">#REF!</definedName>
    <definedName name="Z_48202D5D_77CB_41DE_8C59_9325C98D7C97_.wvu.FilterData" localSheetId="7" hidden="1">#REF!</definedName>
    <definedName name="Z_48202D5D_77CB_41DE_8C59_9325C98D7C97_.wvu.FilterData" localSheetId="23" hidden="1">#REF!</definedName>
    <definedName name="Z_48202D5D_77CB_41DE_8C59_9325C98D7C97_.wvu.FilterData" hidden="1">#REF!</definedName>
    <definedName name="Z_48824DFE_B714_4D0B_9E95_F01C5BAD5D1F_.wvu.FilterData" localSheetId="12" hidden="1">#REF!</definedName>
    <definedName name="Z_48824DFE_B714_4D0B_9E95_F01C5BAD5D1F_.wvu.FilterData" localSheetId="30" hidden="1">#REF!</definedName>
    <definedName name="Z_48824DFE_B714_4D0B_9E95_F01C5BAD5D1F_.wvu.FilterData" localSheetId="28" hidden="1">#REF!</definedName>
    <definedName name="Z_48824DFE_B714_4D0B_9E95_F01C5BAD5D1F_.wvu.FilterData" localSheetId="27" hidden="1">#REF!</definedName>
    <definedName name="Z_48824DFE_B714_4D0B_9E95_F01C5BAD5D1F_.wvu.FilterData" localSheetId="18" hidden="1">#REF!</definedName>
    <definedName name="Z_48824DFE_B714_4D0B_9E95_F01C5BAD5D1F_.wvu.FilterData" localSheetId="7" hidden="1">#REF!</definedName>
    <definedName name="Z_48824DFE_B714_4D0B_9E95_F01C5BAD5D1F_.wvu.FilterData" localSheetId="23" hidden="1">#REF!</definedName>
    <definedName name="Z_48824DFE_B714_4D0B_9E95_F01C5BAD5D1F_.wvu.FilterData" hidden="1">#REF!</definedName>
    <definedName name="Z_4C45D885_33EE_4DA9_BF96_6B10CFBA5596_.wvu.FilterData" localSheetId="12" hidden="1">#REF!</definedName>
    <definedName name="Z_4C45D885_33EE_4DA9_BF96_6B10CFBA5596_.wvu.FilterData" localSheetId="30" hidden="1">#REF!</definedName>
    <definedName name="Z_4C45D885_33EE_4DA9_BF96_6B10CFBA5596_.wvu.FilterData" localSheetId="28" hidden="1">#REF!</definedName>
    <definedName name="Z_4C45D885_33EE_4DA9_BF96_6B10CFBA5596_.wvu.FilterData" localSheetId="27" hidden="1">#REF!</definedName>
    <definedName name="Z_4C45D885_33EE_4DA9_BF96_6B10CFBA5596_.wvu.FilterData" localSheetId="18" hidden="1">#REF!</definedName>
    <definedName name="Z_4C45D885_33EE_4DA9_BF96_6B10CFBA5596_.wvu.FilterData" localSheetId="7" hidden="1">#REF!</definedName>
    <definedName name="Z_4C45D885_33EE_4DA9_BF96_6B10CFBA5596_.wvu.FilterData" localSheetId="23" hidden="1">#REF!</definedName>
    <definedName name="Z_4C45D885_33EE_4DA9_BF96_6B10CFBA5596_.wvu.FilterData" hidden="1">#REF!</definedName>
    <definedName name="Z_4CA4BF7C_65C1_4E25_8563_22DF58586D2C_.wvu.PrintArea" localSheetId="12" hidden="1">#REF!</definedName>
    <definedName name="Z_4CA4BF7C_65C1_4E25_8563_22DF58586D2C_.wvu.PrintArea" localSheetId="30" hidden="1">#REF!</definedName>
    <definedName name="Z_4CA4BF7C_65C1_4E25_8563_22DF58586D2C_.wvu.PrintArea" localSheetId="28" hidden="1">#REF!</definedName>
    <definedName name="Z_4CA4BF7C_65C1_4E25_8563_22DF58586D2C_.wvu.PrintArea" localSheetId="27" hidden="1">#REF!</definedName>
    <definedName name="Z_4CA4BF7C_65C1_4E25_8563_22DF58586D2C_.wvu.PrintArea" localSheetId="18" hidden="1">#REF!</definedName>
    <definedName name="Z_4CA4BF7C_65C1_4E25_8563_22DF58586D2C_.wvu.PrintArea" localSheetId="7" hidden="1">#REF!</definedName>
    <definedName name="Z_4CA4BF7C_65C1_4E25_8563_22DF58586D2C_.wvu.PrintArea" localSheetId="23" hidden="1">#REF!</definedName>
    <definedName name="Z_4CA4BF7C_65C1_4E25_8563_22DF58586D2C_.wvu.PrintArea" hidden="1">#REF!</definedName>
    <definedName name="Z_4CA4BF7C_65C1_4E25_8563_22DF58586D2C_.wvu.PrintTitles" localSheetId="12" hidden="1">#REF!</definedName>
    <definedName name="Z_4CA4BF7C_65C1_4E25_8563_22DF58586D2C_.wvu.PrintTitles" localSheetId="30" hidden="1">#REF!</definedName>
    <definedName name="Z_4CA4BF7C_65C1_4E25_8563_22DF58586D2C_.wvu.PrintTitles" localSheetId="28" hidden="1">#REF!</definedName>
    <definedName name="Z_4CA4BF7C_65C1_4E25_8563_22DF58586D2C_.wvu.PrintTitles" localSheetId="27" hidden="1">#REF!</definedName>
    <definedName name="Z_4CA4BF7C_65C1_4E25_8563_22DF58586D2C_.wvu.PrintTitles" localSheetId="18" hidden="1">#REF!</definedName>
    <definedName name="Z_4CA4BF7C_65C1_4E25_8563_22DF58586D2C_.wvu.PrintTitles" localSheetId="7" hidden="1">#REF!</definedName>
    <definedName name="Z_4CA4BF7C_65C1_4E25_8563_22DF58586D2C_.wvu.PrintTitles" localSheetId="23" hidden="1">#REF!</definedName>
    <definedName name="Z_4CA4BF7C_65C1_4E25_8563_22DF58586D2C_.wvu.PrintTitles" hidden="1">#REF!</definedName>
    <definedName name="Z_4CA4BF7C_65C1_4E25_8563_22DF58586D2C_.wvu.Rows" localSheetId="12" hidden="1">#REF!</definedName>
    <definedName name="Z_4CA4BF7C_65C1_4E25_8563_22DF58586D2C_.wvu.Rows" localSheetId="30" hidden="1">#REF!</definedName>
    <definedName name="Z_4CA4BF7C_65C1_4E25_8563_22DF58586D2C_.wvu.Rows" localSheetId="28" hidden="1">#REF!</definedName>
    <definedName name="Z_4CA4BF7C_65C1_4E25_8563_22DF58586D2C_.wvu.Rows" localSheetId="27" hidden="1">#REF!</definedName>
    <definedName name="Z_4CA4BF7C_65C1_4E25_8563_22DF58586D2C_.wvu.Rows" localSheetId="18" hidden="1">#REF!</definedName>
    <definedName name="Z_4CA4BF7C_65C1_4E25_8563_22DF58586D2C_.wvu.Rows" localSheetId="7" hidden="1">#REF!</definedName>
    <definedName name="Z_4CA4BF7C_65C1_4E25_8563_22DF58586D2C_.wvu.Rows" localSheetId="23" hidden="1">#REF!</definedName>
    <definedName name="Z_4CA4BF7C_65C1_4E25_8563_22DF58586D2C_.wvu.Rows" hidden="1">#REF!</definedName>
    <definedName name="Z_4D344757_9064_4D2F_A3A5_69132D23B7B9_.wvu.FilterData" localSheetId="12" hidden="1">#REF!</definedName>
    <definedName name="Z_4D344757_9064_4D2F_A3A5_69132D23B7B9_.wvu.FilterData" localSheetId="30" hidden="1">#REF!</definedName>
    <definedName name="Z_4D344757_9064_4D2F_A3A5_69132D23B7B9_.wvu.FilterData" localSheetId="28" hidden="1">#REF!</definedName>
    <definedName name="Z_4D344757_9064_4D2F_A3A5_69132D23B7B9_.wvu.FilterData" localSheetId="27" hidden="1">#REF!</definedName>
    <definedName name="Z_4D344757_9064_4D2F_A3A5_69132D23B7B9_.wvu.FilterData" localSheetId="18" hidden="1">#REF!</definedName>
    <definedName name="Z_4D344757_9064_4D2F_A3A5_69132D23B7B9_.wvu.FilterData" localSheetId="7" hidden="1">#REF!</definedName>
    <definedName name="Z_4D344757_9064_4D2F_A3A5_69132D23B7B9_.wvu.FilterData" localSheetId="23" hidden="1">#REF!</definedName>
    <definedName name="Z_4D344757_9064_4D2F_A3A5_69132D23B7B9_.wvu.FilterData" hidden="1">#REF!</definedName>
    <definedName name="Z_4E773EE1_0A5B_43A9_9C28_FFB0A27D19C3_.wvu.FilterData" localSheetId="12" hidden="1">#REF!</definedName>
    <definedName name="Z_4E773EE1_0A5B_43A9_9C28_FFB0A27D19C3_.wvu.FilterData" localSheetId="30" hidden="1">#REF!</definedName>
    <definedName name="Z_4E773EE1_0A5B_43A9_9C28_FFB0A27D19C3_.wvu.FilterData" localSheetId="28" hidden="1">#REF!</definedName>
    <definedName name="Z_4E773EE1_0A5B_43A9_9C28_FFB0A27D19C3_.wvu.FilterData" localSheetId="27" hidden="1">#REF!</definedName>
    <definedName name="Z_4E773EE1_0A5B_43A9_9C28_FFB0A27D19C3_.wvu.FilterData" localSheetId="18" hidden="1">#REF!</definedName>
    <definedName name="Z_4E773EE1_0A5B_43A9_9C28_FFB0A27D19C3_.wvu.FilterData" localSheetId="7" hidden="1">#REF!</definedName>
    <definedName name="Z_4E773EE1_0A5B_43A9_9C28_FFB0A27D19C3_.wvu.FilterData" localSheetId="23" hidden="1">#REF!</definedName>
    <definedName name="Z_4E773EE1_0A5B_43A9_9C28_FFB0A27D19C3_.wvu.FilterData" hidden="1">#REF!</definedName>
    <definedName name="Z_5122F04C_91B2_4031_BAE2_43203D520992_.wvu.FilterData" localSheetId="12" hidden="1">#REF!</definedName>
    <definedName name="Z_5122F04C_91B2_4031_BAE2_43203D520992_.wvu.FilterData" localSheetId="30" hidden="1">#REF!</definedName>
    <definedName name="Z_5122F04C_91B2_4031_BAE2_43203D520992_.wvu.FilterData" localSheetId="28" hidden="1">#REF!</definedName>
    <definedName name="Z_5122F04C_91B2_4031_BAE2_43203D520992_.wvu.FilterData" localSheetId="27" hidden="1">#REF!</definedName>
    <definedName name="Z_5122F04C_91B2_4031_BAE2_43203D520992_.wvu.FilterData" localSheetId="18" hidden="1">#REF!</definedName>
    <definedName name="Z_5122F04C_91B2_4031_BAE2_43203D520992_.wvu.FilterData" localSheetId="7" hidden="1">#REF!</definedName>
    <definedName name="Z_5122F04C_91B2_4031_BAE2_43203D520992_.wvu.FilterData" localSheetId="23" hidden="1">#REF!</definedName>
    <definedName name="Z_5122F04C_91B2_4031_BAE2_43203D520992_.wvu.FilterData" hidden="1">#REF!</definedName>
    <definedName name="Z_52B8D0B0_5872_4367_8D38_9AA5A4B975B3_.wvu.FilterData" localSheetId="12" hidden="1">#REF!</definedName>
    <definedName name="Z_52B8D0B0_5872_4367_8D38_9AA5A4B975B3_.wvu.FilterData" localSheetId="30" hidden="1">#REF!</definedName>
    <definedName name="Z_52B8D0B0_5872_4367_8D38_9AA5A4B975B3_.wvu.FilterData" localSheetId="28" hidden="1">#REF!</definedName>
    <definedName name="Z_52B8D0B0_5872_4367_8D38_9AA5A4B975B3_.wvu.FilterData" localSheetId="27" hidden="1">#REF!</definedName>
    <definedName name="Z_52B8D0B0_5872_4367_8D38_9AA5A4B975B3_.wvu.FilterData" localSheetId="18" hidden="1">#REF!</definedName>
    <definedName name="Z_52B8D0B0_5872_4367_8D38_9AA5A4B975B3_.wvu.FilterData" localSheetId="7" hidden="1">#REF!</definedName>
    <definedName name="Z_52B8D0B0_5872_4367_8D38_9AA5A4B975B3_.wvu.FilterData" localSheetId="23" hidden="1">#REF!</definedName>
    <definedName name="Z_52B8D0B0_5872_4367_8D38_9AA5A4B975B3_.wvu.FilterData" hidden="1">#REF!</definedName>
    <definedName name="Z_532423B2_94C7_44C1_9A2A_9712DAE92CE9_.wvu.FilterData" localSheetId="12" hidden="1">#REF!</definedName>
    <definedName name="Z_532423B2_94C7_44C1_9A2A_9712DAE92CE9_.wvu.FilterData" localSheetId="30" hidden="1">#REF!</definedName>
    <definedName name="Z_532423B2_94C7_44C1_9A2A_9712DAE92CE9_.wvu.FilterData" localSheetId="28" hidden="1">#REF!</definedName>
    <definedName name="Z_532423B2_94C7_44C1_9A2A_9712DAE92CE9_.wvu.FilterData" localSheetId="27" hidden="1">#REF!</definedName>
    <definedName name="Z_532423B2_94C7_44C1_9A2A_9712DAE92CE9_.wvu.FilterData" localSheetId="18" hidden="1">#REF!</definedName>
    <definedName name="Z_532423B2_94C7_44C1_9A2A_9712DAE92CE9_.wvu.FilterData" localSheetId="7" hidden="1">#REF!</definedName>
    <definedName name="Z_532423B2_94C7_44C1_9A2A_9712DAE92CE9_.wvu.FilterData" localSheetId="23" hidden="1">#REF!</definedName>
    <definedName name="Z_532423B2_94C7_44C1_9A2A_9712DAE92CE9_.wvu.FilterData" hidden="1">#REF!</definedName>
    <definedName name="Z_53F31130_5EA7_42BA_93EB_88A7CB743782_.wvu.FilterData" localSheetId="12" hidden="1">#REF!</definedName>
    <definedName name="Z_53F31130_5EA7_42BA_93EB_88A7CB743782_.wvu.FilterData" localSheetId="30" hidden="1">#REF!</definedName>
    <definedName name="Z_53F31130_5EA7_42BA_93EB_88A7CB743782_.wvu.FilterData" localSheetId="28" hidden="1">#REF!</definedName>
    <definedName name="Z_53F31130_5EA7_42BA_93EB_88A7CB743782_.wvu.FilterData" localSheetId="27" hidden="1">#REF!</definedName>
    <definedName name="Z_53F31130_5EA7_42BA_93EB_88A7CB743782_.wvu.FilterData" localSheetId="18" hidden="1">#REF!</definedName>
    <definedName name="Z_53F31130_5EA7_42BA_93EB_88A7CB743782_.wvu.FilterData" localSheetId="7" hidden="1">#REF!</definedName>
    <definedName name="Z_53F31130_5EA7_42BA_93EB_88A7CB743782_.wvu.FilterData" localSheetId="23" hidden="1">#REF!</definedName>
    <definedName name="Z_53F31130_5EA7_42BA_93EB_88A7CB743782_.wvu.FilterData" hidden="1">#REF!</definedName>
    <definedName name="Z_55213581_1831_4A94_AB4D_23E4F8BC8085_.wvu.FilterData" localSheetId="12" hidden="1">#REF!</definedName>
    <definedName name="Z_55213581_1831_4A94_AB4D_23E4F8BC8085_.wvu.FilterData" localSheetId="30" hidden="1">#REF!</definedName>
    <definedName name="Z_55213581_1831_4A94_AB4D_23E4F8BC8085_.wvu.FilterData" localSheetId="28" hidden="1">#REF!</definedName>
    <definedName name="Z_55213581_1831_4A94_AB4D_23E4F8BC8085_.wvu.FilterData" localSheetId="27" hidden="1">#REF!</definedName>
    <definedName name="Z_55213581_1831_4A94_AB4D_23E4F8BC8085_.wvu.FilterData" localSheetId="18" hidden="1">#REF!</definedName>
    <definedName name="Z_55213581_1831_4A94_AB4D_23E4F8BC8085_.wvu.FilterData" localSheetId="7" hidden="1">#REF!</definedName>
    <definedName name="Z_55213581_1831_4A94_AB4D_23E4F8BC8085_.wvu.FilterData" localSheetId="23" hidden="1">#REF!</definedName>
    <definedName name="Z_55213581_1831_4A94_AB4D_23E4F8BC8085_.wvu.FilterData" hidden="1">#REF!</definedName>
    <definedName name="Z_552B9204_1C85_45BC_B148_AF3E206BDAA2_.wvu.FilterData" localSheetId="12" hidden="1">#REF!</definedName>
    <definedName name="Z_552B9204_1C85_45BC_B148_AF3E206BDAA2_.wvu.FilterData" localSheetId="30" hidden="1">#REF!</definedName>
    <definedName name="Z_552B9204_1C85_45BC_B148_AF3E206BDAA2_.wvu.FilterData" localSheetId="28" hidden="1">#REF!</definedName>
    <definedName name="Z_552B9204_1C85_45BC_B148_AF3E206BDAA2_.wvu.FilterData" localSheetId="27" hidden="1">#REF!</definedName>
    <definedName name="Z_552B9204_1C85_45BC_B148_AF3E206BDAA2_.wvu.FilterData" localSheetId="18" hidden="1">#REF!</definedName>
    <definedName name="Z_552B9204_1C85_45BC_B148_AF3E206BDAA2_.wvu.FilterData" localSheetId="7" hidden="1">#REF!</definedName>
    <definedName name="Z_552B9204_1C85_45BC_B148_AF3E206BDAA2_.wvu.FilterData" localSheetId="23" hidden="1">#REF!</definedName>
    <definedName name="Z_552B9204_1C85_45BC_B148_AF3E206BDAA2_.wvu.FilterData" hidden="1">#REF!</definedName>
    <definedName name="Z_566671FC_5910_47FD_B961_1065A17D262D_.wvu.FilterData" localSheetId="12" hidden="1">#REF!</definedName>
    <definedName name="Z_566671FC_5910_47FD_B961_1065A17D262D_.wvu.FilterData" localSheetId="30" hidden="1">#REF!</definedName>
    <definedName name="Z_566671FC_5910_47FD_B961_1065A17D262D_.wvu.FilterData" localSheetId="28" hidden="1">#REF!</definedName>
    <definedName name="Z_566671FC_5910_47FD_B961_1065A17D262D_.wvu.FilterData" localSheetId="27" hidden="1">#REF!</definedName>
    <definedName name="Z_566671FC_5910_47FD_B961_1065A17D262D_.wvu.FilterData" localSheetId="18" hidden="1">#REF!</definedName>
    <definedName name="Z_566671FC_5910_47FD_B961_1065A17D262D_.wvu.FilterData" localSheetId="7" hidden="1">#REF!</definedName>
    <definedName name="Z_566671FC_5910_47FD_B961_1065A17D262D_.wvu.FilterData" localSheetId="23" hidden="1">#REF!</definedName>
    <definedName name="Z_566671FC_5910_47FD_B961_1065A17D262D_.wvu.FilterData" hidden="1">#REF!</definedName>
    <definedName name="Z_569D17FA_30FE_42CA_8D65_E126C1C01EC2_.wvu.FilterData" localSheetId="12" hidden="1">#REF!</definedName>
    <definedName name="Z_569D17FA_30FE_42CA_8D65_E126C1C01EC2_.wvu.FilterData" localSheetId="30" hidden="1">#REF!</definedName>
    <definedName name="Z_569D17FA_30FE_42CA_8D65_E126C1C01EC2_.wvu.FilterData" localSheetId="28" hidden="1">#REF!</definedName>
    <definedName name="Z_569D17FA_30FE_42CA_8D65_E126C1C01EC2_.wvu.FilterData" localSheetId="27" hidden="1">#REF!</definedName>
    <definedName name="Z_569D17FA_30FE_42CA_8D65_E126C1C01EC2_.wvu.FilterData" localSheetId="18" hidden="1">#REF!</definedName>
    <definedName name="Z_569D17FA_30FE_42CA_8D65_E126C1C01EC2_.wvu.FilterData" localSheetId="7" hidden="1">#REF!</definedName>
    <definedName name="Z_569D17FA_30FE_42CA_8D65_E126C1C01EC2_.wvu.FilterData" localSheetId="23" hidden="1">#REF!</definedName>
    <definedName name="Z_569D17FA_30FE_42CA_8D65_E126C1C01EC2_.wvu.FilterData" hidden="1">#REF!</definedName>
    <definedName name="Z_573E904E_5C2F_4CA2_AFCF_918B916322E4_.wvu.FilterData" localSheetId="12" hidden="1">#REF!</definedName>
    <definedName name="Z_573E904E_5C2F_4CA2_AFCF_918B916322E4_.wvu.FilterData" localSheetId="30" hidden="1">#REF!</definedName>
    <definedName name="Z_573E904E_5C2F_4CA2_AFCF_918B916322E4_.wvu.FilterData" localSheetId="28" hidden="1">#REF!</definedName>
    <definedName name="Z_573E904E_5C2F_4CA2_AFCF_918B916322E4_.wvu.FilterData" localSheetId="27" hidden="1">#REF!</definedName>
    <definedName name="Z_573E904E_5C2F_4CA2_AFCF_918B916322E4_.wvu.FilterData" localSheetId="18" hidden="1">#REF!</definedName>
    <definedName name="Z_573E904E_5C2F_4CA2_AFCF_918B916322E4_.wvu.FilterData" localSheetId="7" hidden="1">#REF!</definedName>
    <definedName name="Z_573E904E_5C2F_4CA2_AFCF_918B916322E4_.wvu.FilterData" localSheetId="23" hidden="1">#REF!</definedName>
    <definedName name="Z_573E904E_5C2F_4CA2_AFCF_918B916322E4_.wvu.FilterData" hidden="1">#REF!</definedName>
    <definedName name="Z_58DA6172_DC47_4A5F_B420_207BB6987764_.wvu.FilterData" localSheetId="12" hidden="1">#REF!</definedName>
    <definedName name="Z_58DA6172_DC47_4A5F_B420_207BB6987764_.wvu.FilterData" localSheetId="30" hidden="1">#REF!</definedName>
    <definedName name="Z_58DA6172_DC47_4A5F_B420_207BB6987764_.wvu.FilterData" localSheetId="28" hidden="1">#REF!</definedName>
    <definedName name="Z_58DA6172_DC47_4A5F_B420_207BB6987764_.wvu.FilterData" localSheetId="27" hidden="1">#REF!</definedName>
    <definedName name="Z_58DA6172_DC47_4A5F_B420_207BB6987764_.wvu.FilterData" localSheetId="18" hidden="1">#REF!</definedName>
    <definedName name="Z_58DA6172_DC47_4A5F_B420_207BB6987764_.wvu.FilterData" localSheetId="7" hidden="1">#REF!</definedName>
    <definedName name="Z_58DA6172_DC47_4A5F_B420_207BB6987764_.wvu.FilterData" localSheetId="23" hidden="1">#REF!</definedName>
    <definedName name="Z_58DA6172_DC47_4A5F_B420_207BB6987764_.wvu.FilterData" hidden="1">#REF!</definedName>
    <definedName name="Z_58FCB891_F6F4_46F2_BF6B_861E585C9231_.wvu.FilterData" localSheetId="12" hidden="1">#REF!</definedName>
    <definedName name="Z_58FCB891_F6F4_46F2_BF6B_861E585C9231_.wvu.FilterData" localSheetId="30" hidden="1">#REF!</definedName>
    <definedName name="Z_58FCB891_F6F4_46F2_BF6B_861E585C9231_.wvu.FilterData" localSheetId="28" hidden="1">#REF!</definedName>
    <definedName name="Z_58FCB891_F6F4_46F2_BF6B_861E585C9231_.wvu.FilterData" localSheetId="27" hidden="1">#REF!</definedName>
    <definedName name="Z_58FCB891_F6F4_46F2_BF6B_861E585C9231_.wvu.FilterData" localSheetId="18" hidden="1">#REF!</definedName>
    <definedName name="Z_58FCB891_F6F4_46F2_BF6B_861E585C9231_.wvu.FilterData" localSheetId="7" hidden="1">#REF!</definedName>
    <definedName name="Z_58FCB891_F6F4_46F2_BF6B_861E585C9231_.wvu.FilterData" localSheetId="23" hidden="1">#REF!</definedName>
    <definedName name="Z_58FCB891_F6F4_46F2_BF6B_861E585C9231_.wvu.FilterData" hidden="1">#REF!</definedName>
    <definedName name="Z_59A87EBA_E018_40E8_A580_AB2176E95D7E_.wvu.FilterData" localSheetId="12" hidden="1">#REF!</definedName>
    <definedName name="Z_59A87EBA_E018_40E8_A580_AB2176E95D7E_.wvu.FilterData" localSheetId="30" hidden="1">#REF!</definedName>
    <definedName name="Z_59A87EBA_E018_40E8_A580_AB2176E95D7E_.wvu.FilterData" localSheetId="28" hidden="1">#REF!</definedName>
    <definedName name="Z_59A87EBA_E018_40E8_A580_AB2176E95D7E_.wvu.FilterData" localSheetId="27" hidden="1">#REF!</definedName>
    <definedName name="Z_59A87EBA_E018_40E8_A580_AB2176E95D7E_.wvu.FilterData" localSheetId="18" hidden="1">#REF!</definedName>
    <definedName name="Z_59A87EBA_E018_40E8_A580_AB2176E95D7E_.wvu.FilterData" localSheetId="7" hidden="1">#REF!</definedName>
    <definedName name="Z_59A87EBA_E018_40E8_A580_AB2176E95D7E_.wvu.FilterData" localSheetId="23" hidden="1">#REF!</definedName>
    <definedName name="Z_59A87EBA_E018_40E8_A580_AB2176E95D7E_.wvu.FilterData" hidden="1">#REF!</definedName>
    <definedName name="Z_5A3E740D_87C0_4F85_AB6D_B402AD860D04_.wvu.FilterData" localSheetId="12" hidden="1">#REF!</definedName>
    <definedName name="Z_5A3E740D_87C0_4F85_AB6D_B402AD860D04_.wvu.FilterData" localSheetId="30" hidden="1">#REF!</definedName>
    <definedName name="Z_5A3E740D_87C0_4F85_AB6D_B402AD860D04_.wvu.FilterData" localSheetId="28" hidden="1">#REF!</definedName>
    <definedName name="Z_5A3E740D_87C0_4F85_AB6D_B402AD860D04_.wvu.FilterData" localSheetId="27" hidden="1">#REF!</definedName>
    <definedName name="Z_5A3E740D_87C0_4F85_AB6D_B402AD860D04_.wvu.FilterData" localSheetId="18" hidden="1">#REF!</definedName>
    <definedName name="Z_5A3E740D_87C0_4F85_AB6D_B402AD860D04_.wvu.FilterData" localSheetId="7" hidden="1">#REF!</definedName>
    <definedName name="Z_5A3E740D_87C0_4F85_AB6D_B402AD860D04_.wvu.FilterData" localSheetId="23" hidden="1">#REF!</definedName>
    <definedName name="Z_5A3E740D_87C0_4F85_AB6D_B402AD860D04_.wvu.FilterData" hidden="1">#REF!</definedName>
    <definedName name="Z_5B42E6B5_40AA_4D3F_B932_EF1583491CDE_.wvu.FilterData" localSheetId="12" hidden="1">#REF!</definedName>
    <definedName name="Z_5B42E6B5_40AA_4D3F_B932_EF1583491CDE_.wvu.FilterData" localSheetId="30" hidden="1">#REF!</definedName>
    <definedName name="Z_5B42E6B5_40AA_4D3F_B932_EF1583491CDE_.wvu.FilterData" localSheetId="28" hidden="1">#REF!</definedName>
    <definedName name="Z_5B42E6B5_40AA_4D3F_B932_EF1583491CDE_.wvu.FilterData" localSheetId="27" hidden="1">#REF!</definedName>
    <definedName name="Z_5B42E6B5_40AA_4D3F_B932_EF1583491CDE_.wvu.FilterData" localSheetId="18" hidden="1">#REF!</definedName>
    <definedName name="Z_5B42E6B5_40AA_4D3F_B932_EF1583491CDE_.wvu.FilterData" localSheetId="7" hidden="1">#REF!</definedName>
    <definedName name="Z_5B42E6B5_40AA_4D3F_B932_EF1583491CDE_.wvu.FilterData" localSheetId="23" hidden="1">#REF!</definedName>
    <definedName name="Z_5B42E6B5_40AA_4D3F_B932_EF1583491CDE_.wvu.FilterData" hidden="1">#REF!</definedName>
    <definedName name="Z_5B7B4951_7310_4C66_B906_4D046076272E_.wvu.FilterData" localSheetId="12" hidden="1">#REF!</definedName>
    <definedName name="Z_5B7B4951_7310_4C66_B906_4D046076272E_.wvu.FilterData" localSheetId="30" hidden="1">#REF!</definedName>
    <definedName name="Z_5B7B4951_7310_4C66_B906_4D046076272E_.wvu.FilterData" localSheetId="28" hidden="1">#REF!</definedName>
    <definedName name="Z_5B7B4951_7310_4C66_B906_4D046076272E_.wvu.FilterData" localSheetId="27" hidden="1">#REF!</definedName>
    <definedName name="Z_5B7B4951_7310_4C66_B906_4D046076272E_.wvu.FilterData" localSheetId="18" hidden="1">#REF!</definedName>
    <definedName name="Z_5B7B4951_7310_4C66_B906_4D046076272E_.wvu.FilterData" localSheetId="7" hidden="1">#REF!</definedName>
    <definedName name="Z_5B7B4951_7310_4C66_B906_4D046076272E_.wvu.FilterData" localSheetId="23" hidden="1">#REF!</definedName>
    <definedName name="Z_5B7B4951_7310_4C66_B906_4D046076272E_.wvu.FilterData" hidden="1">#REF!</definedName>
    <definedName name="Z_5D41F4B9_83DF_4509_9C07_453BA5A62846_.wvu.FilterData" localSheetId="12" hidden="1">#REF!</definedName>
    <definedName name="Z_5D41F4B9_83DF_4509_9C07_453BA5A62846_.wvu.FilterData" localSheetId="30" hidden="1">#REF!</definedName>
    <definedName name="Z_5D41F4B9_83DF_4509_9C07_453BA5A62846_.wvu.FilterData" localSheetId="28" hidden="1">#REF!</definedName>
    <definedName name="Z_5D41F4B9_83DF_4509_9C07_453BA5A62846_.wvu.FilterData" localSheetId="27" hidden="1">#REF!</definedName>
    <definedName name="Z_5D41F4B9_83DF_4509_9C07_453BA5A62846_.wvu.FilterData" localSheetId="18" hidden="1">#REF!</definedName>
    <definedName name="Z_5D41F4B9_83DF_4509_9C07_453BA5A62846_.wvu.FilterData" localSheetId="7" hidden="1">#REF!</definedName>
    <definedName name="Z_5D41F4B9_83DF_4509_9C07_453BA5A62846_.wvu.FilterData" localSheetId="23" hidden="1">#REF!</definedName>
    <definedName name="Z_5D41F4B9_83DF_4509_9C07_453BA5A62846_.wvu.FilterData" hidden="1">#REF!</definedName>
    <definedName name="Z_5DB05E9F_8F3B_4886_A6CB_2CC53331BA7A_.wvu.FilterData" localSheetId="12" hidden="1">#REF!</definedName>
    <definedName name="Z_5DB05E9F_8F3B_4886_A6CB_2CC53331BA7A_.wvu.FilterData" localSheetId="30" hidden="1">#REF!</definedName>
    <definedName name="Z_5DB05E9F_8F3B_4886_A6CB_2CC53331BA7A_.wvu.FilterData" localSheetId="28" hidden="1">#REF!</definedName>
    <definedName name="Z_5DB05E9F_8F3B_4886_A6CB_2CC53331BA7A_.wvu.FilterData" localSheetId="27" hidden="1">#REF!</definedName>
    <definedName name="Z_5DB05E9F_8F3B_4886_A6CB_2CC53331BA7A_.wvu.FilterData" localSheetId="18" hidden="1">#REF!</definedName>
    <definedName name="Z_5DB05E9F_8F3B_4886_A6CB_2CC53331BA7A_.wvu.FilterData" localSheetId="7" hidden="1">#REF!</definedName>
    <definedName name="Z_5DB05E9F_8F3B_4886_A6CB_2CC53331BA7A_.wvu.FilterData" localSheetId="23" hidden="1">#REF!</definedName>
    <definedName name="Z_5DB05E9F_8F3B_4886_A6CB_2CC53331BA7A_.wvu.FilterData" hidden="1">#REF!</definedName>
    <definedName name="Z_5F096896_2CB8_4B96_A0FE_9AB50EEEEFAB_.wvu.FilterData" localSheetId="12" hidden="1">#REF!</definedName>
    <definedName name="Z_5F096896_2CB8_4B96_A0FE_9AB50EEEEFAB_.wvu.FilterData" localSheetId="30" hidden="1">#REF!</definedName>
    <definedName name="Z_5F096896_2CB8_4B96_A0FE_9AB50EEEEFAB_.wvu.FilterData" localSheetId="28" hidden="1">#REF!</definedName>
    <definedName name="Z_5F096896_2CB8_4B96_A0FE_9AB50EEEEFAB_.wvu.FilterData" localSheetId="27" hidden="1">#REF!</definedName>
    <definedName name="Z_5F096896_2CB8_4B96_A0FE_9AB50EEEEFAB_.wvu.FilterData" localSheetId="18" hidden="1">#REF!</definedName>
    <definedName name="Z_5F096896_2CB8_4B96_A0FE_9AB50EEEEFAB_.wvu.FilterData" localSheetId="7" hidden="1">#REF!</definedName>
    <definedName name="Z_5F096896_2CB8_4B96_A0FE_9AB50EEEEFAB_.wvu.FilterData" localSheetId="23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localSheetId="12" hidden="1">#REF!</definedName>
    <definedName name="Z_60DF8B29_1C1F_4B50_BDA8_B8E0C7DD04C3_.wvu.FilterData" localSheetId="30" hidden="1">#REF!</definedName>
    <definedName name="Z_60DF8B29_1C1F_4B50_BDA8_B8E0C7DD04C3_.wvu.FilterData" localSheetId="28" hidden="1">#REF!</definedName>
    <definedName name="Z_60DF8B29_1C1F_4B50_BDA8_B8E0C7DD04C3_.wvu.FilterData" localSheetId="27" hidden="1">#REF!</definedName>
    <definedName name="Z_60DF8B29_1C1F_4B50_BDA8_B8E0C7DD04C3_.wvu.FilterData" localSheetId="18" hidden="1">#REF!</definedName>
    <definedName name="Z_60DF8B29_1C1F_4B50_BDA8_B8E0C7DD04C3_.wvu.FilterData" localSheetId="7" hidden="1">#REF!</definedName>
    <definedName name="Z_60DF8B29_1C1F_4B50_BDA8_B8E0C7DD04C3_.wvu.FilterData" localSheetId="23" hidden="1">#REF!</definedName>
    <definedName name="Z_60DF8B29_1C1F_4B50_BDA8_B8E0C7DD04C3_.wvu.FilterData" hidden="1">#REF!</definedName>
    <definedName name="Z_615F4A4D_D5AB_4A04_81F5_F436484247A5_.wvu.FilterData" localSheetId="12" hidden="1">#REF!</definedName>
    <definedName name="Z_615F4A4D_D5AB_4A04_81F5_F436484247A5_.wvu.FilterData" localSheetId="30" hidden="1">#REF!</definedName>
    <definedName name="Z_615F4A4D_D5AB_4A04_81F5_F436484247A5_.wvu.FilterData" localSheetId="28" hidden="1">#REF!</definedName>
    <definedName name="Z_615F4A4D_D5AB_4A04_81F5_F436484247A5_.wvu.FilterData" localSheetId="27" hidden="1">#REF!</definedName>
    <definedName name="Z_615F4A4D_D5AB_4A04_81F5_F436484247A5_.wvu.FilterData" localSheetId="18" hidden="1">#REF!</definedName>
    <definedName name="Z_615F4A4D_D5AB_4A04_81F5_F436484247A5_.wvu.FilterData" localSheetId="7" hidden="1">#REF!</definedName>
    <definedName name="Z_615F4A4D_D5AB_4A04_81F5_F436484247A5_.wvu.FilterData" localSheetId="23" hidden="1">#REF!</definedName>
    <definedName name="Z_615F4A4D_D5AB_4A04_81F5_F436484247A5_.wvu.FilterData" hidden="1">#REF!</definedName>
    <definedName name="Z_616443B5_6F0D_4082_9223_F71B54305366_.wvu.FilterData" localSheetId="12" hidden="1">#REF!</definedName>
    <definedName name="Z_616443B5_6F0D_4082_9223_F71B54305366_.wvu.FilterData" localSheetId="30" hidden="1">#REF!</definedName>
    <definedName name="Z_616443B5_6F0D_4082_9223_F71B54305366_.wvu.FilterData" localSheetId="28" hidden="1">#REF!</definedName>
    <definedName name="Z_616443B5_6F0D_4082_9223_F71B54305366_.wvu.FilterData" localSheetId="27" hidden="1">#REF!</definedName>
    <definedName name="Z_616443B5_6F0D_4082_9223_F71B54305366_.wvu.FilterData" localSheetId="18" hidden="1">#REF!</definedName>
    <definedName name="Z_616443B5_6F0D_4082_9223_F71B54305366_.wvu.FilterData" localSheetId="7" hidden="1">#REF!</definedName>
    <definedName name="Z_616443B5_6F0D_4082_9223_F71B54305366_.wvu.FilterData" localSheetId="23" hidden="1">#REF!</definedName>
    <definedName name="Z_616443B5_6F0D_4082_9223_F71B54305366_.wvu.FilterData" hidden="1">#REF!</definedName>
    <definedName name="Z_631F0312_B404_409F_AF2B_39FB2D25040B_.wvu.FilterData" localSheetId="12" hidden="1">#REF!</definedName>
    <definedName name="Z_631F0312_B404_409F_AF2B_39FB2D25040B_.wvu.FilterData" localSheetId="30" hidden="1">#REF!</definedName>
    <definedName name="Z_631F0312_B404_409F_AF2B_39FB2D25040B_.wvu.FilterData" localSheetId="28" hidden="1">#REF!</definedName>
    <definedName name="Z_631F0312_B404_409F_AF2B_39FB2D25040B_.wvu.FilterData" localSheetId="27" hidden="1">#REF!</definedName>
    <definedName name="Z_631F0312_B404_409F_AF2B_39FB2D25040B_.wvu.FilterData" localSheetId="18" hidden="1">#REF!</definedName>
    <definedName name="Z_631F0312_B404_409F_AF2B_39FB2D25040B_.wvu.FilterData" localSheetId="7" hidden="1">#REF!</definedName>
    <definedName name="Z_631F0312_B404_409F_AF2B_39FB2D25040B_.wvu.FilterData" localSheetId="23" hidden="1">#REF!</definedName>
    <definedName name="Z_631F0312_B404_409F_AF2B_39FB2D25040B_.wvu.FilterData" hidden="1">#REF!</definedName>
    <definedName name="Z_632CF316_8294_4588_87E1_2B69E184A62B_.wvu.FilterData" localSheetId="12" hidden="1">#REF!</definedName>
    <definedName name="Z_632CF316_8294_4588_87E1_2B69E184A62B_.wvu.FilterData" localSheetId="30" hidden="1">#REF!</definedName>
    <definedName name="Z_632CF316_8294_4588_87E1_2B69E184A62B_.wvu.FilterData" localSheetId="28" hidden="1">#REF!</definedName>
    <definedName name="Z_632CF316_8294_4588_87E1_2B69E184A62B_.wvu.FilterData" localSheetId="27" hidden="1">#REF!</definedName>
    <definedName name="Z_632CF316_8294_4588_87E1_2B69E184A62B_.wvu.FilterData" localSheetId="18" hidden="1">#REF!</definedName>
    <definedName name="Z_632CF316_8294_4588_87E1_2B69E184A62B_.wvu.FilterData" localSheetId="7" hidden="1">#REF!</definedName>
    <definedName name="Z_632CF316_8294_4588_87E1_2B69E184A62B_.wvu.FilterData" localSheetId="23" hidden="1">#REF!</definedName>
    <definedName name="Z_632CF316_8294_4588_87E1_2B69E184A62B_.wvu.FilterData" hidden="1">#REF!</definedName>
    <definedName name="Z_66D1BA5F_F4AE_443C_8583_CE89D6674A73_.wvu.FilterData" localSheetId="12" hidden="1">#REF!</definedName>
    <definedName name="Z_66D1BA5F_F4AE_443C_8583_CE89D6674A73_.wvu.FilterData" localSheetId="30" hidden="1">#REF!</definedName>
    <definedName name="Z_66D1BA5F_F4AE_443C_8583_CE89D6674A73_.wvu.FilterData" localSheetId="28" hidden="1">#REF!</definedName>
    <definedName name="Z_66D1BA5F_F4AE_443C_8583_CE89D6674A73_.wvu.FilterData" localSheetId="27" hidden="1">#REF!</definedName>
    <definedName name="Z_66D1BA5F_F4AE_443C_8583_CE89D6674A73_.wvu.FilterData" localSheetId="18" hidden="1">#REF!</definedName>
    <definedName name="Z_66D1BA5F_F4AE_443C_8583_CE89D6674A73_.wvu.FilterData" localSheetId="7" hidden="1">#REF!</definedName>
    <definedName name="Z_66D1BA5F_F4AE_443C_8583_CE89D6674A73_.wvu.FilterData" localSheetId="23" hidden="1">#REF!</definedName>
    <definedName name="Z_66D1BA5F_F4AE_443C_8583_CE89D6674A73_.wvu.FilterData" hidden="1">#REF!</definedName>
    <definedName name="Z_66DD4806_8039_438A_B1CE_46CC5B464050_.wvu.FilterData" localSheetId="12" hidden="1">#REF!</definedName>
    <definedName name="Z_66DD4806_8039_438A_B1CE_46CC5B464050_.wvu.FilterData" localSheetId="30" hidden="1">#REF!</definedName>
    <definedName name="Z_66DD4806_8039_438A_B1CE_46CC5B464050_.wvu.FilterData" localSheetId="28" hidden="1">#REF!</definedName>
    <definedName name="Z_66DD4806_8039_438A_B1CE_46CC5B464050_.wvu.FilterData" localSheetId="27" hidden="1">#REF!</definedName>
    <definedName name="Z_66DD4806_8039_438A_B1CE_46CC5B464050_.wvu.FilterData" localSheetId="18" hidden="1">#REF!</definedName>
    <definedName name="Z_66DD4806_8039_438A_B1CE_46CC5B464050_.wvu.FilterData" localSheetId="7" hidden="1">#REF!</definedName>
    <definedName name="Z_66DD4806_8039_438A_B1CE_46CC5B464050_.wvu.FilterData" localSheetId="23" hidden="1">#REF!</definedName>
    <definedName name="Z_66DD4806_8039_438A_B1CE_46CC5B464050_.wvu.FilterData" hidden="1">#REF!</definedName>
    <definedName name="Z_67B65FDF_FF67_490E_B8E5_92DC66C9FC9D_.wvu.FilterData" localSheetId="12" hidden="1">#REF!</definedName>
    <definedName name="Z_67B65FDF_FF67_490E_B8E5_92DC66C9FC9D_.wvu.FilterData" localSheetId="30" hidden="1">#REF!</definedName>
    <definedName name="Z_67B65FDF_FF67_490E_B8E5_92DC66C9FC9D_.wvu.FilterData" localSheetId="28" hidden="1">#REF!</definedName>
    <definedName name="Z_67B65FDF_FF67_490E_B8E5_92DC66C9FC9D_.wvu.FilterData" localSheetId="27" hidden="1">#REF!</definedName>
    <definedName name="Z_67B65FDF_FF67_490E_B8E5_92DC66C9FC9D_.wvu.FilterData" localSheetId="18" hidden="1">#REF!</definedName>
    <definedName name="Z_67B65FDF_FF67_490E_B8E5_92DC66C9FC9D_.wvu.FilterData" localSheetId="7" hidden="1">#REF!</definedName>
    <definedName name="Z_67B65FDF_FF67_490E_B8E5_92DC66C9FC9D_.wvu.FilterData" localSheetId="23" hidden="1">#REF!</definedName>
    <definedName name="Z_67B65FDF_FF67_490E_B8E5_92DC66C9FC9D_.wvu.FilterData" hidden="1">#REF!</definedName>
    <definedName name="Z_68B709DF_9429_4090_9106_386C5F16C4D7_.wvu.FilterData" localSheetId="12" hidden="1">#REF!</definedName>
    <definedName name="Z_68B709DF_9429_4090_9106_386C5F16C4D7_.wvu.FilterData" localSheetId="30" hidden="1">#REF!</definedName>
    <definedName name="Z_68B709DF_9429_4090_9106_386C5F16C4D7_.wvu.FilterData" localSheetId="28" hidden="1">#REF!</definedName>
    <definedName name="Z_68B709DF_9429_4090_9106_386C5F16C4D7_.wvu.FilterData" localSheetId="27" hidden="1">#REF!</definedName>
    <definedName name="Z_68B709DF_9429_4090_9106_386C5F16C4D7_.wvu.FilterData" localSheetId="18" hidden="1">#REF!</definedName>
    <definedName name="Z_68B709DF_9429_4090_9106_386C5F16C4D7_.wvu.FilterData" localSheetId="7" hidden="1">#REF!</definedName>
    <definedName name="Z_68B709DF_9429_4090_9106_386C5F16C4D7_.wvu.FilterData" localSheetId="23" hidden="1">#REF!</definedName>
    <definedName name="Z_68B709DF_9429_4090_9106_386C5F16C4D7_.wvu.FilterData" hidden="1">#REF!</definedName>
    <definedName name="Z_690BC25F_5AA3_4B4B_9507_8C197E768E98_.wvu.FilterData" localSheetId="12" hidden="1">#REF!</definedName>
    <definedName name="Z_690BC25F_5AA3_4B4B_9507_8C197E768E98_.wvu.FilterData" localSheetId="30" hidden="1">#REF!</definedName>
    <definedName name="Z_690BC25F_5AA3_4B4B_9507_8C197E768E98_.wvu.FilterData" localSheetId="28" hidden="1">#REF!</definedName>
    <definedName name="Z_690BC25F_5AA3_4B4B_9507_8C197E768E98_.wvu.FilterData" localSheetId="27" hidden="1">#REF!</definedName>
    <definedName name="Z_690BC25F_5AA3_4B4B_9507_8C197E768E98_.wvu.FilterData" localSheetId="18" hidden="1">#REF!</definedName>
    <definedName name="Z_690BC25F_5AA3_4B4B_9507_8C197E768E98_.wvu.FilterData" localSheetId="7" hidden="1">#REF!</definedName>
    <definedName name="Z_690BC25F_5AA3_4B4B_9507_8C197E768E98_.wvu.FilterData" localSheetId="23" hidden="1">#REF!</definedName>
    <definedName name="Z_690BC25F_5AA3_4B4B_9507_8C197E768E98_.wvu.FilterData" hidden="1">#REF!</definedName>
    <definedName name="Z_6A66B8A7_491B_4A29_94A1_39F4FDA32C48_.wvu.FilterData" localSheetId="12" hidden="1">#REF!</definedName>
    <definedName name="Z_6A66B8A7_491B_4A29_94A1_39F4FDA32C48_.wvu.FilterData" localSheetId="30" hidden="1">#REF!</definedName>
    <definedName name="Z_6A66B8A7_491B_4A29_94A1_39F4FDA32C48_.wvu.FilterData" localSheetId="28" hidden="1">#REF!</definedName>
    <definedName name="Z_6A66B8A7_491B_4A29_94A1_39F4FDA32C48_.wvu.FilterData" localSheetId="27" hidden="1">#REF!</definedName>
    <definedName name="Z_6A66B8A7_491B_4A29_94A1_39F4FDA32C48_.wvu.FilterData" localSheetId="18" hidden="1">#REF!</definedName>
    <definedName name="Z_6A66B8A7_491B_4A29_94A1_39F4FDA32C48_.wvu.FilterData" localSheetId="7" hidden="1">#REF!</definedName>
    <definedName name="Z_6A66B8A7_491B_4A29_94A1_39F4FDA32C48_.wvu.FilterData" localSheetId="23" hidden="1">#REF!</definedName>
    <definedName name="Z_6A66B8A7_491B_4A29_94A1_39F4FDA32C48_.wvu.FilterData" hidden="1">#REF!</definedName>
    <definedName name="Z_6A6F36C8_24A1_4147_9C63_27B7978935DD_.wvu.FilterData" localSheetId="12" hidden="1">#REF!</definedName>
    <definedName name="Z_6A6F36C8_24A1_4147_9C63_27B7978935DD_.wvu.FilterData" localSheetId="30" hidden="1">#REF!</definedName>
    <definedName name="Z_6A6F36C8_24A1_4147_9C63_27B7978935DD_.wvu.FilterData" localSheetId="28" hidden="1">#REF!</definedName>
    <definedName name="Z_6A6F36C8_24A1_4147_9C63_27B7978935DD_.wvu.FilterData" localSheetId="27" hidden="1">#REF!</definedName>
    <definedName name="Z_6A6F36C8_24A1_4147_9C63_27B7978935DD_.wvu.FilterData" localSheetId="18" hidden="1">#REF!</definedName>
    <definedName name="Z_6A6F36C8_24A1_4147_9C63_27B7978935DD_.wvu.FilterData" localSheetId="7" hidden="1">#REF!</definedName>
    <definedName name="Z_6A6F36C8_24A1_4147_9C63_27B7978935DD_.wvu.FilterData" localSheetId="23" hidden="1">#REF!</definedName>
    <definedName name="Z_6A6F36C8_24A1_4147_9C63_27B7978935DD_.wvu.FilterData" hidden="1">#REF!</definedName>
    <definedName name="Z_6C2050D3_ABE5_4B48_B2A7_DDDD21669987_.wvu.FilterData" localSheetId="12" hidden="1">#REF!</definedName>
    <definedName name="Z_6C2050D3_ABE5_4B48_B2A7_DDDD21669987_.wvu.FilterData" localSheetId="30" hidden="1">#REF!</definedName>
    <definedName name="Z_6C2050D3_ABE5_4B48_B2A7_DDDD21669987_.wvu.FilterData" localSheetId="28" hidden="1">#REF!</definedName>
    <definedName name="Z_6C2050D3_ABE5_4B48_B2A7_DDDD21669987_.wvu.FilterData" localSheetId="27" hidden="1">#REF!</definedName>
    <definedName name="Z_6C2050D3_ABE5_4B48_B2A7_DDDD21669987_.wvu.FilterData" localSheetId="18" hidden="1">#REF!</definedName>
    <definedName name="Z_6C2050D3_ABE5_4B48_B2A7_DDDD21669987_.wvu.FilterData" localSheetId="7" hidden="1">#REF!</definedName>
    <definedName name="Z_6C2050D3_ABE5_4B48_B2A7_DDDD21669987_.wvu.FilterData" localSheetId="23" hidden="1">#REF!</definedName>
    <definedName name="Z_6C2050D3_ABE5_4B48_B2A7_DDDD21669987_.wvu.FilterData" hidden="1">#REF!</definedName>
    <definedName name="Z_6CD84A0B_C00D_4BC8_A655_6383CCA4B296_.wvu.FilterData" localSheetId="12" hidden="1">#REF!</definedName>
    <definedName name="Z_6CD84A0B_C00D_4BC8_A655_6383CCA4B296_.wvu.FilterData" localSheetId="30" hidden="1">#REF!</definedName>
    <definedName name="Z_6CD84A0B_C00D_4BC8_A655_6383CCA4B296_.wvu.FilterData" localSheetId="28" hidden="1">#REF!</definedName>
    <definedName name="Z_6CD84A0B_C00D_4BC8_A655_6383CCA4B296_.wvu.FilterData" localSheetId="27" hidden="1">#REF!</definedName>
    <definedName name="Z_6CD84A0B_C00D_4BC8_A655_6383CCA4B296_.wvu.FilterData" localSheetId="18" hidden="1">#REF!</definedName>
    <definedName name="Z_6CD84A0B_C00D_4BC8_A655_6383CCA4B296_.wvu.FilterData" localSheetId="7" hidden="1">#REF!</definedName>
    <definedName name="Z_6CD84A0B_C00D_4BC8_A655_6383CCA4B296_.wvu.FilterData" localSheetId="23" hidden="1">#REF!</definedName>
    <definedName name="Z_6CD84A0B_C00D_4BC8_A655_6383CCA4B296_.wvu.FilterData" hidden="1">#REF!</definedName>
    <definedName name="Z_6D5E5F42_E924_48A0_A50F_5BB481AFD1D5_.wvu.FilterData" localSheetId="12" hidden="1">#REF!</definedName>
    <definedName name="Z_6D5E5F42_E924_48A0_A50F_5BB481AFD1D5_.wvu.FilterData" localSheetId="30" hidden="1">#REF!</definedName>
    <definedName name="Z_6D5E5F42_E924_48A0_A50F_5BB481AFD1D5_.wvu.FilterData" localSheetId="28" hidden="1">#REF!</definedName>
    <definedName name="Z_6D5E5F42_E924_48A0_A50F_5BB481AFD1D5_.wvu.FilterData" localSheetId="27" hidden="1">#REF!</definedName>
    <definedName name="Z_6D5E5F42_E924_48A0_A50F_5BB481AFD1D5_.wvu.FilterData" localSheetId="18" hidden="1">#REF!</definedName>
    <definedName name="Z_6D5E5F42_E924_48A0_A50F_5BB481AFD1D5_.wvu.FilterData" localSheetId="7" hidden="1">#REF!</definedName>
    <definedName name="Z_6D5E5F42_E924_48A0_A50F_5BB481AFD1D5_.wvu.FilterData" localSheetId="23" hidden="1">#REF!</definedName>
    <definedName name="Z_6D5E5F42_E924_48A0_A50F_5BB481AFD1D5_.wvu.FilterData" hidden="1">#REF!</definedName>
    <definedName name="Z_6D789842_F56B_40C4_8907_F36C02855F76_.wvu.FilterData" localSheetId="12" hidden="1">#REF!</definedName>
    <definedName name="Z_6D789842_F56B_40C4_8907_F36C02855F76_.wvu.FilterData" localSheetId="30" hidden="1">#REF!</definedName>
    <definedName name="Z_6D789842_F56B_40C4_8907_F36C02855F76_.wvu.FilterData" localSheetId="28" hidden="1">#REF!</definedName>
    <definedName name="Z_6D789842_F56B_40C4_8907_F36C02855F76_.wvu.FilterData" localSheetId="27" hidden="1">#REF!</definedName>
    <definedName name="Z_6D789842_F56B_40C4_8907_F36C02855F76_.wvu.FilterData" localSheetId="18" hidden="1">#REF!</definedName>
    <definedName name="Z_6D789842_F56B_40C4_8907_F36C02855F76_.wvu.FilterData" localSheetId="7" hidden="1">#REF!</definedName>
    <definedName name="Z_6D789842_F56B_40C4_8907_F36C02855F76_.wvu.FilterData" localSheetId="23" hidden="1">#REF!</definedName>
    <definedName name="Z_6D789842_F56B_40C4_8907_F36C02855F76_.wvu.FilterData" hidden="1">#REF!</definedName>
    <definedName name="Z_6E345713_0818_471C_B54B_D890B987A0BC_.wvu.FilterData" localSheetId="12" hidden="1">#REF!</definedName>
    <definedName name="Z_6E345713_0818_471C_B54B_D890B987A0BC_.wvu.FilterData" localSheetId="30" hidden="1">#REF!</definedName>
    <definedName name="Z_6E345713_0818_471C_B54B_D890B987A0BC_.wvu.FilterData" localSheetId="28" hidden="1">#REF!</definedName>
    <definedName name="Z_6E345713_0818_471C_B54B_D890B987A0BC_.wvu.FilterData" localSheetId="27" hidden="1">#REF!</definedName>
    <definedName name="Z_6E345713_0818_471C_B54B_D890B987A0BC_.wvu.FilterData" localSheetId="18" hidden="1">#REF!</definedName>
    <definedName name="Z_6E345713_0818_471C_B54B_D890B987A0BC_.wvu.FilterData" localSheetId="7" hidden="1">#REF!</definedName>
    <definedName name="Z_6E345713_0818_471C_B54B_D890B987A0BC_.wvu.FilterData" localSheetId="23" hidden="1">#REF!</definedName>
    <definedName name="Z_6E345713_0818_471C_B54B_D890B987A0BC_.wvu.FilterData" hidden="1">#REF!</definedName>
    <definedName name="Z_701DEAE4_9CF1_491A_A54B_A6AE3235639D_.wvu.FilterData" localSheetId="12" hidden="1">#REF!</definedName>
    <definedName name="Z_701DEAE4_9CF1_491A_A54B_A6AE3235639D_.wvu.FilterData" localSheetId="30" hidden="1">#REF!</definedName>
    <definedName name="Z_701DEAE4_9CF1_491A_A54B_A6AE3235639D_.wvu.FilterData" localSheetId="28" hidden="1">#REF!</definedName>
    <definedName name="Z_701DEAE4_9CF1_491A_A54B_A6AE3235639D_.wvu.FilterData" localSheetId="27" hidden="1">#REF!</definedName>
    <definedName name="Z_701DEAE4_9CF1_491A_A54B_A6AE3235639D_.wvu.FilterData" localSheetId="18" hidden="1">#REF!</definedName>
    <definedName name="Z_701DEAE4_9CF1_491A_A54B_A6AE3235639D_.wvu.FilterData" localSheetId="7" hidden="1">#REF!</definedName>
    <definedName name="Z_701DEAE4_9CF1_491A_A54B_A6AE3235639D_.wvu.FilterData" localSheetId="23" hidden="1">#REF!</definedName>
    <definedName name="Z_701DEAE4_9CF1_491A_A54B_A6AE3235639D_.wvu.FilterData" hidden="1">#REF!</definedName>
    <definedName name="Z_7319B1DA_C8AE_4D1D_AB4C_B14141921483_.wvu.FilterData" localSheetId="12" hidden="1">#REF!</definedName>
    <definedName name="Z_7319B1DA_C8AE_4D1D_AB4C_B14141921483_.wvu.FilterData" localSheetId="30" hidden="1">#REF!</definedName>
    <definedName name="Z_7319B1DA_C8AE_4D1D_AB4C_B14141921483_.wvu.FilterData" localSheetId="28" hidden="1">#REF!</definedName>
    <definedName name="Z_7319B1DA_C8AE_4D1D_AB4C_B14141921483_.wvu.FilterData" localSheetId="27" hidden="1">#REF!</definedName>
    <definedName name="Z_7319B1DA_C8AE_4D1D_AB4C_B14141921483_.wvu.FilterData" localSheetId="18" hidden="1">#REF!</definedName>
    <definedName name="Z_7319B1DA_C8AE_4D1D_AB4C_B14141921483_.wvu.FilterData" localSheetId="7" hidden="1">#REF!</definedName>
    <definedName name="Z_7319B1DA_C8AE_4D1D_AB4C_B14141921483_.wvu.FilterData" localSheetId="23" hidden="1">#REF!</definedName>
    <definedName name="Z_7319B1DA_C8AE_4D1D_AB4C_B14141921483_.wvu.FilterData" hidden="1">#REF!</definedName>
    <definedName name="Z_75A1B66F_9EE1_4406_8264_C9BF12113183_.wvu.FilterData" localSheetId="12" hidden="1">#REF!</definedName>
    <definedName name="Z_75A1B66F_9EE1_4406_8264_C9BF12113183_.wvu.FilterData" localSheetId="30" hidden="1">#REF!</definedName>
    <definedName name="Z_75A1B66F_9EE1_4406_8264_C9BF12113183_.wvu.FilterData" localSheetId="28" hidden="1">#REF!</definedName>
    <definedName name="Z_75A1B66F_9EE1_4406_8264_C9BF12113183_.wvu.FilterData" localSheetId="27" hidden="1">#REF!</definedName>
    <definedName name="Z_75A1B66F_9EE1_4406_8264_C9BF12113183_.wvu.FilterData" localSheetId="18" hidden="1">#REF!</definedName>
    <definedName name="Z_75A1B66F_9EE1_4406_8264_C9BF12113183_.wvu.FilterData" localSheetId="7" hidden="1">#REF!</definedName>
    <definedName name="Z_75A1B66F_9EE1_4406_8264_C9BF12113183_.wvu.FilterData" localSheetId="23" hidden="1">#REF!</definedName>
    <definedName name="Z_75A1B66F_9EE1_4406_8264_C9BF12113183_.wvu.FilterData" hidden="1">#REF!</definedName>
    <definedName name="Z_7651BD63_D75B_41A5_B133_06AE6A84AE8F_.wvu.FilterData" localSheetId="12" hidden="1">#REF!</definedName>
    <definedName name="Z_7651BD63_D75B_41A5_B133_06AE6A84AE8F_.wvu.FilterData" localSheetId="30" hidden="1">#REF!</definedName>
    <definedName name="Z_7651BD63_D75B_41A5_B133_06AE6A84AE8F_.wvu.FilterData" localSheetId="28" hidden="1">#REF!</definedName>
    <definedName name="Z_7651BD63_D75B_41A5_B133_06AE6A84AE8F_.wvu.FilterData" localSheetId="27" hidden="1">#REF!</definedName>
    <definedName name="Z_7651BD63_D75B_41A5_B133_06AE6A84AE8F_.wvu.FilterData" localSheetId="18" hidden="1">#REF!</definedName>
    <definedName name="Z_7651BD63_D75B_41A5_B133_06AE6A84AE8F_.wvu.FilterData" localSheetId="7" hidden="1">#REF!</definedName>
    <definedName name="Z_7651BD63_D75B_41A5_B133_06AE6A84AE8F_.wvu.FilterData" localSheetId="23" hidden="1">#REF!</definedName>
    <definedName name="Z_7651BD63_D75B_41A5_B133_06AE6A84AE8F_.wvu.FilterData" hidden="1">#REF!</definedName>
    <definedName name="Z_767B7DB4_B657_4E6E_831B_84CA933FFCBE_.wvu.FilterData" localSheetId="12" hidden="1">#REF!</definedName>
    <definedName name="Z_767B7DB4_B657_4E6E_831B_84CA933FFCBE_.wvu.FilterData" localSheetId="30" hidden="1">#REF!</definedName>
    <definedName name="Z_767B7DB4_B657_4E6E_831B_84CA933FFCBE_.wvu.FilterData" localSheetId="28" hidden="1">#REF!</definedName>
    <definedName name="Z_767B7DB4_B657_4E6E_831B_84CA933FFCBE_.wvu.FilterData" localSheetId="27" hidden="1">#REF!</definedName>
    <definedName name="Z_767B7DB4_B657_4E6E_831B_84CA933FFCBE_.wvu.FilterData" localSheetId="18" hidden="1">#REF!</definedName>
    <definedName name="Z_767B7DB4_B657_4E6E_831B_84CA933FFCBE_.wvu.FilterData" localSheetId="7" hidden="1">#REF!</definedName>
    <definedName name="Z_767B7DB4_B657_4E6E_831B_84CA933FFCBE_.wvu.FilterData" localSheetId="23" hidden="1">#REF!</definedName>
    <definedName name="Z_767B7DB4_B657_4E6E_831B_84CA933FFCBE_.wvu.FilterData" hidden="1">#REF!</definedName>
    <definedName name="Z_76FA93EF_40A9_4929_9B4A_2213742C1620_.wvu.FilterData" localSheetId="12" hidden="1">#REF!</definedName>
    <definedName name="Z_76FA93EF_40A9_4929_9B4A_2213742C1620_.wvu.FilterData" localSheetId="30" hidden="1">#REF!</definedName>
    <definedName name="Z_76FA93EF_40A9_4929_9B4A_2213742C1620_.wvu.FilterData" localSheetId="28" hidden="1">#REF!</definedName>
    <definedName name="Z_76FA93EF_40A9_4929_9B4A_2213742C1620_.wvu.FilterData" localSheetId="27" hidden="1">#REF!</definedName>
    <definedName name="Z_76FA93EF_40A9_4929_9B4A_2213742C1620_.wvu.FilterData" localSheetId="18" hidden="1">#REF!</definedName>
    <definedName name="Z_76FA93EF_40A9_4929_9B4A_2213742C1620_.wvu.FilterData" localSheetId="7" hidden="1">#REF!</definedName>
    <definedName name="Z_76FA93EF_40A9_4929_9B4A_2213742C1620_.wvu.FilterData" localSheetId="23" hidden="1">#REF!</definedName>
    <definedName name="Z_76FA93EF_40A9_4929_9B4A_2213742C1620_.wvu.FilterData" hidden="1">#REF!</definedName>
    <definedName name="Z_78A33412_D032_45F7_9C2D_D4A31DB937D9_.wvu.FilterData" localSheetId="12" hidden="1">#REF!</definedName>
    <definedName name="Z_78A33412_D032_45F7_9C2D_D4A31DB937D9_.wvu.FilterData" localSheetId="30" hidden="1">#REF!</definedName>
    <definedName name="Z_78A33412_D032_45F7_9C2D_D4A31DB937D9_.wvu.FilterData" localSheetId="28" hidden="1">#REF!</definedName>
    <definedName name="Z_78A33412_D032_45F7_9C2D_D4A31DB937D9_.wvu.FilterData" localSheetId="27" hidden="1">#REF!</definedName>
    <definedName name="Z_78A33412_D032_45F7_9C2D_D4A31DB937D9_.wvu.FilterData" localSheetId="18" hidden="1">#REF!</definedName>
    <definedName name="Z_78A33412_D032_45F7_9C2D_D4A31DB937D9_.wvu.FilterData" localSheetId="7" hidden="1">#REF!</definedName>
    <definedName name="Z_78A33412_D032_45F7_9C2D_D4A31DB937D9_.wvu.FilterData" localSheetId="23" hidden="1">#REF!</definedName>
    <definedName name="Z_78A33412_D032_45F7_9C2D_D4A31DB937D9_.wvu.FilterData" hidden="1">#REF!</definedName>
    <definedName name="Z_796E4E5E_16C3_474D_B1D5_F6D39CD34051_.wvu.FilterData" localSheetId="12" hidden="1">#REF!</definedName>
    <definedName name="Z_796E4E5E_16C3_474D_B1D5_F6D39CD34051_.wvu.FilterData" localSheetId="30" hidden="1">#REF!</definedName>
    <definedName name="Z_796E4E5E_16C3_474D_B1D5_F6D39CD34051_.wvu.FilterData" localSheetId="28" hidden="1">#REF!</definedName>
    <definedName name="Z_796E4E5E_16C3_474D_B1D5_F6D39CD34051_.wvu.FilterData" localSheetId="27" hidden="1">#REF!</definedName>
    <definedName name="Z_796E4E5E_16C3_474D_B1D5_F6D39CD34051_.wvu.FilterData" localSheetId="18" hidden="1">#REF!</definedName>
    <definedName name="Z_796E4E5E_16C3_474D_B1D5_F6D39CD34051_.wvu.FilterData" localSheetId="7" hidden="1">#REF!</definedName>
    <definedName name="Z_796E4E5E_16C3_474D_B1D5_F6D39CD34051_.wvu.FilterData" localSheetId="23" hidden="1">#REF!</definedName>
    <definedName name="Z_796E4E5E_16C3_474D_B1D5_F6D39CD34051_.wvu.FilterData" hidden="1">#REF!</definedName>
    <definedName name="Z_7BFA9C41_C881_48A8_90C2_F93F8E16E599_.wvu.FilterData" localSheetId="12" hidden="1">#REF!</definedName>
    <definedName name="Z_7BFA9C41_C881_48A8_90C2_F93F8E16E599_.wvu.FilterData" localSheetId="30" hidden="1">#REF!</definedName>
    <definedName name="Z_7BFA9C41_C881_48A8_90C2_F93F8E16E599_.wvu.FilterData" localSheetId="28" hidden="1">#REF!</definedName>
    <definedName name="Z_7BFA9C41_C881_48A8_90C2_F93F8E16E599_.wvu.FilterData" localSheetId="27" hidden="1">#REF!</definedName>
    <definedName name="Z_7BFA9C41_C881_48A8_90C2_F93F8E16E599_.wvu.FilterData" localSheetId="18" hidden="1">#REF!</definedName>
    <definedName name="Z_7BFA9C41_C881_48A8_90C2_F93F8E16E599_.wvu.FilterData" localSheetId="7" hidden="1">#REF!</definedName>
    <definedName name="Z_7BFA9C41_C881_48A8_90C2_F93F8E16E599_.wvu.FilterData" localSheetId="23" hidden="1">#REF!</definedName>
    <definedName name="Z_7BFA9C41_C881_48A8_90C2_F93F8E16E599_.wvu.FilterData" hidden="1">#REF!</definedName>
    <definedName name="Z_7BFBCE1E_B6C5_4BAC_AD95_2B50D2ED28AB_.wvu.FilterData" localSheetId="12" hidden="1">#REF!</definedName>
    <definedName name="Z_7BFBCE1E_B6C5_4BAC_AD95_2B50D2ED28AB_.wvu.FilterData" localSheetId="30" hidden="1">#REF!</definedName>
    <definedName name="Z_7BFBCE1E_B6C5_4BAC_AD95_2B50D2ED28AB_.wvu.FilterData" localSheetId="28" hidden="1">#REF!</definedName>
    <definedName name="Z_7BFBCE1E_B6C5_4BAC_AD95_2B50D2ED28AB_.wvu.FilterData" localSheetId="27" hidden="1">#REF!</definedName>
    <definedName name="Z_7BFBCE1E_B6C5_4BAC_AD95_2B50D2ED28AB_.wvu.FilterData" localSheetId="18" hidden="1">#REF!</definedName>
    <definedName name="Z_7BFBCE1E_B6C5_4BAC_AD95_2B50D2ED28AB_.wvu.FilterData" localSheetId="7" hidden="1">#REF!</definedName>
    <definedName name="Z_7BFBCE1E_B6C5_4BAC_AD95_2B50D2ED28AB_.wvu.FilterData" localSheetId="23" hidden="1">#REF!</definedName>
    <definedName name="Z_7BFBCE1E_B6C5_4BAC_AD95_2B50D2ED28AB_.wvu.FilterData" hidden="1">#REF!</definedName>
    <definedName name="Z_7C6FEBF3_4382_4282_BBB0_E0269BEE42DE_.wvu.FilterData" localSheetId="12" hidden="1">#REF!</definedName>
    <definedName name="Z_7C6FEBF3_4382_4282_BBB0_E0269BEE42DE_.wvu.FilterData" localSheetId="30" hidden="1">#REF!</definedName>
    <definedName name="Z_7C6FEBF3_4382_4282_BBB0_E0269BEE42DE_.wvu.FilterData" localSheetId="28" hidden="1">#REF!</definedName>
    <definedName name="Z_7C6FEBF3_4382_4282_BBB0_E0269BEE42DE_.wvu.FilterData" localSheetId="27" hidden="1">#REF!</definedName>
    <definedName name="Z_7C6FEBF3_4382_4282_BBB0_E0269BEE42DE_.wvu.FilterData" localSheetId="18" hidden="1">#REF!</definedName>
    <definedName name="Z_7C6FEBF3_4382_4282_BBB0_E0269BEE42DE_.wvu.FilterData" localSheetId="7" hidden="1">#REF!</definedName>
    <definedName name="Z_7C6FEBF3_4382_4282_BBB0_E0269BEE42DE_.wvu.FilterData" localSheetId="23" hidden="1">#REF!</definedName>
    <definedName name="Z_7C6FEBF3_4382_4282_BBB0_E0269BEE42DE_.wvu.FilterData" hidden="1">#REF!</definedName>
    <definedName name="Z_7D057642_92FA_4DD6_84C5_B10B17893E1F_.wvu.FilterData" localSheetId="12" hidden="1">#REF!</definedName>
    <definedName name="Z_7D057642_92FA_4DD6_84C5_B10B17893E1F_.wvu.FilterData" localSheetId="30" hidden="1">#REF!</definedName>
    <definedName name="Z_7D057642_92FA_4DD6_84C5_B10B17893E1F_.wvu.FilterData" localSheetId="28" hidden="1">#REF!</definedName>
    <definedName name="Z_7D057642_92FA_4DD6_84C5_B10B17893E1F_.wvu.FilterData" localSheetId="27" hidden="1">#REF!</definedName>
    <definedName name="Z_7D057642_92FA_4DD6_84C5_B10B17893E1F_.wvu.FilterData" localSheetId="18" hidden="1">#REF!</definedName>
    <definedName name="Z_7D057642_92FA_4DD6_84C5_B10B17893E1F_.wvu.FilterData" localSheetId="7" hidden="1">#REF!</definedName>
    <definedName name="Z_7D057642_92FA_4DD6_84C5_B10B17893E1F_.wvu.FilterData" localSheetId="23" hidden="1">#REF!</definedName>
    <definedName name="Z_7D057642_92FA_4DD6_84C5_B10B17893E1F_.wvu.FilterData" hidden="1">#REF!</definedName>
    <definedName name="Z_7ED5F3D1_B838_492E_9467_7E7CE6B348ED_.wvu.FilterData" localSheetId="12" hidden="1">#REF!</definedName>
    <definedName name="Z_7ED5F3D1_B838_492E_9467_7E7CE6B348ED_.wvu.FilterData" localSheetId="30" hidden="1">#REF!</definedName>
    <definedName name="Z_7ED5F3D1_B838_492E_9467_7E7CE6B348ED_.wvu.FilterData" localSheetId="28" hidden="1">#REF!</definedName>
    <definedName name="Z_7ED5F3D1_B838_492E_9467_7E7CE6B348ED_.wvu.FilterData" localSheetId="27" hidden="1">#REF!</definedName>
    <definedName name="Z_7ED5F3D1_B838_492E_9467_7E7CE6B348ED_.wvu.FilterData" localSheetId="18" hidden="1">#REF!</definedName>
    <definedName name="Z_7ED5F3D1_B838_492E_9467_7E7CE6B348ED_.wvu.FilterData" localSheetId="7" hidden="1">#REF!</definedName>
    <definedName name="Z_7ED5F3D1_B838_492E_9467_7E7CE6B348ED_.wvu.FilterData" localSheetId="23" hidden="1">#REF!</definedName>
    <definedName name="Z_7ED5F3D1_B838_492E_9467_7E7CE6B348ED_.wvu.FilterData" hidden="1">#REF!</definedName>
    <definedName name="Z_8090FD3B_94DF_4ACF_9708_D5B9ADEFD29C_.wvu.FilterData" localSheetId="12" hidden="1">#REF!</definedName>
    <definedName name="Z_8090FD3B_94DF_4ACF_9708_D5B9ADEFD29C_.wvu.FilterData" localSheetId="30" hidden="1">#REF!</definedName>
    <definedName name="Z_8090FD3B_94DF_4ACF_9708_D5B9ADEFD29C_.wvu.FilterData" localSheetId="28" hidden="1">#REF!</definedName>
    <definedName name="Z_8090FD3B_94DF_4ACF_9708_D5B9ADEFD29C_.wvu.FilterData" localSheetId="27" hidden="1">#REF!</definedName>
    <definedName name="Z_8090FD3B_94DF_4ACF_9708_D5B9ADEFD29C_.wvu.FilterData" localSheetId="18" hidden="1">#REF!</definedName>
    <definedName name="Z_8090FD3B_94DF_4ACF_9708_D5B9ADEFD29C_.wvu.FilterData" localSheetId="7" hidden="1">#REF!</definedName>
    <definedName name="Z_8090FD3B_94DF_4ACF_9708_D5B9ADEFD29C_.wvu.FilterData" localSheetId="23" hidden="1">#REF!</definedName>
    <definedName name="Z_8090FD3B_94DF_4ACF_9708_D5B9ADEFD29C_.wvu.FilterData" hidden="1">#REF!</definedName>
    <definedName name="Z_8149A5A7_8307_4FA6_B457_A66B8A6DFABD_.wvu.FilterData" localSheetId="12" hidden="1">#REF!</definedName>
    <definedName name="Z_8149A5A7_8307_4FA6_B457_A66B8A6DFABD_.wvu.FilterData" localSheetId="30" hidden="1">#REF!</definedName>
    <definedName name="Z_8149A5A7_8307_4FA6_B457_A66B8A6DFABD_.wvu.FilterData" localSheetId="28" hidden="1">#REF!</definedName>
    <definedName name="Z_8149A5A7_8307_4FA6_B457_A66B8A6DFABD_.wvu.FilterData" localSheetId="27" hidden="1">#REF!</definedName>
    <definedName name="Z_8149A5A7_8307_4FA6_B457_A66B8A6DFABD_.wvu.FilterData" localSheetId="18" hidden="1">#REF!</definedName>
    <definedName name="Z_8149A5A7_8307_4FA6_B457_A66B8A6DFABD_.wvu.FilterData" localSheetId="7" hidden="1">#REF!</definedName>
    <definedName name="Z_8149A5A7_8307_4FA6_B457_A66B8A6DFABD_.wvu.FilterData" localSheetId="23" hidden="1">#REF!</definedName>
    <definedName name="Z_8149A5A7_8307_4FA6_B457_A66B8A6DFABD_.wvu.FilterData" hidden="1">#REF!</definedName>
    <definedName name="Z_819A0FD3_B678_47E8_9DFB_641B3990B590_.wvu.FilterData" localSheetId="12" hidden="1">#REF!</definedName>
    <definedName name="Z_819A0FD3_B678_47E8_9DFB_641B3990B590_.wvu.FilterData" localSheetId="30" hidden="1">#REF!</definedName>
    <definedName name="Z_819A0FD3_B678_47E8_9DFB_641B3990B590_.wvu.FilterData" localSheetId="28" hidden="1">#REF!</definedName>
    <definedName name="Z_819A0FD3_B678_47E8_9DFB_641B3990B590_.wvu.FilterData" localSheetId="27" hidden="1">#REF!</definedName>
    <definedName name="Z_819A0FD3_B678_47E8_9DFB_641B3990B590_.wvu.FilterData" localSheetId="18" hidden="1">#REF!</definedName>
    <definedName name="Z_819A0FD3_B678_47E8_9DFB_641B3990B590_.wvu.FilterData" localSheetId="7" hidden="1">#REF!</definedName>
    <definedName name="Z_819A0FD3_B678_47E8_9DFB_641B3990B590_.wvu.FilterData" localSheetId="23" hidden="1">#REF!</definedName>
    <definedName name="Z_819A0FD3_B678_47E8_9DFB_641B3990B590_.wvu.FilterData" hidden="1">#REF!</definedName>
    <definedName name="Z_82999604_BD48_4054_BDCB_CB8B074A34A3_.wvu.FilterData" localSheetId="12" hidden="1">#REF!</definedName>
    <definedName name="Z_82999604_BD48_4054_BDCB_CB8B074A34A3_.wvu.FilterData" localSheetId="30" hidden="1">#REF!</definedName>
    <definedName name="Z_82999604_BD48_4054_BDCB_CB8B074A34A3_.wvu.FilterData" localSheetId="28" hidden="1">#REF!</definedName>
    <definedName name="Z_82999604_BD48_4054_BDCB_CB8B074A34A3_.wvu.FilterData" localSheetId="27" hidden="1">#REF!</definedName>
    <definedName name="Z_82999604_BD48_4054_BDCB_CB8B074A34A3_.wvu.FilterData" localSheetId="18" hidden="1">#REF!</definedName>
    <definedName name="Z_82999604_BD48_4054_BDCB_CB8B074A34A3_.wvu.FilterData" localSheetId="7" hidden="1">#REF!</definedName>
    <definedName name="Z_82999604_BD48_4054_BDCB_CB8B074A34A3_.wvu.FilterData" localSheetId="23" hidden="1">#REF!</definedName>
    <definedName name="Z_82999604_BD48_4054_BDCB_CB8B074A34A3_.wvu.FilterData" hidden="1">#REF!</definedName>
    <definedName name="Z_8473B3F0_0740_4E9F_9BAE_9113E5077DE8_.wvu.FilterData" localSheetId="12" hidden="1">#REF!</definedName>
    <definedName name="Z_8473B3F0_0740_4E9F_9BAE_9113E5077DE8_.wvu.FilterData" localSheetId="30" hidden="1">#REF!</definedName>
    <definedName name="Z_8473B3F0_0740_4E9F_9BAE_9113E5077DE8_.wvu.FilterData" localSheetId="28" hidden="1">#REF!</definedName>
    <definedName name="Z_8473B3F0_0740_4E9F_9BAE_9113E5077DE8_.wvu.FilterData" localSheetId="27" hidden="1">#REF!</definedName>
    <definedName name="Z_8473B3F0_0740_4E9F_9BAE_9113E5077DE8_.wvu.FilterData" localSheetId="18" hidden="1">#REF!</definedName>
    <definedName name="Z_8473B3F0_0740_4E9F_9BAE_9113E5077DE8_.wvu.FilterData" localSheetId="7" hidden="1">#REF!</definedName>
    <definedName name="Z_8473B3F0_0740_4E9F_9BAE_9113E5077DE8_.wvu.FilterData" localSheetId="23" hidden="1">#REF!</definedName>
    <definedName name="Z_8473B3F0_0740_4E9F_9BAE_9113E5077DE8_.wvu.FilterData" hidden="1">#REF!</definedName>
    <definedName name="Z_85A83A94_71B4_44C8_8B5A_68CAA2461241_.wvu.FilterData" localSheetId="12" hidden="1">#REF!</definedName>
    <definedName name="Z_85A83A94_71B4_44C8_8B5A_68CAA2461241_.wvu.FilterData" localSheetId="30" hidden="1">#REF!</definedName>
    <definedName name="Z_85A83A94_71B4_44C8_8B5A_68CAA2461241_.wvu.FilterData" localSheetId="28" hidden="1">#REF!</definedName>
    <definedName name="Z_85A83A94_71B4_44C8_8B5A_68CAA2461241_.wvu.FilterData" localSheetId="27" hidden="1">#REF!</definedName>
    <definedName name="Z_85A83A94_71B4_44C8_8B5A_68CAA2461241_.wvu.FilterData" localSheetId="18" hidden="1">#REF!</definedName>
    <definedName name="Z_85A83A94_71B4_44C8_8B5A_68CAA2461241_.wvu.FilterData" localSheetId="7" hidden="1">#REF!</definedName>
    <definedName name="Z_85A83A94_71B4_44C8_8B5A_68CAA2461241_.wvu.FilterData" localSheetId="23" hidden="1">#REF!</definedName>
    <definedName name="Z_85A83A94_71B4_44C8_8B5A_68CAA2461241_.wvu.FilterData" hidden="1">#REF!</definedName>
    <definedName name="Z_86E0C273_91AF_11D7_9C1E_0004231B06E7_.wvu.FilterData" localSheetId="12" hidden="1">#REF!</definedName>
    <definedName name="Z_86E0C273_91AF_11D7_9C1E_0004231B06E7_.wvu.FilterData" localSheetId="30" hidden="1">#REF!</definedName>
    <definedName name="Z_86E0C273_91AF_11D7_9C1E_0004231B06E7_.wvu.FilterData" localSheetId="28" hidden="1">#REF!</definedName>
    <definedName name="Z_86E0C273_91AF_11D7_9C1E_0004231B06E7_.wvu.FilterData" localSheetId="27" hidden="1">#REF!</definedName>
    <definedName name="Z_86E0C273_91AF_11D7_9C1E_0004231B06E7_.wvu.FilterData" localSheetId="18" hidden="1">#REF!</definedName>
    <definedName name="Z_86E0C273_91AF_11D7_9C1E_0004231B06E7_.wvu.FilterData" localSheetId="7" hidden="1">#REF!</definedName>
    <definedName name="Z_86E0C273_91AF_11D7_9C1E_0004231B06E7_.wvu.FilterData" localSheetId="23" hidden="1">#REF!</definedName>
    <definedName name="Z_86E0C273_91AF_11D7_9C1E_0004231B06E7_.wvu.FilterData" hidden="1">#REF!</definedName>
    <definedName name="Z_87F04A72_68BF_497D_8569_47D1A3B89590_.wvu.FilterData" localSheetId="12" hidden="1">#REF!</definedName>
    <definedName name="Z_87F04A72_68BF_497D_8569_47D1A3B89590_.wvu.FilterData" localSheetId="30" hidden="1">#REF!</definedName>
    <definedName name="Z_87F04A72_68BF_497D_8569_47D1A3B89590_.wvu.FilterData" localSheetId="28" hidden="1">#REF!</definedName>
    <definedName name="Z_87F04A72_68BF_497D_8569_47D1A3B89590_.wvu.FilterData" localSheetId="27" hidden="1">#REF!</definedName>
    <definedName name="Z_87F04A72_68BF_497D_8569_47D1A3B89590_.wvu.FilterData" localSheetId="18" hidden="1">#REF!</definedName>
    <definedName name="Z_87F04A72_68BF_497D_8569_47D1A3B89590_.wvu.FilterData" localSheetId="7" hidden="1">#REF!</definedName>
    <definedName name="Z_87F04A72_68BF_497D_8569_47D1A3B89590_.wvu.FilterData" localSheetId="23" hidden="1">#REF!</definedName>
    <definedName name="Z_87F04A72_68BF_497D_8569_47D1A3B89590_.wvu.FilterData" hidden="1">#REF!</definedName>
    <definedName name="Z_893CBEFD_F317_41F0_BA87_CC1860E1F73B_.wvu.FilterData" localSheetId="12" hidden="1">#REF!</definedName>
    <definedName name="Z_893CBEFD_F317_41F0_BA87_CC1860E1F73B_.wvu.FilterData" localSheetId="30" hidden="1">#REF!</definedName>
    <definedName name="Z_893CBEFD_F317_41F0_BA87_CC1860E1F73B_.wvu.FilterData" localSheetId="28" hidden="1">#REF!</definedName>
    <definedName name="Z_893CBEFD_F317_41F0_BA87_CC1860E1F73B_.wvu.FilterData" localSheetId="27" hidden="1">#REF!</definedName>
    <definedName name="Z_893CBEFD_F317_41F0_BA87_CC1860E1F73B_.wvu.FilterData" localSheetId="18" hidden="1">#REF!</definedName>
    <definedName name="Z_893CBEFD_F317_41F0_BA87_CC1860E1F73B_.wvu.FilterData" localSheetId="7" hidden="1">#REF!</definedName>
    <definedName name="Z_893CBEFD_F317_41F0_BA87_CC1860E1F73B_.wvu.FilterData" localSheetId="23" hidden="1">#REF!</definedName>
    <definedName name="Z_893CBEFD_F317_41F0_BA87_CC1860E1F73B_.wvu.FilterData" hidden="1">#REF!</definedName>
    <definedName name="Z_89D83FA2_2F4F_4275_9074_3A6247C2CDA6_.wvu.FilterData" localSheetId="12" hidden="1">#REF!</definedName>
    <definedName name="Z_89D83FA2_2F4F_4275_9074_3A6247C2CDA6_.wvu.FilterData" localSheetId="30" hidden="1">#REF!</definedName>
    <definedName name="Z_89D83FA2_2F4F_4275_9074_3A6247C2CDA6_.wvu.FilterData" localSheetId="28" hidden="1">#REF!</definedName>
    <definedName name="Z_89D83FA2_2F4F_4275_9074_3A6247C2CDA6_.wvu.FilterData" localSheetId="27" hidden="1">#REF!</definedName>
    <definedName name="Z_89D83FA2_2F4F_4275_9074_3A6247C2CDA6_.wvu.FilterData" localSheetId="18" hidden="1">#REF!</definedName>
    <definedName name="Z_89D83FA2_2F4F_4275_9074_3A6247C2CDA6_.wvu.FilterData" localSheetId="7" hidden="1">#REF!</definedName>
    <definedName name="Z_89D83FA2_2F4F_4275_9074_3A6247C2CDA6_.wvu.FilterData" localSheetId="23" hidden="1">#REF!</definedName>
    <definedName name="Z_89D83FA2_2F4F_4275_9074_3A6247C2CDA6_.wvu.FilterData" hidden="1">#REF!</definedName>
    <definedName name="Z_8B2E8E84_1A68_4B75_A867_04E8EAC8E685_.wvu.FilterData" localSheetId="12" hidden="1">#REF!</definedName>
    <definedName name="Z_8B2E8E84_1A68_4B75_A867_04E8EAC8E685_.wvu.FilterData" localSheetId="30" hidden="1">#REF!</definedName>
    <definedName name="Z_8B2E8E84_1A68_4B75_A867_04E8EAC8E685_.wvu.FilterData" localSheetId="28" hidden="1">#REF!</definedName>
    <definedName name="Z_8B2E8E84_1A68_4B75_A867_04E8EAC8E685_.wvu.FilterData" localSheetId="27" hidden="1">#REF!</definedName>
    <definedName name="Z_8B2E8E84_1A68_4B75_A867_04E8EAC8E685_.wvu.FilterData" localSheetId="18" hidden="1">#REF!</definedName>
    <definedName name="Z_8B2E8E84_1A68_4B75_A867_04E8EAC8E685_.wvu.FilterData" localSheetId="7" hidden="1">#REF!</definedName>
    <definedName name="Z_8B2E8E84_1A68_4B75_A867_04E8EAC8E685_.wvu.FilterData" localSheetId="23" hidden="1">#REF!</definedName>
    <definedName name="Z_8B2E8E84_1A68_4B75_A867_04E8EAC8E685_.wvu.FilterData" hidden="1">#REF!</definedName>
    <definedName name="Z_8B5FADF8_BAFC_44E0_9D1D_DE21657D83CA_.wvu.FilterData" localSheetId="12" hidden="1">#REF!</definedName>
    <definedName name="Z_8B5FADF8_BAFC_44E0_9D1D_DE21657D83CA_.wvu.FilterData" localSheetId="30" hidden="1">#REF!</definedName>
    <definedName name="Z_8B5FADF8_BAFC_44E0_9D1D_DE21657D83CA_.wvu.FilterData" localSheetId="28" hidden="1">#REF!</definedName>
    <definedName name="Z_8B5FADF8_BAFC_44E0_9D1D_DE21657D83CA_.wvu.FilterData" localSheetId="27" hidden="1">#REF!</definedName>
    <definedName name="Z_8B5FADF8_BAFC_44E0_9D1D_DE21657D83CA_.wvu.FilterData" localSheetId="18" hidden="1">#REF!</definedName>
    <definedName name="Z_8B5FADF8_BAFC_44E0_9D1D_DE21657D83CA_.wvu.FilterData" localSheetId="7" hidden="1">#REF!</definedName>
    <definedName name="Z_8B5FADF8_BAFC_44E0_9D1D_DE21657D83CA_.wvu.FilterData" localSheetId="23" hidden="1">#REF!</definedName>
    <definedName name="Z_8B5FADF8_BAFC_44E0_9D1D_DE21657D83CA_.wvu.FilterData" hidden="1">#REF!</definedName>
    <definedName name="Z_8CBA7976_3F45_4926_8F5C_251343B1DCDB_.wvu.FilterData" localSheetId="12" hidden="1">#REF!</definedName>
    <definedName name="Z_8CBA7976_3F45_4926_8F5C_251343B1DCDB_.wvu.FilterData" localSheetId="30" hidden="1">#REF!</definedName>
    <definedName name="Z_8CBA7976_3F45_4926_8F5C_251343B1DCDB_.wvu.FilterData" localSheetId="28" hidden="1">#REF!</definedName>
    <definedName name="Z_8CBA7976_3F45_4926_8F5C_251343B1DCDB_.wvu.FilterData" localSheetId="27" hidden="1">#REF!</definedName>
    <definedName name="Z_8CBA7976_3F45_4926_8F5C_251343B1DCDB_.wvu.FilterData" localSheetId="18" hidden="1">#REF!</definedName>
    <definedName name="Z_8CBA7976_3F45_4926_8F5C_251343B1DCDB_.wvu.FilterData" localSheetId="7" hidden="1">#REF!</definedName>
    <definedName name="Z_8CBA7976_3F45_4926_8F5C_251343B1DCDB_.wvu.FilterData" localSheetId="23" hidden="1">#REF!</definedName>
    <definedName name="Z_8CBA7976_3F45_4926_8F5C_251343B1DCDB_.wvu.FilterData" hidden="1">#REF!</definedName>
    <definedName name="Z_8D213052_8AFD_4E06_B410_DCB431062572_.wvu.FilterData" localSheetId="12" hidden="1">#REF!</definedName>
    <definedName name="Z_8D213052_8AFD_4E06_B410_DCB431062572_.wvu.FilterData" localSheetId="30" hidden="1">#REF!</definedName>
    <definedName name="Z_8D213052_8AFD_4E06_B410_DCB431062572_.wvu.FilterData" localSheetId="28" hidden="1">#REF!</definedName>
    <definedName name="Z_8D213052_8AFD_4E06_B410_DCB431062572_.wvu.FilterData" localSheetId="27" hidden="1">#REF!</definedName>
    <definedName name="Z_8D213052_8AFD_4E06_B410_DCB431062572_.wvu.FilterData" localSheetId="18" hidden="1">#REF!</definedName>
    <definedName name="Z_8D213052_8AFD_4E06_B410_DCB431062572_.wvu.FilterData" localSheetId="7" hidden="1">#REF!</definedName>
    <definedName name="Z_8D213052_8AFD_4E06_B410_DCB431062572_.wvu.FilterData" localSheetId="23" hidden="1">#REF!</definedName>
    <definedName name="Z_8D213052_8AFD_4E06_B410_DCB431062572_.wvu.FilterData" hidden="1">#REF!</definedName>
    <definedName name="Z_8EA755F4_0515_4AA0_970C_55F473C7FD9B_.wvu.FilterData" localSheetId="12" hidden="1">#REF!</definedName>
    <definedName name="Z_8EA755F4_0515_4AA0_970C_55F473C7FD9B_.wvu.FilterData" localSheetId="30" hidden="1">#REF!</definedName>
    <definedName name="Z_8EA755F4_0515_4AA0_970C_55F473C7FD9B_.wvu.FilterData" localSheetId="28" hidden="1">#REF!</definedName>
    <definedName name="Z_8EA755F4_0515_4AA0_970C_55F473C7FD9B_.wvu.FilterData" localSheetId="27" hidden="1">#REF!</definedName>
    <definedName name="Z_8EA755F4_0515_4AA0_970C_55F473C7FD9B_.wvu.FilterData" localSheetId="18" hidden="1">#REF!</definedName>
    <definedName name="Z_8EA755F4_0515_4AA0_970C_55F473C7FD9B_.wvu.FilterData" localSheetId="7" hidden="1">#REF!</definedName>
    <definedName name="Z_8EA755F4_0515_4AA0_970C_55F473C7FD9B_.wvu.FilterData" localSheetId="23" hidden="1">#REF!</definedName>
    <definedName name="Z_8EA755F4_0515_4AA0_970C_55F473C7FD9B_.wvu.FilterData" hidden="1">#REF!</definedName>
    <definedName name="Z_8F33F4E3_A14E_4DD4_ADD4_B19023A45B10_.wvu.FilterData" localSheetId="12" hidden="1">#REF!</definedName>
    <definedName name="Z_8F33F4E3_A14E_4DD4_ADD4_B19023A45B10_.wvu.FilterData" localSheetId="30" hidden="1">#REF!</definedName>
    <definedName name="Z_8F33F4E3_A14E_4DD4_ADD4_B19023A45B10_.wvu.FilterData" localSheetId="28" hidden="1">#REF!</definedName>
    <definedName name="Z_8F33F4E3_A14E_4DD4_ADD4_B19023A45B10_.wvu.FilterData" localSheetId="27" hidden="1">#REF!</definedName>
    <definedName name="Z_8F33F4E3_A14E_4DD4_ADD4_B19023A45B10_.wvu.FilterData" localSheetId="18" hidden="1">#REF!</definedName>
    <definedName name="Z_8F33F4E3_A14E_4DD4_ADD4_B19023A45B10_.wvu.FilterData" localSheetId="7" hidden="1">#REF!</definedName>
    <definedName name="Z_8F33F4E3_A14E_4DD4_ADD4_B19023A45B10_.wvu.FilterData" localSheetId="23" hidden="1">#REF!</definedName>
    <definedName name="Z_8F33F4E3_A14E_4DD4_ADD4_B19023A45B10_.wvu.FilterData" hidden="1">#REF!</definedName>
    <definedName name="Z_901BF8EA_CA8A_411C_8FD3_BCB793FCF48A_.wvu.FilterData" localSheetId="12" hidden="1">#REF!</definedName>
    <definedName name="Z_901BF8EA_CA8A_411C_8FD3_BCB793FCF48A_.wvu.FilterData" localSheetId="30" hidden="1">#REF!</definedName>
    <definedName name="Z_901BF8EA_CA8A_411C_8FD3_BCB793FCF48A_.wvu.FilterData" localSheetId="28" hidden="1">#REF!</definedName>
    <definedName name="Z_901BF8EA_CA8A_411C_8FD3_BCB793FCF48A_.wvu.FilterData" localSheetId="27" hidden="1">#REF!</definedName>
    <definedName name="Z_901BF8EA_CA8A_411C_8FD3_BCB793FCF48A_.wvu.FilterData" localSheetId="18" hidden="1">#REF!</definedName>
    <definedName name="Z_901BF8EA_CA8A_411C_8FD3_BCB793FCF48A_.wvu.FilterData" localSheetId="7" hidden="1">#REF!</definedName>
    <definedName name="Z_901BF8EA_CA8A_411C_8FD3_BCB793FCF48A_.wvu.FilterData" localSheetId="23" hidden="1">#REF!</definedName>
    <definedName name="Z_901BF8EA_CA8A_411C_8FD3_BCB793FCF48A_.wvu.FilterData" hidden="1">#REF!</definedName>
    <definedName name="Z_9066F505_4944_4582_AAF9_B40B49D59413_.wvu.PrintArea" localSheetId="12" hidden="1">#REF!</definedName>
    <definedName name="Z_9066F505_4944_4582_AAF9_B40B49D59413_.wvu.PrintArea" localSheetId="30" hidden="1">#REF!</definedName>
    <definedName name="Z_9066F505_4944_4582_AAF9_B40B49D59413_.wvu.PrintArea" localSheetId="28" hidden="1">#REF!</definedName>
    <definedName name="Z_9066F505_4944_4582_AAF9_B40B49D59413_.wvu.PrintArea" localSheetId="27" hidden="1">#REF!</definedName>
    <definedName name="Z_9066F505_4944_4582_AAF9_B40B49D59413_.wvu.PrintArea" localSheetId="18" hidden="1">#REF!</definedName>
    <definedName name="Z_9066F505_4944_4582_AAF9_B40B49D59413_.wvu.PrintArea" localSheetId="7" hidden="1">#REF!</definedName>
    <definedName name="Z_9066F505_4944_4582_AAF9_B40B49D59413_.wvu.PrintArea" localSheetId="23" hidden="1">#REF!</definedName>
    <definedName name="Z_9066F505_4944_4582_AAF9_B40B49D59413_.wvu.PrintArea" hidden="1">#REF!</definedName>
    <definedName name="Z_9066F505_4944_4582_AAF9_B40B49D59413_.wvu.PrintTitles" localSheetId="12" hidden="1">#REF!</definedName>
    <definedName name="Z_9066F505_4944_4582_AAF9_B40B49D59413_.wvu.PrintTitles" localSheetId="30" hidden="1">#REF!</definedName>
    <definedName name="Z_9066F505_4944_4582_AAF9_B40B49D59413_.wvu.PrintTitles" localSheetId="28" hidden="1">#REF!</definedName>
    <definedName name="Z_9066F505_4944_4582_AAF9_B40B49D59413_.wvu.PrintTitles" localSheetId="27" hidden="1">#REF!</definedName>
    <definedName name="Z_9066F505_4944_4582_AAF9_B40B49D59413_.wvu.PrintTitles" localSheetId="18" hidden="1">#REF!</definedName>
    <definedName name="Z_9066F505_4944_4582_AAF9_B40B49D59413_.wvu.PrintTitles" localSheetId="7" hidden="1">#REF!</definedName>
    <definedName name="Z_9066F505_4944_4582_AAF9_B40B49D59413_.wvu.PrintTitles" localSheetId="23" hidden="1">#REF!</definedName>
    <definedName name="Z_9066F505_4944_4582_AAF9_B40B49D59413_.wvu.PrintTitles" hidden="1">#REF!</definedName>
    <definedName name="Z_9066F505_4944_4582_AAF9_B40B49D59413_.wvu.Rows" localSheetId="12" hidden="1">#REF!</definedName>
    <definedName name="Z_9066F505_4944_4582_AAF9_B40B49D59413_.wvu.Rows" localSheetId="30" hidden="1">#REF!</definedName>
    <definedName name="Z_9066F505_4944_4582_AAF9_B40B49D59413_.wvu.Rows" localSheetId="28" hidden="1">#REF!</definedName>
    <definedName name="Z_9066F505_4944_4582_AAF9_B40B49D59413_.wvu.Rows" localSheetId="27" hidden="1">#REF!</definedName>
    <definedName name="Z_9066F505_4944_4582_AAF9_B40B49D59413_.wvu.Rows" localSheetId="18" hidden="1">#REF!</definedName>
    <definedName name="Z_9066F505_4944_4582_AAF9_B40B49D59413_.wvu.Rows" localSheetId="7" hidden="1">#REF!</definedName>
    <definedName name="Z_9066F505_4944_4582_AAF9_B40B49D59413_.wvu.Rows" localSheetId="23" hidden="1">#REF!</definedName>
    <definedName name="Z_9066F505_4944_4582_AAF9_B40B49D59413_.wvu.Rows" hidden="1">#REF!</definedName>
    <definedName name="Z_91488B6D_F045_4050_BA1B_41C2E3B3B10A_.wvu.FilterData" localSheetId="12" hidden="1">#REF!</definedName>
    <definedName name="Z_91488B6D_F045_4050_BA1B_41C2E3B3B10A_.wvu.FilterData" localSheetId="30" hidden="1">#REF!</definedName>
    <definedName name="Z_91488B6D_F045_4050_BA1B_41C2E3B3B10A_.wvu.FilterData" localSheetId="28" hidden="1">#REF!</definedName>
    <definedName name="Z_91488B6D_F045_4050_BA1B_41C2E3B3B10A_.wvu.FilterData" localSheetId="27" hidden="1">#REF!</definedName>
    <definedName name="Z_91488B6D_F045_4050_BA1B_41C2E3B3B10A_.wvu.FilterData" localSheetId="18" hidden="1">#REF!</definedName>
    <definedName name="Z_91488B6D_F045_4050_BA1B_41C2E3B3B10A_.wvu.FilterData" localSheetId="7" hidden="1">#REF!</definedName>
    <definedName name="Z_91488B6D_F045_4050_BA1B_41C2E3B3B10A_.wvu.FilterData" localSheetId="23" hidden="1">#REF!</definedName>
    <definedName name="Z_91488B6D_F045_4050_BA1B_41C2E3B3B10A_.wvu.FilterData" hidden="1">#REF!</definedName>
    <definedName name="Z_92919032_3A1D_4E0A_A8D8_FD23494D13A8_.wvu.FilterData" localSheetId="12" hidden="1">#REF!</definedName>
    <definedName name="Z_92919032_3A1D_4E0A_A8D8_FD23494D13A8_.wvu.FilterData" localSheetId="30" hidden="1">#REF!</definedName>
    <definedName name="Z_92919032_3A1D_4E0A_A8D8_FD23494D13A8_.wvu.FilterData" localSheetId="28" hidden="1">#REF!</definedName>
    <definedName name="Z_92919032_3A1D_4E0A_A8D8_FD23494D13A8_.wvu.FilterData" localSheetId="27" hidden="1">#REF!</definedName>
    <definedName name="Z_92919032_3A1D_4E0A_A8D8_FD23494D13A8_.wvu.FilterData" localSheetId="18" hidden="1">#REF!</definedName>
    <definedName name="Z_92919032_3A1D_4E0A_A8D8_FD23494D13A8_.wvu.FilterData" localSheetId="7" hidden="1">#REF!</definedName>
    <definedName name="Z_92919032_3A1D_4E0A_A8D8_FD23494D13A8_.wvu.FilterData" localSheetId="23" hidden="1">#REF!</definedName>
    <definedName name="Z_92919032_3A1D_4E0A_A8D8_FD23494D13A8_.wvu.FilterData" hidden="1">#REF!</definedName>
    <definedName name="Z_9587B38A_B060_410B_8598_4B23623A371C_.wvu.FilterData" localSheetId="12" hidden="1">#REF!</definedName>
    <definedName name="Z_9587B38A_B060_410B_8598_4B23623A371C_.wvu.FilterData" localSheetId="30" hidden="1">#REF!</definedName>
    <definedName name="Z_9587B38A_B060_410B_8598_4B23623A371C_.wvu.FilterData" localSheetId="28" hidden="1">#REF!</definedName>
    <definedName name="Z_9587B38A_B060_410B_8598_4B23623A371C_.wvu.FilterData" localSheetId="27" hidden="1">#REF!</definedName>
    <definedName name="Z_9587B38A_B060_410B_8598_4B23623A371C_.wvu.FilterData" localSheetId="18" hidden="1">#REF!</definedName>
    <definedName name="Z_9587B38A_B060_410B_8598_4B23623A371C_.wvu.FilterData" localSheetId="7" hidden="1">#REF!</definedName>
    <definedName name="Z_9587B38A_B060_410B_8598_4B23623A371C_.wvu.FilterData" localSheetId="23" hidden="1">#REF!</definedName>
    <definedName name="Z_9587B38A_B060_410B_8598_4B23623A371C_.wvu.FilterData" hidden="1">#REF!</definedName>
    <definedName name="Z_96EB0306_BB94_45E8_9D0D_4C07A6623010_.wvu.FilterData" localSheetId="12" hidden="1">#REF!</definedName>
    <definedName name="Z_96EB0306_BB94_45E8_9D0D_4C07A6623010_.wvu.FilterData" localSheetId="30" hidden="1">#REF!</definedName>
    <definedName name="Z_96EB0306_BB94_45E8_9D0D_4C07A6623010_.wvu.FilterData" localSheetId="28" hidden="1">#REF!</definedName>
    <definedName name="Z_96EB0306_BB94_45E8_9D0D_4C07A6623010_.wvu.FilterData" localSheetId="27" hidden="1">#REF!</definedName>
    <definedName name="Z_96EB0306_BB94_45E8_9D0D_4C07A6623010_.wvu.FilterData" localSheetId="18" hidden="1">#REF!</definedName>
    <definedName name="Z_96EB0306_BB94_45E8_9D0D_4C07A6623010_.wvu.FilterData" localSheetId="7" hidden="1">#REF!</definedName>
    <definedName name="Z_96EB0306_BB94_45E8_9D0D_4C07A6623010_.wvu.FilterData" localSheetId="23" hidden="1">#REF!</definedName>
    <definedName name="Z_96EB0306_BB94_45E8_9D0D_4C07A6623010_.wvu.FilterData" hidden="1">#REF!</definedName>
    <definedName name="Z_97666733_8666_4F9D_9588_AF9B6CF9224C_.wvu.FilterData" localSheetId="12" hidden="1">#REF!</definedName>
    <definedName name="Z_97666733_8666_4F9D_9588_AF9B6CF9224C_.wvu.FilterData" localSheetId="30" hidden="1">#REF!</definedName>
    <definedName name="Z_97666733_8666_4F9D_9588_AF9B6CF9224C_.wvu.FilterData" localSheetId="28" hidden="1">#REF!</definedName>
    <definedName name="Z_97666733_8666_4F9D_9588_AF9B6CF9224C_.wvu.FilterData" localSheetId="27" hidden="1">#REF!</definedName>
    <definedName name="Z_97666733_8666_4F9D_9588_AF9B6CF9224C_.wvu.FilterData" localSheetId="18" hidden="1">#REF!</definedName>
    <definedName name="Z_97666733_8666_4F9D_9588_AF9B6CF9224C_.wvu.FilterData" localSheetId="7" hidden="1">#REF!</definedName>
    <definedName name="Z_97666733_8666_4F9D_9588_AF9B6CF9224C_.wvu.FilterData" localSheetId="23" hidden="1">#REF!</definedName>
    <definedName name="Z_97666733_8666_4F9D_9588_AF9B6CF9224C_.wvu.FilterData" hidden="1">#REF!</definedName>
    <definedName name="Z_98599B4F_1D05_4040_9183_E1D7A1DDEB9C_.wvu.FilterData" localSheetId="12" hidden="1">#REF!</definedName>
    <definedName name="Z_98599B4F_1D05_4040_9183_E1D7A1DDEB9C_.wvu.FilterData" localSheetId="30" hidden="1">#REF!</definedName>
    <definedName name="Z_98599B4F_1D05_4040_9183_E1D7A1DDEB9C_.wvu.FilterData" localSheetId="28" hidden="1">#REF!</definedName>
    <definedName name="Z_98599B4F_1D05_4040_9183_E1D7A1DDEB9C_.wvu.FilterData" localSheetId="27" hidden="1">#REF!</definedName>
    <definedName name="Z_98599B4F_1D05_4040_9183_E1D7A1DDEB9C_.wvu.FilterData" localSheetId="18" hidden="1">#REF!</definedName>
    <definedName name="Z_98599B4F_1D05_4040_9183_E1D7A1DDEB9C_.wvu.FilterData" localSheetId="7" hidden="1">#REF!</definedName>
    <definedName name="Z_98599B4F_1D05_4040_9183_E1D7A1DDEB9C_.wvu.FilterData" localSheetId="23" hidden="1">#REF!</definedName>
    <definedName name="Z_98599B4F_1D05_4040_9183_E1D7A1DDEB9C_.wvu.FilterData" hidden="1">#REF!</definedName>
    <definedName name="Z_98C8BF36_C172_45C3_8EFB_521E6ACCA0D3_.wvu.FilterData" localSheetId="12" hidden="1">#REF!</definedName>
    <definedName name="Z_98C8BF36_C172_45C3_8EFB_521E6ACCA0D3_.wvu.FilterData" localSheetId="30" hidden="1">#REF!</definedName>
    <definedName name="Z_98C8BF36_C172_45C3_8EFB_521E6ACCA0D3_.wvu.FilterData" localSheetId="28" hidden="1">#REF!</definedName>
    <definedName name="Z_98C8BF36_C172_45C3_8EFB_521E6ACCA0D3_.wvu.FilterData" localSheetId="27" hidden="1">#REF!</definedName>
    <definedName name="Z_98C8BF36_C172_45C3_8EFB_521E6ACCA0D3_.wvu.FilterData" localSheetId="18" hidden="1">#REF!</definedName>
    <definedName name="Z_98C8BF36_C172_45C3_8EFB_521E6ACCA0D3_.wvu.FilterData" localSheetId="7" hidden="1">#REF!</definedName>
    <definedName name="Z_98C8BF36_C172_45C3_8EFB_521E6ACCA0D3_.wvu.FilterData" localSheetId="23" hidden="1">#REF!</definedName>
    <definedName name="Z_98C8BF36_C172_45C3_8EFB_521E6ACCA0D3_.wvu.FilterData" hidden="1">#REF!</definedName>
    <definedName name="Z_9A372634_7C2D_4502_BF44_0C63FD1FB6D2_.wvu.FilterData" localSheetId="12" hidden="1">#REF!</definedName>
    <definedName name="Z_9A372634_7C2D_4502_BF44_0C63FD1FB6D2_.wvu.FilterData" localSheetId="30" hidden="1">#REF!</definedName>
    <definedName name="Z_9A372634_7C2D_4502_BF44_0C63FD1FB6D2_.wvu.FilterData" localSheetId="28" hidden="1">#REF!</definedName>
    <definedName name="Z_9A372634_7C2D_4502_BF44_0C63FD1FB6D2_.wvu.FilterData" localSheetId="27" hidden="1">#REF!</definedName>
    <definedName name="Z_9A372634_7C2D_4502_BF44_0C63FD1FB6D2_.wvu.FilterData" localSheetId="18" hidden="1">#REF!</definedName>
    <definedName name="Z_9A372634_7C2D_4502_BF44_0C63FD1FB6D2_.wvu.FilterData" localSheetId="7" hidden="1">#REF!</definedName>
    <definedName name="Z_9A372634_7C2D_4502_BF44_0C63FD1FB6D2_.wvu.FilterData" localSheetId="23" hidden="1">#REF!</definedName>
    <definedName name="Z_9A372634_7C2D_4502_BF44_0C63FD1FB6D2_.wvu.FilterData" hidden="1">#REF!</definedName>
    <definedName name="Z_9A5CC0D4_28E7_4461_BE2E_802002496535_.wvu.FilterData" localSheetId="12" hidden="1">#REF!</definedName>
    <definedName name="Z_9A5CC0D4_28E7_4461_BE2E_802002496535_.wvu.FilterData" localSheetId="30" hidden="1">#REF!</definedName>
    <definedName name="Z_9A5CC0D4_28E7_4461_BE2E_802002496535_.wvu.FilterData" localSheetId="28" hidden="1">#REF!</definedName>
    <definedName name="Z_9A5CC0D4_28E7_4461_BE2E_802002496535_.wvu.FilterData" localSheetId="27" hidden="1">#REF!</definedName>
    <definedName name="Z_9A5CC0D4_28E7_4461_BE2E_802002496535_.wvu.FilterData" localSheetId="18" hidden="1">#REF!</definedName>
    <definedName name="Z_9A5CC0D4_28E7_4461_BE2E_802002496535_.wvu.FilterData" localSheetId="7" hidden="1">#REF!</definedName>
    <definedName name="Z_9A5CC0D4_28E7_4461_BE2E_802002496535_.wvu.FilterData" localSheetId="23" hidden="1">#REF!</definedName>
    <definedName name="Z_9A5CC0D4_28E7_4461_BE2E_802002496535_.wvu.FilterData" hidden="1">#REF!</definedName>
    <definedName name="Z_9C86BF25_210A_4B5C_9F2A_856CA801294A_.wvu.FilterData" localSheetId="12" hidden="1">#REF!</definedName>
    <definedName name="Z_9C86BF25_210A_4B5C_9F2A_856CA801294A_.wvu.FilterData" localSheetId="30" hidden="1">#REF!</definedName>
    <definedName name="Z_9C86BF25_210A_4B5C_9F2A_856CA801294A_.wvu.FilterData" localSheetId="28" hidden="1">#REF!</definedName>
    <definedName name="Z_9C86BF25_210A_4B5C_9F2A_856CA801294A_.wvu.FilterData" localSheetId="27" hidden="1">#REF!</definedName>
    <definedName name="Z_9C86BF25_210A_4B5C_9F2A_856CA801294A_.wvu.FilterData" localSheetId="18" hidden="1">#REF!</definedName>
    <definedName name="Z_9C86BF25_210A_4B5C_9F2A_856CA801294A_.wvu.FilterData" localSheetId="7" hidden="1">#REF!</definedName>
    <definedName name="Z_9C86BF25_210A_4B5C_9F2A_856CA801294A_.wvu.FilterData" localSheetId="23" hidden="1">#REF!</definedName>
    <definedName name="Z_9C86BF25_210A_4B5C_9F2A_856CA801294A_.wvu.FilterData" hidden="1">#REF!</definedName>
    <definedName name="Z_9C8AF864_7E20_415C_848E_C2849E8CBF0C_.wvu.FilterData" localSheetId="12" hidden="1">#REF!</definedName>
    <definedName name="Z_9C8AF864_7E20_415C_848E_C2849E8CBF0C_.wvu.FilterData" localSheetId="30" hidden="1">#REF!</definedName>
    <definedName name="Z_9C8AF864_7E20_415C_848E_C2849E8CBF0C_.wvu.FilterData" localSheetId="28" hidden="1">#REF!</definedName>
    <definedName name="Z_9C8AF864_7E20_415C_848E_C2849E8CBF0C_.wvu.FilterData" localSheetId="27" hidden="1">#REF!</definedName>
    <definedName name="Z_9C8AF864_7E20_415C_848E_C2849E8CBF0C_.wvu.FilterData" localSheetId="18" hidden="1">#REF!</definedName>
    <definedName name="Z_9C8AF864_7E20_415C_848E_C2849E8CBF0C_.wvu.FilterData" localSheetId="7" hidden="1">#REF!</definedName>
    <definedName name="Z_9C8AF864_7E20_415C_848E_C2849E8CBF0C_.wvu.FilterData" localSheetId="23" hidden="1">#REF!</definedName>
    <definedName name="Z_9C8AF864_7E20_415C_848E_C2849E8CBF0C_.wvu.FilterData" hidden="1">#REF!</definedName>
    <definedName name="Z_9E7B61E2_2701_4257_A261_86548A6D7D7C_.wvu.FilterData" localSheetId="12" hidden="1">#REF!</definedName>
    <definedName name="Z_9E7B61E2_2701_4257_A261_86548A6D7D7C_.wvu.FilterData" localSheetId="30" hidden="1">#REF!</definedName>
    <definedName name="Z_9E7B61E2_2701_4257_A261_86548A6D7D7C_.wvu.FilterData" localSheetId="28" hidden="1">#REF!</definedName>
    <definedName name="Z_9E7B61E2_2701_4257_A261_86548A6D7D7C_.wvu.FilterData" localSheetId="27" hidden="1">#REF!</definedName>
    <definedName name="Z_9E7B61E2_2701_4257_A261_86548A6D7D7C_.wvu.FilterData" localSheetId="18" hidden="1">#REF!</definedName>
    <definedName name="Z_9E7B61E2_2701_4257_A261_86548A6D7D7C_.wvu.FilterData" localSheetId="7" hidden="1">#REF!</definedName>
    <definedName name="Z_9E7B61E2_2701_4257_A261_86548A6D7D7C_.wvu.FilterData" localSheetId="23" hidden="1">#REF!</definedName>
    <definedName name="Z_9E7B61E2_2701_4257_A261_86548A6D7D7C_.wvu.FilterData" hidden="1">#REF!</definedName>
    <definedName name="Z_A0276843_5A14_4A7A_AD1C_583475FE9ED2_.wvu.FilterData" localSheetId="12" hidden="1">#REF!</definedName>
    <definedName name="Z_A0276843_5A14_4A7A_AD1C_583475FE9ED2_.wvu.FilterData" localSheetId="30" hidden="1">#REF!</definedName>
    <definedName name="Z_A0276843_5A14_4A7A_AD1C_583475FE9ED2_.wvu.FilterData" localSheetId="28" hidden="1">#REF!</definedName>
    <definedName name="Z_A0276843_5A14_4A7A_AD1C_583475FE9ED2_.wvu.FilterData" localSheetId="27" hidden="1">#REF!</definedName>
    <definedName name="Z_A0276843_5A14_4A7A_AD1C_583475FE9ED2_.wvu.FilterData" localSheetId="18" hidden="1">#REF!</definedName>
    <definedName name="Z_A0276843_5A14_4A7A_AD1C_583475FE9ED2_.wvu.FilterData" localSheetId="7" hidden="1">#REF!</definedName>
    <definedName name="Z_A0276843_5A14_4A7A_AD1C_583475FE9ED2_.wvu.FilterData" localSheetId="23" hidden="1">#REF!</definedName>
    <definedName name="Z_A0276843_5A14_4A7A_AD1C_583475FE9ED2_.wvu.FilterData" hidden="1">#REF!</definedName>
    <definedName name="Z_A2CB926C_E33A_4E38_9626_682814771DB1_.wvu.FilterData" localSheetId="12" hidden="1">#REF!</definedName>
    <definedName name="Z_A2CB926C_E33A_4E38_9626_682814771DB1_.wvu.FilterData" localSheetId="30" hidden="1">#REF!</definedName>
    <definedName name="Z_A2CB926C_E33A_4E38_9626_682814771DB1_.wvu.FilterData" localSheetId="28" hidden="1">#REF!</definedName>
    <definedName name="Z_A2CB926C_E33A_4E38_9626_682814771DB1_.wvu.FilterData" localSheetId="27" hidden="1">#REF!</definedName>
    <definedName name="Z_A2CB926C_E33A_4E38_9626_682814771DB1_.wvu.FilterData" localSheetId="18" hidden="1">#REF!</definedName>
    <definedName name="Z_A2CB926C_E33A_4E38_9626_682814771DB1_.wvu.FilterData" localSheetId="7" hidden="1">#REF!</definedName>
    <definedName name="Z_A2CB926C_E33A_4E38_9626_682814771DB1_.wvu.FilterData" localSheetId="23" hidden="1">#REF!</definedName>
    <definedName name="Z_A2CB926C_E33A_4E38_9626_682814771DB1_.wvu.FilterData" hidden="1">#REF!</definedName>
    <definedName name="Z_A320C8A7_8D87_4204_85D4_AE25493D1363_.wvu.FilterData" localSheetId="12" hidden="1">#REF!</definedName>
    <definedName name="Z_A320C8A7_8D87_4204_85D4_AE25493D1363_.wvu.FilterData" localSheetId="30" hidden="1">#REF!</definedName>
    <definedName name="Z_A320C8A7_8D87_4204_85D4_AE25493D1363_.wvu.FilterData" localSheetId="28" hidden="1">#REF!</definedName>
    <definedName name="Z_A320C8A7_8D87_4204_85D4_AE25493D1363_.wvu.FilterData" localSheetId="27" hidden="1">#REF!</definedName>
    <definedName name="Z_A320C8A7_8D87_4204_85D4_AE25493D1363_.wvu.FilterData" localSheetId="18" hidden="1">#REF!</definedName>
    <definedName name="Z_A320C8A7_8D87_4204_85D4_AE25493D1363_.wvu.FilterData" localSheetId="7" hidden="1">#REF!</definedName>
    <definedName name="Z_A320C8A7_8D87_4204_85D4_AE25493D1363_.wvu.FilterData" localSheetId="23" hidden="1">#REF!</definedName>
    <definedName name="Z_A320C8A7_8D87_4204_85D4_AE25493D1363_.wvu.FilterData" hidden="1">#REF!</definedName>
    <definedName name="Z_A5F4C2AC_640B_40D9_88C9_69B3215DBE96_.wvu.FilterData" localSheetId="12" hidden="1">#REF!</definedName>
    <definedName name="Z_A5F4C2AC_640B_40D9_88C9_69B3215DBE96_.wvu.FilterData" localSheetId="30" hidden="1">#REF!</definedName>
    <definedName name="Z_A5F4C2AC_640B_40D9_88C9_69B3215DBE96_.wvu.FilterData" localSheetId="28" hidden="1">#REF!</definedName>
    <definedName name="Z_A5F4C2AC_640B_40D9_88C9_69B3215DBE96_.wvu.FilterData" localSheetId="27" hidden="1">#REF!</definedName>
    <definedName name="Z_A5F4C2AC_640B_40D9_88C9_69B3215DBE96_.wvu.FilterData" localSheetId="18" hidden="1">#REF!</definedName>
    <definedName name="Z_A5F4C2AC_640B_40D9_88C9_69B3215DBE96_.wvu.FilterData" localSheetId="7" hidden="1">#REF!</definedName>
    <definedName name="Z_A5F4C2AC_640B_40D9_88C9_69B3215DBE96_.wvu.FilterData" localSheetId="23" hidden="1">#REF!</definedName>
    <definedName name="Z_A5F4C2AC_640B_40D9_88C9_69B3215DBE96_.wvu.FilterData" hidden="1">#REF!</definedName>
    <definedName name="Z_A686C168_1672_48B1_ADFD_481A1276CC81_.wvu.FilterData" localSheetId="12" hidden="1">#REF!</definedName>
    <definedName name="Z_A686C168_1672_48B1_ADFD_481A1276CC81_.wvu.FilterData" localSheetId="30" hidden="1">#REF!</definedName>
    <definedName name="Z_A686C168_1672_48B1_ADFD_481A1276CC81_.wvu.FilterData" localSheetId="28" hidden="1">#REF!</definedName>
    <definedName name="Z_A686C168_1672_48B1_ADFD_481A1276CC81_.wvu.FilterData" localSheetId="27" hidden="1">#REF!</definedName>
    <definedName name="Z_A686C168_1672_48B1_ADFD_481A1276CC81_.wvu.FilterData" localSheetId="18" hidden="1">#REF!</definedName>
    <definedName name="Z_A686C168_1672_48B1_ADFD_481A1276CC81_.wvu.FilterData" localSheetId="7" hidden="1">#REF!</definedName>
    <definedName name="Z_A686C168_1672_48B1_ADFD_481A1276CC81_.wvu.FilterData" localSheetId="23" hidden="1">#REF!</definedName>
    <definedName name="Z_A686C168_1672_48B1_ADFD_481A1276CC81_.wvu.FilterData" hidden="1">#REF!</definedName>
    <definedName name="Z_A933351F_4BD3_4901_98D5_53D192BD61DC_.wvu.FilterData" localSheetId="12" hidden="1">#REF!</definedName>
    <definedName name="Z_A933351F_4BD3_4901_98D5_53D192BD61DC_.wvu.FilterData" localSheetId="30" hidden="1">#REF!</definedName>
    <definedName name="Z_A933351F_4BD3_4901_98D5_53D192BD61DC_.wvu.FilterData" localSheetId="28" hidden="1">#REF!</definedName>
    <definedName name="Z_A933351F_4BD3_4901_98D5_53D192BD61DC_.wvu.FilterData" localSheetId="27" hidden="1">#REF!</definedName>
    <definedName name="Z_A933351F_4BD3_4901_98D5_53D192BD61DC_.wvu.FilterData" localSheetId="18" hidden="1">#REF!</definedName>
    <definedName name="Z_A933351F_4BD3_4901_98D5_53D192BD61DC_.wvu.FilterData" localSheetId="7" hidden="1">#REF!</definedName>
    <definedName name="Z_A933351F_4BD3_4901_98D5_53D192BD61DC_.wvu.FilterData" localSheetId="23" hidden="1">#REF!</definedName>
    <definedName name="Z_A933351F_4BD3_4901_98D5_53D192BD61DC_.wvu.FilterData" hidden="1">#REF!</definedName>
    <definedName name="Z_AA0BD2F5_1513_40DB_B224_CC27CA57E181_.wvu.FilterData" localSheetId="12" hidden="1">#REF!</definedName>
    <definedName name="Z_AA0BD2F5_1513_40DB_B224_CC27CA57E181_.wvu.FilterData" localSheetId="30" hidden="1">#REF!</definedName>
    <definedName name="Z_AA0BD2F5_1513_40DB_B224_CC27CA57E181_.wvu.FilterData" localSheetId="28" hidden="1">#REF!</definedName>
    <definedName name="Z_AA0BD2F5_1513_40DB_B224_CC27CA57E181_.wvu.FilterData" localSheetId="27" hidden="1">#REF!</definedName>
    <definedName name="Z_AA0BD2F5_1513_40DB_B224_CC27CA57E181_.wvu.FilterData" localSheetId="18" hidden="1">#REF!</definedName>
    <definedName name="Z_AA0BD2F5_1513_40DB_B224_CC27CA57E181_.wvu.FilterData" localSheetId="7" hidden="1">#REF!</definedName>
    <definedName name="Z_AA0BD2F5_1513_40DB_B224_CC27CA57E181_.wvu.FilterData" localSheetId="23" hidden="1">#REF!</definedName>
    <definedName name="Z_AA0BD2F5_1513_40DB_B224_CC27CA57E181_.wvu.FilterData" hidden="1">#REF!</definedName>
    <definedName name="Z_AA329A38_94E6_4014_8D54_EFB48C7FA433_.wvu.FilterData" localSheetId="12" hidden="1">#REF!</definedName>
    <definedName name="Z_AA329A38_94E6_4014_8D54_EFB48C7FA433_.wvu.FilterData" localSheetId="30" hidden="1">#REF!</definedName>
    <definedName name="Z_AA329A38_94E6_4014_8D54_EFB48C7FA433_.wvu.FilterData" localSheetId="28" hidden="1">#REF!</definedName>
    <definedName name="Z_AA329A38_94E6_4014_8D54_EFB48C7FA433_.wvu.FilterData" localSheetId="27" hidden="1">#REF!</definedName>
    <definedName name="Z_AA329A38_94E6_4014_8D54_EFB48C7FA433_.wvu.FilterData" localSheetId="18" hidden="1">#REF!</definedName>
    <definedName name="Z_AA329A38_94E6_4014_8D54_EFB48C7FA433_.wvu.FilterData" localSheetId="7" hidden="1">#REF!</definedName>
    <definedName name="Z_AA329A38_94E6_4014_8D54_EFB48C7FA433_.wvu.FilterData" localSheetId="23" hidden="1">#REF!</definedName>
    <definedName name="Z_AA329A38_94E6_4014_8D54_EFB48C7FA433_.wvu.FilterData" hidden="1">#REF!</definedName>
    <definedName name="Z_AC5679A6_5A24_441C_BBA3_F0C9D8E8E441_.wvu.FilterData" localSheetId="12" hidden="1">#REF!</definedName>
    <definedName name="Z_AC5679A6_5A24_441C_BBA3_F0C9D8E8E441_.wvu.FilterData" localSheetId="30" hidden="1">#REF!</definedName>
    <definedName name="Z_AC5679A6_5A24_441C_BBA3_F0C9D8E8E441_.wvu.FilterData" localSheetId="28" hidden="1">#REF!</definedName>
    <definedName name="Z_AC5679A6_5A24_441C_BBA3_F0C9D8E8E441_.wvu.FilterData" localSheetId="27" hidden="1">#REF!</definedName>
    <definedName name="Z_AC5679A6_5A24_441C_BBA3_F0C9D8E8E441_.wvu.FilterData" localSheetId="18" hidden="1">#REF!</definedName>
    <definedName name="Z_AC5679A6_5A24_441C_BBA3_F0C9D8E8E441_.wvu.FilterData" localSheetId="7" hidden="1">#REF!</definedName>
    <definedName name="Z_AC5679A6_5A24_441C_BBA3_F0C9D8E8E441_.wvu.FilterData" localSheetId="23" hidden="1">#REF!</definedName>
    <definedName name="Z_AC5679A6_5A24_441C_BBA3_F0C9D8E8E441_.wvu.FilterData" hidden="1">#REF!</definedName>
    <definedName name="Z_ACE528A7_3516_429C_8E77_FA07F86ED2D8_.wvu.Cols" localSheetId="12" hidden="1">#REF!</definedName>
    <definedName name="Z_ACE528A7_3516_429C_8E77_FA07F86ED2D8_.wvu.Cols" localSheetId="30" hidden="1">#REF!</definedName>
    <definedName name="Z_ACE528A7_3516_429C_8E77_FA07F86ED2D8_.wvu.Cols" localSheetId="28" hidden="1">#REF!</definedName>
    <definedName name="Z_ACE528A7_3516_429C_8E77_FA07F86ED2D8_.wvu.Cols" localSheetId="27" hidden="1">#REF!</definedName>
    <definedName name="Z_ACE528A7_3516_429C_8E77_FA07F86ED2D8_.wvu.Cols" localSheetId="18" hidden="1">#REF!</definedName>
    <definedName name="Z_ACE528A7_3516_429C_8E77_FA07F86ED2D8_.wvu.Cols" localSheetId="7" hidden="1">#REF!</definedName>
    <definedName name="Z_ACE528A7_3516_429C_8E77_FA07F86ED2D8_.wvu.Cols" localSheetId="23" hidden="1">#REF!</definedName>
    <definedName name="Z_ACE528A7_3516_429C_8E77_FA07F86ED2D8_.wvu.Cols" hidden="1">#REF!</definedName>
    <definedName name="Z_AE302359_F16A_4874_8921_3865B0ECD878_.wvu.FilterData" localSheetId="12" hidden="1">#REF!</definedName>
    <definedName name="Z_AE302359_F16A_4874_8921_3865B0ECD878_.wvu.FilterData" localSheetId="30" hidden="1">#REF!</definedName>
    <definedName name="Z_AE302359_F16A_4874_8921_3865B0ECD878_.wvu.FilterData" localSheetId="28" hidden="1">#REF!</definedName>
    <definedName name="Z_AE302359_F16A_4874_8921_3865B0ECD878_.wvu.FilterData" localSheetId="27" hidden="1">#REF!</definedName>
    <definedName name="Z_AE302359_F16A_4874_8921_3865B0ECD878_.wvu.FilterData" localSheetId="18" hidden="1">#REF!</definedName>
    <definedName name="Z_AE302359_F16A_4874_8921_3865B0ECD878_.wvu.FilterData" localSheetId="7" hidden="1">#REF!</definedName>
    <definedName name="Z_AE302359_F16A_4874_8921_3865B0ECD878_.wvu.FilterData" localSheetId="23" hidden="1">#REF!</definedName>
    <definedName name="Z_AE302359_F16A_4874_8921_3865B0ECD878_.wvu.FilterData" hidden="1">#REF!</definedName>
    <definedName name="Z_AF0BF736_181F_4A59_8FB9_D3BCA8E591F7_.wvu.FilterData" localSheetId="12" hidden="1">#REF!</definedName>
    <definedName name="Z_AF0BF736_181F_4A59_8FB9_D3BCA8E591F7_.wvu.FilterData" localSheetId="30" hidden="1">#REF!</definedName>
    <definedName name="Z_AF0BF736_181F_4A59_8FB9_D3BCA8E591F7_.wvu.FilterData" localSheetId="28" hidden="1">#REF!</definedName>
    <definedName name="Z_AF0BF736_181F_4A59_8FB9_D3BCA8E591F7_.wvu.FilterData" localSheetId="27" hidden="1">#REF!</definedName>
    <definedName name="Z_AF0BF736_181F_4A59_8FB9_D3BCA8E591F7_.wvu.FilterData" localSheetId="18" hidden="1">#REF!</definedName>
    <definedName name="Z_AF0BF736_181F_4A59_8FB9_D3BCA8E591F7_.wvu.FilterData" localSheetId="7" hidden="1">#REF!</definedName>
    <definedName name="Z_AF0BF736_181F_4A59_8FB9_D3BCA8E591F7_.wvu.FilterData" localSheetId="23" hidden="1">#REF!</definedName>
    <definedName name="Z_AF0BF736_181F_4A59_8FB9_D3BCA8E591F7_.wvu.FilterData" hidden="1">#REF!</definedName>
    <definedName name="Z_AF12B415_1D2E_4088_9C86_BB0173951217_.wvu.FilterData" localSheetId="12" hidden="1">#REF!</definedName>
    <definedName name="Z_AF12B415_1D2E_4088_9C86_BB0173951217_.wvu.FilterData" localSheetId="30" hidden="1">#REF!</definedName>
    <definedName name="Z_AF12B415_1D2E_4088_9C86_BB0173951217_.wvu.FilterData" localSheetId="28" hidden="1">#REF!</definedName>
    <definedName name="Z_AF12B415_1D2E_4088_9C86_BB0173951217_.wvu.FilterData" localSheetId="27" hidden="1">#REF!</definedName>
    <definedName name="Z_AF12B415_1D2E_4088_9C86_BB0173951217_.wvu.FilterData" localSheetId="18" hidden="1">#REF!</definedName>
    <definedName name="Z_AF12B415_1D2E_4088_9C86_BB0173951217_.wvu.FilterData" localSheetId="7" hidden="1">#REF!</definedName>
    <definedName name="Z_AF12B415_1D2E_4088_9C86_BB0173951217_.wvu.FilterData" localSheetId="23" hidden="1">#REF!</definedName>
    <definedName name="Z_AF12B415_1D2E_4088_9C86_BB0173951217_.wvu.FilterData" hidden="1">#REF!</definedName>
    <definedName name="Z_AF537E87_E5DE_4792_8C82_FFA1FC35463A_.wvu.FilterData" localSheetId="12" hidden="1">#REF!</definedName>
    <definedName name="Z_AF537E87_E5DE_4792_8C82_FFA1FC35463A_.wvu.FilterData" localSheetId="30" hidden="1">#REF!</definedName>
    <definedName name="Z_AF537E87_E5DE_4792_8C82_FFA1FC35463A_.wvu.FilterData" localSheetId="28" hidden="1">#REF!</definedName>
    <definedName name="Z_AF537E87_E5DE_4792_8C82_FFA1FC35463A_.wvu.FilterData" localSheetId="27" hidden="1">#REF!</definedName>
    <definedName name="Z_AF537E87_E5DE_4792_8C82_FFA1FC35463A_.wvu.FilterData" localSheetId="18" hidden="1">#REF!</definedName>
    <definedName name="Z_AF537E87_E5DE_4792_8C82_FFA1FC35463A_.wvu.FilterData" localSheetId="7" hidden="1">#REF!</definedName>
    <definedName name="Z_AF537E87_E5DE_4792_8C82_FFA1FC35463A_.wvu.FilterData" localSheetId="23" hidden="1">#REF!</definedName>
    <definedName name="Z_AF537E87_E5DE_4792_8C82_FFA1FC35463A_.wvu.FilterData" hidden="1">#REF!</definedName>
    <definedName name="Z_B1269BAB_A618_45E5_8379_9ECE98405A14_.wvu.FilterData" localSheetId="12" hidden="1">#REF!</definedName>
    <definedName name="Z_B1269BAB_A618_45E5_8379_9ECE98405A14_.wvu.FilterData" localSheetId="30" hidden="1">#REF!</definedName>
    <definedName name="Z_B1269BAB_A618_45E5_8379_9ECE98405A14_.wvu.FilterData" localSheetId="28" hidden="1">#REF!</definedName>
    <definedName name="Z_B1269BAB_A618_45E5_8379_9ECE98405A14_.wvu.FilterData" localSheetId="27" hidden="1">#REF!</definedName>
    <definedName name="Z_B1269BAB_A618_45E5_8379_9ECE98405A14_.wvu.FilterData" localSheetId="18" hidden="1">#REF!</definedName>
    <definedName name="Z_B1269BAB_A618_45E5_8379_9ECE98405A14_.wvu.FilterData" localSheetId="7" hidden="1">#REF!</definedName>
    <definedName name="Z_B1269BAB_A618_45E5_8379_9ECE98405A14_.wvu.FilterData" localSheetId="23" hidden="1">#REF!</definedName>
    <definedName name="Z_B1269BAB_A618_45E5_8379_9ECE98405A14_.wvu.FilterData" hidden="1">#REF!</definedName>
    <definedName name="Z_B20EEB3D_E9E6_496E_8678_B417DDC74718_.wvu.FilterData" localSheetId="12" hidden="1">#REF!</definedName>
    <definedName name="Z_B20EEB3D_E9E6_496E_8678_B417DDC74718_.wvu.FilterData" localSheetId="30" hidden="1">#REF!</definedName>
    <definedName name="Z_B20EEB3D_E9E6_496E_8678_B417DDC74718_.wvu.FilterData" localSheetId="28" hidden="1">#REF!</definedName>
    <definedName name="Z_B20EEB3D_E9E6_496E_8678_B417DDC74718_.wvu.FilterData" localSheetId="27" hidden="1">#REF!</definedName>
    <definedName name="Z_B20EEB3D_E9E6_496E_8678_B417DDC74718_.wvu.FilterData" localSheetId="18" hidden="1">#REF!</definedName>
    <definedName name="Z_B20EEB3D_E9E6_496E_8678_B417DDC74718_.wvu.FilterData" localSheetId="7" hidden="1">#REF!</definedName>
    <definedName name="Z_B20EEB3D_E9E6_496E_8678_B417DDC74718_.wvu.FilterData" localSheetId="23" hidden="1">#REF!</definedName>
    <definedName name="Z_B20EEB3D_E9E6_496E_8678_B417DDC74718_.wvu.FilterData" hidden="1">#REF!</definedName>
    <definedName name="Z_B3255642_8A6B_11D5_916F_005004920FCB_.wvu.PrintTitles" localSheetId="12" hidden="1">#REF!</definedName>
    <definedName name="Z_B3255642_8A6B_11D5_916F_005004920FCB_.wvu.PrintTitles" localSheetId="30" hidden="1">#REF!</definedName>
    <definedName name="Z_B3255642_8A6B_11D5_916F_005004920FCB_.wvu.PrintTitles" localSheetId="28" hidden="1">#REF!</definedName>
    <definedName name="Z_B3255642_8A6B_11D5_916F_005004920FCB_.wvu.PrintTitles" localSheetId="27" hidden="1">#REF!</definedName>
    <definedName name="Z_B3255642_8A6B_11D5_916F_005004920FCB_.wvu.PrintTitles" localSheetId="18" hidden="1">#REF!</definedName>
    <definedName name="Z_B3255642_8A6B_11D5_916F_005004920FCB_.wvu.PrintTitles" localSheetId="7" hidden="1">#REF!</definedName>
    <definedName name="Z_B3255642_8A6B_11D5_916F_005004920FCB_.wvu.PrintTitles" localSheetId="23" hidden="1">#REF!</definedName>
    <definedName name="Z_B3255642_8A6B_11D5_916F_005004920FCB_.wvu.PrintTitles" hidden="1">#REF!</definedName>
    <definedName name="Z_B4864B96_AD18_4114_8AFA_A8BAA8915737_.wvu.FilterData" localSheetId="12" hidden="1">#REF!</definedName>
    <definedName name="Z_B4864B96_AD18_4114_8AFA_A8BAA8915737_.wvu.FilterData" localSheetId="30" hidden="1">#REF!</definedName>
    <definedName name="Z_B4864B96_AD18_4114_8AFA_A8BAA8915737_.wvu.FilterData" localSheetId="28" hidden="1">#REF!</definedName>
    <definedName name="Z_B4864B96_AD18_4114_8AFA_A8BAA8915737_.wvu.FilterData" localSheetId="27" hidden="1">#REF!</definedName>
    <definedName name="Z_B4864B96_AD18_4114_8AFA_A8BAA8915737_.wvu.FilterData" localSheetId="18" hidden="1">#REF!</definedName>
    <definedName name="Z_B4864B96_AD18_4114_8AFA_A8BAA8915737_.wvu.FilterData" localSheetId="7" hidden="1">#REF!</definedName>
    <definedName name="Z_B4864B96_AD18_4114_8AFA_A8BAA8915737_.wvu.FilterData" localSheetId="23" hidden="1">#REF!</definedName>
    <definedName name="Z_B4864B96_AD18_4114_8AFA_A8BAA8915737_.wvu.FilterData" hidden="1">#REF!</definedName>
    <definedName name="Z_B645C4A8_1830_42C7_9DBF_0F519499A6CE_.wvu.FilterData" localSheetId="12" hidden="1">#REF!</definedName>
    <definedName name="Z_B645C4A8_1830_42C7_9DBF_0F519499A6CE_.wvu.FilterData" localSheetId="30" hidden="1">#REF!</definedName>
    <definedName name="Z_B645C4A8_1830_42C7_9DBF_0F519499A6CE_.wvu.FilterData" localSheetId="28" hidden="1">#REF!</definedName>
    <definedName name="Z_B645C4A8_1830_42C7_9DBF_0F519499A6CE_.wvu.FilterData" localSheetId="27" hidden="1">#REF!</definedName>
    <definedName name="Z_B645C4A8_1830_42C7_9DBF_0F519499A6CE_.wvu.FilterData" localSheetId="18" hidden="1">#REF!</definedName>
    <definedName name="Z_B645C4A8_1830_42C7_9DBF_0F519499A6CE_.wvu.FilterData" localSheetId="7" hidden="1">#REF!</definedName>
    <definedName name="Z_B645C4A8_1830_42C7_9DBF_0F519499A6CE_.wvu.FilterData" localSheetId="23" hidden="1">#REF!</definedName>
    <definedName name="Z_B645C4A8_1830_42C7_9DBF_0F519499A6CE_.wvu.FilterData" hidden="1">#REF!</definedName>
    <definedName name="Z_B7475313_60A1_440E_A07B_6B97978B34F2_.wvu.FilterData" localSheetId="12" hidden="1">#REF!</definedName>
    <definedName name="Z_B7475313_60A1_440E_A07B_6B97978B34F2_.wvu.FilterData" localSheetId="30" hidden="1">#REF!</definedName>
    <definedName name="Z_B7475313_60A1_440E_A07B_6B97978B34F2_.wvu.FilterData" localSheetId="28" hidden="1">#REF!</definedName>
    <definedName name="Z_B7475313_60A1_440E_A07B_6B97978B34F2_.wvu.FilterData" localSheetId="27" hidden="1">#REF!</definedName>
    <definedName name="Z_B7475313_60A1_440E_A07B_6B97978B34F2_.wvu.FilterData" localSheetId="18" hidden="1">#REF!</definedName>
    <definedName name="Z_B7475313_60A1_440E_A07B_6B97978B34F2_.wvu.FilterData" localSheetId="7" hidden="1">#REF!</definedName>
    <definedName name="Z_B7475313_60A1_440E_A07B_6B97978B34F2_.wvu.FilterData" localSheetId="23" hidden="1">#REF!</definedName>
    <definedName name="Z_B7475313_60A1_440E_A07B_6B97978B34F2_.wvu.FilterData" hidden="1">#REF!</definedName>
    <definedName name="Z_B891B51F_1CA2_435F_A819_8A494B08D3EE_.wvu.FilterData" localSheetId="12" hidden="1">#REF!</definedName>
    <definedName name="Z_B891B51F_1CA2_435F_A819_8A494B08D3EE_.wvu.FilterData" localSheetId="30" hidden="1">#REF!</definedName>
    <definedName name="Z_B891B51F_1CA2_435F_A819_8A494B08D3EE_.wvu.FilterData" localSheetId="28" hidden="1">#REF!</definedName>
    <definedName name="Z_B891B51F_1CA2_435F_A819_8A494B08D3EE_.wvu.FilterData" localSheetId="27" hidden="1">#REF!</definedName>
    <definedName name="Z_B891B51F_1CA2_435F_A819_8A494B08D3EE_.wvu.FilterData" localSheetId="18" hidden="1">#REF!</definedName>
    <definedName name="Z_B891B51F_1CA2_435F_A819_8A494B08D3EE_.wvu.FilterData" localSheetId="7" hidden="1">#REF!</definedName>
    <definedName name="Z_B891B51F_1CA2_435F_A819_8A494B08D3EE_.wvu.FilterData" localSheetId="23" hidden="1">#REF!</definedName>
    <definedName name="Z_B891B51F_1CA2_435F_A819_8A494B08D3EE_.wvu.FilterData" hidden="1">#REF!</definedName>
    <definedName name="Z_B8CE2FA5_D3F2_48A0_8603_A3FBA2808CB4_.wvu.FilterData" localSheetId="12" hidden="1">#REF!</definedName>
    <definedName name="Z_B8CE2FA5_D3F2_48A0_8603_A3FBA2808CB4_.wvu.FilterData" localSheetId="30" hidden="1">#REF!</definedName>
    <definedName name="Z_B8CE2FA5_D3F2_48A0_8603_A3FBA2808CB4_.wvu.FilterData" localSheetId="28" hidden="1">#REF!</definedName>
    <definedName name="Z_B8CE2FA5_D3F2_48A0_8603_A3FBA2808CB4_.wvu.FilterData" localSheetId="27" hidden="1">#REF!</definedName>
    <definedName name="Z_B8CE2FA5_D3F2_48A0_8603_A3FBA2808CB4_.wvu.FilterData" localSheetId="18" hidden="1">#REF!</definedName>
    <definedName name="Z_B8CE2FA5_D3F2_48A0_8603_A3FBA2808CB4_.wvu.FilterData" localSheetId="7" hidden="1">#REF!</definedName>
    <definedName name="Z_B8CE2FA5_D3F2_48A0_8603_A3FBA2808CB4_.wvu.FilterData" localSheetId="23" hidden="1">#REF!</definedName>
    <definedName name="Z_B8CE2FA5_D3F2_48A0_8603_A3FBA2808CB4_.wvu.FilterData" hidden="1">#REF!</definedName>
    <definedName name="Z_B9837360_94DA_11D7_9C1E_0004231B06E7_.wvu.FilterData" localSheetId="12" hidden="1">#REF!</definedName>
    <definedName name="Z_B9837360_94DA_11D7_9C1E_0004231B06E7_.wvu.FilterData" localSheetId="30" hidden="1">#REF!</definedName>
    <definedName name="Z_B9837360_94DA_11D7_9C1E_0004231B06E7_.wvu.FilterData" localSheetId="28" hidden="1">#REF!</definedName>
    <definedName name="Z_B9837360_94DA_11D7_9C1E_0004231B06E7_.wvu.FilterData" localSheetId="27" hidden="1">#REF!</definedName>
    <definedName name="Z_B9837360_94DA_11D7_9C1E_0004231B06E7_.wvu.FilterData" localSheetId="18" hidden="1">#REF!</definedName>
    <definedName name="Z_B9837360_94DA_11D7_9C1E_0004231B06E7_.wvu.FilterData" localSheetId="7" hidden="1">#REF!</definedName>
    <definedName name="Z_B9837360_94DA_11D7_9C1E_0004231B06E7_.wvu.FilterData" localSheetId="23" hidden="1">#REF!</definedName>
    <definedName name="Z_B9837360_94DA_11D7_9C1E_0004231B06E7_.wvu.FilterData" hidden="1">#REF!</definedName>
    <definedName name="Z_BBE1AFA0_C6F6_4019_9D53_075DA4654337_.wvu.FilterData" localSheetId="12" hidden="1">#REF!</definedName>
    <definedName name="Z_BBE1AFA0_C6F6_4019_9D53_075DA4654337_.wvu.FilterData" localSheetId="30" hidden="1">#REF!</definedName>
    <definedName name="Z_BBE1AFA0_C6F6_4019_9D53_075DA4654337_.wvu.FilterData" localSheetId="28" hidden="1">#REF!</definedName>
    <definedName name="Z_BBE1AFA0_C6F6_4019_9D53_075DA4654337_.wvu.FilterData" localSheetId="27" hidden="1">#REF!</definedName>
    <definedName name="Z_BBE1AFA0_C6F6_4019_9D53_075DA4654337_.wvu.FilterData" localSheetId="18" hidden="1">#REF!</definedName>
    <definedName name="Z_BBE1AFA0_C6F6_4019_9D53_075DA4654337_.wvu.FilterData" localSheetId="7" hidden="1">#REF!</definedName>
    <definedName name="Z_BBE1AFA0_C6F6_4019_9D53_075DA4654337_.wvu.FilterData" localSheetId="23" hidden="1">#REF!</definedName>
    <definedName name="Z_BBE1AFA0_C6F6_4019_9D53_075DA4654337_.wvu.FilterData" hidden="1">#REF!</definedName>
    <definedName name="Z_BC0EED6A_3F15_49FF_A48F_B40AC74B528A_.wvu.FilterData" localSheetId="12" hidden="1">#REF!</definedName>
    <definedName name="Z_BC0EED6A_3F15_49FF_A48F_B40AC74B528A_.wvu.FilterData" localSheetId="30" hidden="1">#REF!</definedName>
    <definedName name="Z_BC0EED6A_3F15_49FF_A48F_B40AC74B528A_.wvu.FilterData" localSheetId="28" hidden="1">#REF!</definedName>
    <definedName name="Z_BC0EED6A_3F15_49FF_A48F_B40AC74B528A_.wvu.FilterData" localSheetId="27" hidden="1">#REF!</definedName>
    <definedName name="Z_BC0EED6A_3F15_49FF_A48F_B40AC74B528A_.wvu.FilterData" localSheetId="18" hidden="1">#REF!</definedName>
    <definedName name="Z_BC0EED6A_3F15_49FF_A48F_B40AC74B528A_.wvu.FilterData" localSheetId="7" hidden="1">#REF!</definedName>
    <definedName name="Z_BC0EED6A_3F15_49FF_A48F_B40AC74B528A_.wvu.FilterData" localSheetId="23" hidden="1">#REF!</definedName>
    <definedName name="Z_BC0EED6A_3F15_49FF_A48F_B40AC74B528A_.wvu.FilterData" hidden="1">#REF!</definedName>
    <definedName name="Z_BC4212E8_2D54_48E9_A2B4_66875F86EBEF_.wvu.FilterData" localSheetId="12" hidden="1">#REF!</definedName>
    <definedName name="Z_BC4212E8_2D54_48E9_A2B4_66875F86EBEF_.wvu.FilterData" localSheetId="30" hidden="1">#REF!</definedName>
    <definedName name="Z_BC4212E8_2D54_48E9_A2B4_66875F86EBEF_.wvu.FilterData" localSheetId="28" hidden="1">#REF!</definedName>
    <definedName name="Z_BC4212E8_2D54_48E9_A2B4_66875F86EBEF_.wvu.FilterData" localSheetId="27" hidden="1">#REF!</definedName>
    <definedName name="Z_BC4212E8_2D54_48E9_A2B4_66875F86EBEF_.wvu.FilterData" localSheetId="18" hidden="1">#REF!</definedName>
    <definedName name="Z_BC4212E8_2D54_48E9_A2B4_66875F86EBEF_.wvu.FilterData" localSheetId="7" hidden="1">#REF!</definedName>
    <definedName name="Z_BC4212E8_2D54_48E9_A2B4_66875F86EBEF_.wvu.FilterData" localSheetId="23" hidden="1">#REF!</definedName>
    <definedName name="Z_BC4212E8_2D54_48E9_A2B4_66875F86EBEF_.wvu.FilterData" hidden="1">#REF!</definedName>
    <definedName name="Z_BE48B5BF_102F_4FB8_8807_DA126440E01B_.wvu.FilterData" localSheetId="12" hidden="1">#REF!</definedName>
    <definedName name="Z_BE48B5BF_102F_4FB8_8807_DA126440E01B_.wvu.FilterData" localSheetId="30" hidden="1">#REF!</definedName>
    <definedName name="Z_BE48B5BF_102F_4FB8_8807_DA126440E01B_.wvu.FilterData" localSheetId="28" hidden="1">#REF!</definedName>
    <definedName name="Z_BE48B5BF_102F_4FB8_8807_DA126440E01B_.wvu.FilterData" localSheetId="27" hidden="1">#REF!</definedName>
    <definedName name="Z_BE48B5BF_102F_4FB8_8807_DA126440E01B_.wvu.FilterData" localSheetId="18" hidden="1">#REF!</definedName>
    <definedName name="Z_BE48B5BF_102F_4FB8_8807_DA126440E01B_.wvu.FilterData" localSheetId="7" hidden="1">#REF!</definedName>
    <definedName name="Z_BE48B5BF_102F_4FB8_8807_DA126440E01B_.wvu.FilterData" localSheetId="23" hidden="1">#REF!</definedName>
    <definedName name="Z_BE48B5BF_102F_4FB8_8807_DA126440E01B_.wvu.FilterData" hidden="1">#REF!</definedName>
    <definedName name="Z_BE949522_4A35_4352_9A91_0CE0E28D3461_.wvu.FilterData" localSheetId="12" hidden="1">#REF!</definedName>
    <definedName name="Z_BE949522_4A35_4352_9A91_0CE0E28D3461_.wvu.FilterData" localSheetId="30" hidden="1">#REF!</definedName>
    <definedName name="Z_BE949522_4A35_4352_9A91_0CE0E28D3461_.wvu.FilterData" localSheetId="28" hidden="1">#REF!</definedName>
    <definedName name="Z_BE949522_4A35_4352_9A91_0CE0E28D3461_.wvu.FilterData" localSheetId="27" hidden="1">#REF!</definedName>
    <definedName name="Z_BE949522_4A35_4352_9A91_0CE0E28D3461_.wvu.FilterData" localSheetId="18" hidden="1">#REF!</definedName>
    <definedName name="Z_BE949522_4A35_4352_9A91_0CE0E28D3461_.wvu.FilterData" localSheetId="7" hidden="1">#REF!</definedName>
    <definedName name="Z_BE949522_4A35_4352_9A91_0CE0E28D3461_.wvu.FilterData" localSheetId="23" hidden="1">#REF!</definedName>
    <definedName name="Z_BE949522_4A35_4352_9A91_0CE0E28D3461_.wvu.FilterData" hidden="1">#REF!</definedName>
    <definedName name="Z_C1310828_8567_4952_A9D3_7183F1221321_.wvu.FilterData" localSheetId="12" hidden="1">#REF!</definedName>
    <definedName name="Z_C1310828_8567_4952_A9D3_7183F1221321_.wvu.FilterData" localSheetId="30" hidden="1">#REF!</definedName>
    <definedName name="Z_C1310828_8567_4952_A9D3_7183F1221321_.wvu.FilterData" localSheetId="28" hidden="1">#REF!</definedName>
    <definedName name="Z_C1310828_8567_4952_A9D3_7183F1221321_.wvu.FilterData" localSheetId="27" hidden="1">#REF!</definedName>
    <definedName name="Z_C1310828_8567_4952_A9D3_7183F1221321_.wvu.FilterData" localSheetId="18" hidden="1">#REF!</definedName>
    <definedName name="Z_C1310828_8567_4952_A9D3_7183F1221321_.wvu.FilterData" localSheetId="7" hidden="1">#REF!</definedName>
    <definedName name="Z_C1310828_8567_4952_A9D3_7183F1221321_.wvu.FilterData" localSheetId="23" hidden="1">#REF!</definedName>
    <definedName name="Z_C1310828_8567_4952_A9D3_7183F1221321_.wvu.FilterData" hidden="1">#REF!</definedName>
    <definedName name="Z_C581774C_2FCD_4906_B930_CCB3F9F9A50B_.wvu.FilterData" localSheetId="12" hidden="1">#REF!</definedName>
    <definedName name="Z_C581774C_2FCD_4906_B930_CCB3F9F9A50B_.wvu.FilterData" localSheetId="30" hidden="1">#REF!</definedName>
    <definedName name="Z_C581774C_2FCD_4906_B930_CCB3F9F9A50B_.wvu.FilterData" localSheetId="28" hidden="1">#REF!</definedName>
    <definedName name="Z_C581774C_2FCD_4906_B930_CCB3F9F9A50B_.wvu.FilterData" localSheetId="27" hidden="1">#REF!</definedName>
    <definedName name="Z_C581774C_2FCD_4906_B930_CCB3F9F9A50B_.wvu.FilterData" localSheetId="18" hidden="1">#REF!</definedName>
    <definedName name="Z_C581774C_2FCD_4906_B930_CCB3F9F9A50B_.wvu.FilterData" localSheetId="7" hidden="1">#REF!</definedName>
    <definedName name="Z_C581774C_2FCD_4906_B930_CCB3F9F9A50B_.wvu.FilterData" localSheetId="23" hidden="1">#REF!</definedName>
    <definedName name="Z_C581774C_2FCD_4906_B930_CCB3F9F9A50B_.wvu.FilterData" hidden="1">#REF!</definedName>
    <definedName name="Z_C67C9A44_7556_4756_AC39_E00F137116ED_.wvu.FilterData" localSheetId="12" hidden="1">#REF!</definedName>
    <definedName name="Z_C67C9A44_7556_4756_AC39_E00F137116ED_.wvu.FilterData" localSheetId="30" hidden="1">#REF!</definedName>
    <definedName name="Z_C67C9A44_7556_4756_AC39_E00F137116ED_.wvu.FilterData" localSheetId="28" hidden="1">#REF!</definedName>
    <definedName name="Z_C67C9A44_7556_4756_AC39_E00F137116ED_.wvu.FilterData" localSheetId="27" hidden="1">#REF!</definedName>
    <definedName name="Z_C67C9A44_7556_4756_AC39_E00F137116ED_.wvu.FilterData" localSheetId="18" hidden="1">#REF!</definedName>
    <definedName name="Z_C67C9A44_7556_4756_AC39_E00F137116ED_.wvu.FilterData" localSheetId="7" hidden="1">#REF!</definedName>
    <definedName name="Z_C67C9A44_7556_4756_AC39_E00F137116ED_.wvu.FilterData" localSheetId="23" hidden="1">#REF!</definedName>
    <definedName name="Z_C67C9A44_7556_4756_AC39_E00F137116ED_.wvu.FilterData" hidden="1">#REF!</definedName>
    <definedName name="Z_C908089F_9A5A_11D7_9C1E_0004231B06E7_.wvu.FilterData" localSheetId="12" hidden="1">#REF!</definedName>
    <definedName name="Z_C908089F_9A5A_11D7_9C1E_0004231B06E7_.wvu.FilterData" localSheetId="30" hidden="1">#REF!</definedName>
    <definedName name="Z_C908089F_9A5A_11D7_9C1E_0004231B06E7_.wvu.FilterData" localSheetId="28" hidden="1">#REF!</definedName>
    <definedName name="Z_C908089F_9A5A_11D7_9C1E_0004231B06E7_.wvu.FilterData" localSheetId="27" hidden="1">#REF!</definedName>
    <definedName name="Z_C908089F_9A5A_11D7_9C1E_0004231B06E7_.wvu.FilterData" localSheetId="18" hidden="1">#REF!</definedName>
    <definedName name="Z_C908089F_9A5A_11D7_9C1E_0004231B06E7_.wvu.FilterData" localSheetId="7" hidden="1">#REF!</definedName>
    <definedName name="Z_C908089F_9A5A_11D7_9C1E_0004231B06E7_.wvu.FilterData" localSheetId="23" hidden="1">#REF!</definedName>
    <definedName name="Z_C908089F_9A5A_11D7_9C1E_0004231B06E7_.wvu.FilterData" hidden="1">#REF!</definedName>
    <definedName name="Z_C942EE3A_8DBF_41D7_ADAF_F43C01F31E23_.wvu.FilterData" localSheetId="12" hidden="1">#REF!</definedName>
    <definedName name="Z_C942EE3A_8DBF_41D7_ADAF_F43C01F31E23_.wvu.FilterData" localSheetId="30" hidden="1">#REF!</definedName>
    <definedName name="Z_C942EE3A_8DBF_41D7_ADAF_F43C01F31E23_.wvu.FilterData" localSheetId="28" hidden="1">#REF!</definedName>
    <definedName name="Z_C942EE3A_8DBF_41D7_ADAF_F43C01F31E23_.wvu.FilterData" localSheetId="27" hidden="1">#REF!</definedName>
    <definedName name="Z_C942EE3A_8DBF_41D7_ADAF_F43C01F31E23_.wvu.FilterData" localSheetId="18" hidden="1">#REF!</definedName>
    <definedName name="Z_C942EE3A_8DBF_41D7_ADAF_F43C01F31E23_.wvu.FilterData" localSheetId="7" hidden="1">#REF!</definedName>
    <definedName name="Z_C942EE3A_8DBF_41D7_ADAF_F43C01F31E23_.wvu.FilterData" localSheetId="23" hidden="1">#REF!</definedName>
    <definedName name="Z_C942EE3A_8DBF_41D7_ADAF_F43C01F31E23_.wvu.FilterData" hidden="1">#REF!</definedName>
    <definedName name="Z_CB8FB7EE_B771_11D7_9C1E_0004231B06E7_.wvu.FilterData" localSheetId="12" hidden="1">#REF!</definedName>
    <definedName name="Z_CB8FB7EE_B771_11D7_9C1E_0004231B06E7_.wvu.FilterData" localSheetId="30" hidden="1">#REF!</definedName>
    <definedName name="Z_CB8FB7EE_B771_11D7_9C1E_0004231B06E7_.wvu.FilterData" localSheetId="28" hidden="1">#REF!</definedName>
    <definedName name="Z_CB8FB7EE_B771_11D7_9C1E_0004231B06E7_.wvu.FilterData" localSheetId="27" hidden="1">#REF!</definedName>
    <definedName name="Z_CB8FB7EE_B771_11D7_9C1E_0004231B06E7_.wvu.FilterData" localSheetId="18" hidden="1">#REF!</definedName>
    <definedName name="Z_CB8FB7EE_B771_11D7_9C1E_0004231B06E7_.wvu.FilterData" localSheetId="7" hidden="1">#REF!</definedName>
    <definedName name="Z_CB8FB7EE_B771_11D7_9C1E_0004231B06E7_.wvu.FilterData" localSheetId="23" hidden="1">#REF!</definedName>
    <definedName name="Z_CB8FB7EE_B771_11D7_9C1E_0004231B06E7_.wvu.FilterData" hidden="1">#REF!</definedName>
    <definedName name="Z_CB8FB7F1_B771_11D7_9C1E_0004231B06E7_.wvu.FilterData" localSheetId="12" hidden="1">#REF!</definedName>
    <definedName name="Z_CB8FB7F1_B771_11D7_9C1E_0004231B06E7_.wvu.FilterData" localSheetId="30" hidden="1">#REF!</definedName>
    <definedName name="Z_CB8FB7F1_B771_11D7_9C1E_0004231B06E7_.wvu.FilterData" localSheetId="28" hidden="1">#REF!</definedName>
    <definedName name="Z_CB8FB7F1_B771_11D7_9C1E_0004231B06E7_.wvu.FilterData" localSheetId="27" hidden="1">#REF!</definedName>
    <definedName name="Z_CB8FB7F1_B771_11D7_9C1E_0004231B06E7_.wvu.FilterData" localSheetId="18" hidden="1">#REF!</definedName>
    <definedName name="Z_CB8FB7F1_B771_11D7_9C1E_0004231B06E7_.wvu.FilterData" localSheetId="7" hidden="1">#REF!</definedName>
    <definedName name="Z_CB8FB7F1_B771_11D7_9C1E_0004231B06E7_.wvu.FilterData" localSheetId="23" hidden="1">#REF!</definedName>
    <definedName name="Z_CB8FB7F1_B771_11D7_9C1E_0004231B06E7_.wvu.FilterData" hidden="1">#REF!</definedName>
    <definedName name="Z_CD48E0DF_E307_492A_9CFD_ADF6DE6ECCFB_.wvu.FilterData" localSheetId="12" hidden="1">#REF!</definedName>
    <definedName name="Z_CD48E0DF_E307_492A_9CFD_ADF6DE6ECCFB_.wvu.FilterData" localSheetId="30" hidden="1">#REF!</definedName>
    <definedName name="Z_CD48E0DF_E307_492A_9CFD_ADF6DE6ECCFB_.wvu.FilterData" localSheetId="28" hidden="1">#REF!</definedName>
    <definedName name="Z_CD48E0DF_E307_492A_9CFD_ADF6DE6ECCFB_.wvu.FilterData" localSheetId="27" hidden="1">#REF!</definedName>
    <definedName name="Z_CD48E0DF_E307_492A_9CFD_ADF6DE6ECCFB_.wvu.FilterData" localSheetId="18" hidden="1">#REF!</definedName>
    <definedName name="Z_CD48E0DF_E307_492A_9CFD_ADF6DE6ECCFB_.wvu.FilterData" localSheetId="7" hidden="1">#REF!</definedName>
    <definedName name="Z_CD48E0DF_E307_492A_9CFD_ADF6DE6ECCFB_.wvu.FilterData" localSheetId="23" hidden="1">#REF!</definedName>
    <definedName name="Z_CD48E0DF_E307_492A_9CFD_ADF6DE6ECCFB_.wvu.FilterData" hidden="1">#REF!</definedName>
    <definedName name="Z_CDAD3BC7_95B1_4949_91B3_EAB234D2A550_.wvu.FilterData" localSheetId="12" hidden="1">#REF!</definedName>
    <definedName name="Z_CDAD3BC7_95B1_4949_91B3_EAB234D2A550_.wvu.FilterData" localSheetId="30" hidden="1">#REF!</definedName>
    <definedName name="Z_CDAD3BC7_95B1_4949_91B3_EAB234D2A550_.wvu.FilterData" localSheetId="28" hidden="1">#REF!</definedName>
    <definedName name="Z_CDAD3BC7_95B1_4949_91B3_EAB234D2A550_.wvu.FilterData" localSheetId="27" hidden="1">#REF!</definedName>
    <definedName name="Z_CDAD3BC7_95B1_4949_91B3_EAB234D2A550_.wvu.FilterData" localSheetId="18" hidden="1">#REF!</definedName>
    <definedName name="Z_CDAD3BC7_95B1_4949_91B3_EAB234D2A550_.wvu.FilterData" localSheetId="7" hidden="1">#REF!</definedName>
    <definedName name="Z_CDAD3BC7_95B1_4949_91B3_EAB234D2A550_.wvu.FilterData" localSheetId="23" hidden="1">#REF!</definedName>
    <definedName name="Z_CDAD3BC7_95B1_4949_91B3_EAB234D2A550_.wvu.FilterData" hidden="1">#REF!</definedName>
    <definedName name="Z_CE1A6073_4007_44EE_88D3_3C79CF746C78_.wvu.FilterData" localSheetId="12" hidden="1">#REF!</definedName>
    <definedName name="Z_CE1A6073_4007_44EE_88D3_3C79CF746C78_.wvu.FilterData" localSheetId="30" hidden="1">#REF!</definedName>
    <definedName name="Z_CE1A6073_4007_44EE_88D3_3C79CF746C78_.wvu.FilterData" localSheetId="28" hidden="1">#REF!</definedName>
    <definedName name="Z_CE1A6073_4007_44EE_88D3_3C79CF746C78_.wvu.FilterData" localSheetId="27" hidden="1">#REF!</definedName>
    <definedName name="Z_CE1A6073_4007_44EE_88D3_3C79CF746C78_.wvu.FilterData" localSheetId="18" hidden="1">#REF!</definedName>
    <definedName name="Z_CE1A6073_4007_44EE_88D3_3C79CF746C78_.wvu.FilterData" localSheetId="7" hidden="1">#REF!</definedName>
    <definedName name="Z_CE1A6073_4007_44EE_88D3_3C79CF746C78_.wvu.FilterData" localSheetId="23" hidden="1">#REF!</definedName>
    <definedName name="Z_CE1A6073_4007_44EE_88D3_3C79CF746C78_.wvu.FilterData" hidden="1">#REF!</definedName>
    <definedName name="Z_D0500033_B90B_46E5_BD62_60D0DA033A55_.wvu.FilterData" localSheetId="12" hidden="1">#REF!</definedName>
    <definedName name="Z_D0500033_B90B_46E5_BD62_60D0DA033A55_.wvu.FilterData" localSheetId="30" hidden="1">#REF!</definedName>
    <definedName name="Z_D0500033_B90B_46E5_BD62_60D0DA033A55_.wvu.FilterData" localSheetId="28" hidden="1">#REF!</definedName>
    <definedName name="Z_D0500033_B90B_46E5_BD62_60D0DA033A55_.wvu.FilterData" localSheetId="27" hidden="1">#REF!</definedName>
    <definedName name="Z_D0500033_B90B_46E5_BD62_60D0DA033A55_.wvu.FilterData" localSheetId="18" hidden="1">#REF!</definedName>
    <definedName name="Z_D0500033_B90B_46E5_BD62_60D0DA033A55_.wvu.FilterData" localSheetId="7" hidden="1">#REF!</definedName>
    <definedName name="Z_D0500033_B90B_46E5_BD62_60D0DA033A55_.wvu.FilterData" localSheetId="23" hidden="1">#REF!</definedName>
    <definedName name="Z_D0500033_B90B_46E5_BD62_60D0DA033A55_.wvu.FilterData" hidden="1">#REF!</definedName>
    <definedName name="Z_D11C04A2_606C_4EF4_9AD3_4865E5EFAE70_.wvu.FilterData" localSheetId="12" hidden="1">#REF!</definedName>
    <definedName name="Z_D11C04A2_606C_4EF4_9AD3_4865E5EFAE70_.wvu.FilterData" localSheetId="30" hidden="1">#REF!</definedName>
    <definedName name="Z_D11C04A2_606C_4EF4_9AD3_4865E5EFAE70_.wvu.FilterData" localSheetId="28" hidden="1">#REF!</definedName>
    <definedName name="Z_D11C04A2_606C_4EF4_9AD3_4865E5EFAE70_.wvu.FilterData" localSheetId="27" hidden="1">#REF!</definedName>
    <definedName name="Z_D11C04A2_606C_4EF4_9AD3_4865E5EFAE70_.wvu.FilterData" localSheetId="18" hidden="1">#REF!</definedName>
    <definedName name="Z_D11C04A2_606C_4EF4_9AD3_4865E5EFAE70_.wvu.FilterData" localSheetId="7" hidden="1">#REF!</definedName>
    <definedName name="Z_D11C04A2_606C_4EF4_9AD3_4865E5EFAE70_.wvu.FilterData" localSheetId="23" hidden="1">#REF!</definedName>
    <definedName name="Z_D11C04A2_606C_4EF4_9AD3_4865E5EFAE70_.wvu.FilterData" hidden="1">#REF!</definedName>
    <definedName name="Z_D1371C66_ADFD_11D7_9C1E_0004231B06E7_.wvu.FilterData" localSheetId="12" hidden="1">#REF!</definedName>
    <definedName name="Z_D1371C66_ADFD_11D7_9C1E_0004231B06E7_.wvu.FilterData" localSheetId="30" hidden="1">#REF!</definedName>
    <definedName name="Z_D1371C66_ADFD_11D7_9C1E_0004231B06E7_.wvu.FilterData" localSheetId="28" hidden="1">#REF!</definedName>
    <definedName name="Z_D1371C66_ADFD_11D7_9C1E_0004231B06E7_.wvu.FilterData" localSheetId="27" hidden="1">#REF!</definedName>
    <definedName name="Z_D1371C66_ADFD_11D7_9C1E_0004231B06E7_.wvu.FilterData" localSheetId="18" hidden="1">#REF!</definedName>
    <definedName name="Z_D1371C66_ADFD_11D7_9C1E_0004231B06E7_.wvu.FilterData" localSheetId="7" hidden="1">#REF!</definedName>
    <definedName name="Z_D1371C66_ADFD_11D7_9C1E_0004231B06E7_.wvu.FilterData" localSheetId="23" hidden="1">#REF!</definedName>
    <definedName name="Z_D1371C66_ADFD_11D7_9C1E_0004231B06E7_.wvu.FilterData" hidden="1">#REF!</definedName>
    <definedName name="Z_D1371C82_ADFD_11D7_9C1E_0004231B06E7_.wvu.FilterData" localSheetId="12" hidden="1">#REF!</definedName>
    <definedName name="Z_D1371C82_ADFD_11D7_9C1E_0004231B06E7_.wvu.FilterData" localSheetId="30" hidden="1">#REF!</definedName>
    <definedName name="Z_D1371C82_ADFD_11D7_9C1E_0004231B06E7_.wvu.FilterData" localSheetId="28" hidden="1">#REF!</definedName>
    <definedName name="Z_D1371C82_ADFD_11D7_9C1E_0004231B06E7_.wvu.FilterData" localSheetId="27" hidden="1">#REF!</definedName>
    <definedName name="Z_D1371C82_ADFD_11D7_9C1E_0004231B06E7_.wvu.FilterData" localSheetId="18" hidden="1">#REF!</definedName>
    <definedName name="Z_D1371C82_ADFD_11D7_9C1E_0004231B06E7_.wvu.FilterData" localSheetId="7" hidden="1">#REF!</definedName>
    <definedName name="Z_D1371C82_ADFD_11D7_9C1E_0004231B06E7_.wvu.FilterData" localSheetId="23" hidden="1">#REF!</definedName>
    <definedName name="Z_D1371C82_ADFD_11D7_9C1E_0004231B06E7_.wvu.FilterData" hidden="1">#REF!</definedName>
    <definedName name="Z_D1371C98_ADFD_11D7_9C1E_0004231B06E7_.wvu.FilterData" localSheetId="12" hidden="1">#REF!</definedName>
    <definedName name="Z_D1371C98_ADFD_11D7_9C1E_0004231B06E7_.wvu.FilterData" localSheetId="30" hidden="1">#REF!</definedName>
    <definedName name="Z_D1371C98_ADFD_11D7_9C1E_0004231B06E7_.wvu.FilterData" localSheetId="28" hidden="1">#REF!</definedName>
    <definedName name="Z_D1371C98_ADFD_11D7_9C1E_0004231B06E7_.wvu.FilterData" localSheetId="27" hidden="1">#REF!</definedName>
    <definedName name="Z_D1371C98_ADFD_11D7_9C1E_0004231B06E7_.wvu.FilterData" localSheetId="18" hidden="1">#REF!</definedName>
    <definedName name="Z_D1371C98_ADFD_11D7_9C1E_0004231B06E7_.wvu.FilterData" localSheetId="7" hidden="1">#REF!</definedName>
    <definedName name="Z_D1371C98_ADFD_11D7_9C1E_0004231B06E7_.wvu.FilterData" localSheetId="23" hidden="1">#REF!</definedName>
    <definedName name="Z_D1371C98_ADFD_11D7_9C1E_0004231B06E7_.wvu.FilterData" hidden="1">#REF!</definedName>
    <definedName name="Z_D15727E9_9BC2_420E_AC98_E8E9B60BD754_.wvu.FilterData" localSheetId="12" hidden="1">#REF!</definedName>
    <definedName name="Z_D15727E9_9BC2_420E_AC98_E8E9B60BD754_.wvu.FilterData" localSheetId="30" hidden="1">#REF!</definedName>
    <definedName name="Z_D15727E9_9BC2_420E_AC98_E8E9B60BD754_.wvu.FilterData" localSheetId="28" hidden="1">#REF!</definedName>
    <definedName name="Z_D15727E9_9BC2_420E_AC98_E8E9B60BD754_.wvu.FilterData" localSheetId="27" hidden="1">#REF!</definedName>
    <definedName name="Z_D15727E9_9BC2_420E_AC98_E8E9B60BD754_.wvu.FilterData" localSheetId="18" hidden="1">#REF!</definedName>
    <definedName name="Z_D15727E9_9BC2_420E_AC98_E8E9B60BD754_.wvu.FilterData" localSheetId="7" hidden="1">#REF!</definedName>
    <definedName name="Z_D15727E9_9BC2_420E_AC98_E8E9B60BD754_.wvu.FilterData" localSheetId="23" hidden="1">#REF!</definedName>
    <definedName name="Z_D15727E9_9BC2_420E_AC98_E8E9B60BD754_.wvu.FilterData" hidden="1">#REF!</definedName>
    <definedName name="Z_D371D622_5497_46A4_826D_01F2F492E39D_.wvu.FilterData" localSheetId="12" hidden="1">#REF!</definedName>
    <definedName name="Z_D371D622_5497_46A4_826D_01F2F492E39D_.wvu.FilterData" localSheetId="30" hidden="1">#REF!</definedName>
    <definedName name="Z_D371D622_5497_46A4_826D_01F2F492E39D_.wvu.FilterData" localSheetId="28" hidden="1">#REF!</definedName>
    <definedName name="Z_D371D622_5497_46A4_826D_01F2F492E39D_.wvu.FilterData" localSheetId="27" hidden="1">#REF!</definedName>
    <definedName name="Z_D371D622_5497_46A4_826D_01F2F492E39D_.wvu.FilterData" localSheetId="18" hidden="1">#REF!</definedName>
    <definedName name="Z_D371D622_5497_46A4_826D_01F2F492E39D_.wvu.FilterData" localSheetId="7" hidden="1">#REF!</definedName>
    <definedName name="Z_D371D622_5497_46A4_826D_01F2F492E39D_.wvu.FilterData" localSheetId="23" hidden="1">#REF!</definedName>
    <definedName name="Z_D371D622_5497_46A4_826D_01F2F492E39D_.wvu.FilterData" hidden="1">#REF!</definedName>
    <definedName name="Z_D3FF2053_BD11_4CA8_9648_A06F387C0C79_.wvu.FilterData" localSheetId="12" hidden="1">#REF!</definedName>
    <definedName name="Z_D3FF2053_BD11_4CA8_9648_A06F387C0C79_.wvu.FilterData" localSheetId="30" hidden="1">#REF!</definedName>
    <definedName name="Z_D3FF2053_BD11_4CA8_9648_A06F387C0C79_.wvu.FilterData" localSheetId="28" hidden="1">#REF!</definedName>
    <definedName name="Z_D3FF2053_BD11_4CA8_9648_A06F387C0C79_.wvu.FilterData" localSheetId="27" hidden="1">#REF!</definedName>
    <definedName name="Z_D3FF2053_BD11_4CA8_9648_A06F387C0C79_.wvu.FilterData" localSheetId="18" hidden="1">#REF!</definedName>
    <definedName name="Z_D3FF2053_BD11_4CA8_9648_A06F387C0C79_.wvu.FilterData" localSheetId="7" hidden="1">#REF!</definedName>
    <definedName name="Z_D3FF2053_BD11_4CA8_9648_A06F387C0C79_.wvu.FilterData" localSheetId="23" hidden="1">#REF!</definedName>
    <definedName name="Z_D3FF2053_BD11_4CA8_9648_A06F387C0C79_.wvu.FilterData" hidden="1">#REF!</definedName>
    <definedName name="Z_D4D6DC3A_302F_4BF4_8221_EFB7EA05B30F_.wvu.FilterData" localSheetId="12" hidden="1">#REF!</definedName>
    <definedName name="Z_D4D6DC3A_302F_4BF4_8221_EFB7EA05B30F_.wvu.FilterData" localSheetId="30" hidden="1">#REF!</definedName>
    <definedName name="Z_D4D6DC3A_302F_4BF4_8221_EFB7EA05B30F_.wvu.FilterData" localSheetId="28" hidden="1">#REF!</definedName>
    <definedName name="Z_D4D6DC3A_302F_4BF4_8221_EFB7EA05B30F_.wvu.FilterData" localSheetId="27" hidden="1">#REF!</definedName>
    <definedName name="Z_D4D6DC3A_302F_4BF4_8221_EFB7EA05B30F_.wvu.FilterData" localSheetId="18" hidden="1">#REF!</definedName>
    <definedName name="Z_D4D6DC3A_302F_4BF4_8221_EFB7EA05B30F_.wvu.FilterData" localSheetId="7" hidden="1">#REF!</definedName>
    <definedName name="Z_D4D6DC3A_302F_4BF4_8221_EFB7EA05B30F_.wvu.FilterData" localSheetId="23" hidden="1">#REF!</definedName>
    <definedName name="Z_D4D6DC3A_302F_4BF4_8221_EFB7EA05B30F_.wvu.FilterData" hidden="1">#REF!</definedName>
    <definedName name="Z_D4FF4BA0_F9BE_4CEE_B334_FBD19DA86BF4_.wvu.FilterData" localSheetId="12" hidden="1">#REF!</definedName>
    <definedName name="Z_D4FF4BA0_F9BE_4CEE_B334_FBD19DA86BF4_.wvu.FilterData" localSheetId="30" hidden="1">#REF!</definedName>
    <definedName name="Z_D4FF4BA0_F9BE_4CEE_B334_FBD19DA86BF4_.wvu.FilterData" localSheetId="28" hidden="1">#REF!</definedName>
    <definedName name="Z_D4FF4BA0_F9BE_4CEE_B334_FBD19DA86BF4_.wvu.FilterData" localSheetId="27" hidden="1">#REF!</definedName>
    <definedName name="Z_D4FF4BA0_F9BE_4CEE_B334_FBD19DA86BF4_.wvu.FilterData" localSheetId="18" hidden="1">#REF!</definedName>
    <definedName name="Z_D4FF4BA0_F9BE_4CEE_B334_FBD19DA86BF4_.wvu.FilterData" localSheetId="7" hidden="1">#REF!</definedName>
    <definedName name="Z_D4FF4BA0_F9BE_4CEE_B334_FBD19DA86BF4_.wvu.FilterData" localSheetId="23" hidden="1">#REF!</definedName>
    <definedName name="Z_D4FF4BA0_F9BE_4CEE_B334_FBD19DA86BF4_.wvu.FilterData" hidden="1">#REF!</definedName>
    <definedName name="Z_D5810466_54E3_455B_B341_3E7B86FB72D3_.wvu.FilterData" localSheetId="12" hidden="1">#REF!</definedName>
    <definedName name="Z_D5810466_54E3_455B_B341_3E7B86FB72D3_.wvu.FilterData" localSheetId="30" hidden="1">#REF!</definedName>
    <definedName name="Z_D5810466_54E3_455B_B341_3E7B86FB72D3_.wvu.FilterData" localSheetId="28" hidden="1">#REF!</definedName>
    <definedName name="Z_D5810466_54E3_455B_B341_3E7B86FB72D3_.wvu.FilterData" localSheetId="27" hidden="1">#REF!</definedName>
    <definedName name="Z_D5810466_54E3_455B_B341_3E7B86FB72D3_.wvu.FilterData" localSheetId="18" hidden="1">#REF!</definedName>
    <definedName name="Z_D5810466_54E3_455B_B341_3E7B86FB72D3_.wvu.FilterData" localSheetId="7" hidden="1">#REF!</definedName>
    <definedName name="Z_D5810466_54E3_455B_B341_3E7B86FB72D3_.wvu.FilterData" localSheetId="23" hidden="1">#REF!</definedName>
    <definedName name="Z_D5810466_54E3_455B_B341_3E7B86FB72D3_.wvu.FilterData" hidden="1">#REF!</definedName>
    <definedName name="Z_D60B1DF7_D653_4F01_B5AD_6A66E578C24F_.wvu.FilterData" localSheetId="12" hidden="1">#REF!</definedName>
    <definedName name="Z_D60B1DF7_D653_4F01_B5AD_6A66E578C24F_.wvu.FilterData" localSheetId="30" hidden="1">#REF!</definedName>
    <definedName name="Z_D60B1DF7_D653_4F01_B5AD_6A66E578C24F_.wvu.FilterData" localSheetId="28" hidden="1">#REF!</definedName>
    <definedName name="Z_D60B1DF7_D653_4F01_B5AD_6A66E578C24F_.wvu.FilterData" localSheetId="27" hidden="1">#REF!</definedName>
    <definedName name="Z_D60B1DF7_D653_4F01_B5AD_6A66E578C24F_.wvu.FilterData" localSheetId="18" hidden="1">#REF!</definedName>
    <definedName name="Z_D60B1DF7_D653_4F01_B5AD_6A66E578C24F_.wvu.FilterData" localSheetId="7" hidden="1">#REF!</definedName>
    <definedName name="Z_D60B1DF7_D653_4F01_B5AD_6A66E578C24F_.wvu.FilterData" localSheetId="23" hidden="1">#REF!</definedName>
    <definedName name="Z_D60B1DF7_D653_4F01_B5AD_6A66E578C24F_.wvu.FilterData" hidden="1">#REF!</definedName>
    <definedName name="Z_D684BA0E_B94B_4BF7_8F27_4E3A1924425C_.wvu.FilterData" localSheetId="12" hidden="1">#REF!</definedName>
    <definedName name="Z_D684BA0E_B94B_4BF7_8F27_4E3A1924425C_.wvu.FilterData" localSheetId="30" hidden="1">#REF!</definedName>
    <definedName name="Z_D684BA0E_B94B_4BF7_8F27_4E3A1924425C_.wvu.FilterData" localSheetId="28" hidden="1">#REF!</definedName>
    <definedName name="Z_D684BA0E_B94B_4BF7_8F27_4E3A1924425C_.wvu.FilterData" localSheetId="27" hidden="1">#REF!</definedName>
    <definedName name="Z_D684BA0E_B94B_4BF7_8F27_4E3A1924425C_.wvu.FilterData" localSheetId="18" hidden="1">#REF!</definedName>
    <definedName name="Z_D684BA0E_B94B_4BF7_8F27_4E3A1924425C_.wvu.FilterData" localSheetId="7" hidden="1">#REF!</definedName>
    <definedName name="Z_D684BA0E_B94B_4BF7_8F27_4E3A1924425C_.wvu.FilterData" localSheetId="23" hidden="1">#REF!</definedName>
    <definedName name="Z_D684BA0E_B94B_4BF7_8F27_4E3A1924425C_.wvu.FilterData" hidden="1">#REF!</definedName>
    <definedName name="Z_D9443332_B48E_4E65_8F23_AC96FB75A5A9_.wvu.FilterData" localSheetId="12" hidden="1">#REF!</definedName>
    <definedName name="Z_D9443332_B48E_4E65_8F23_AC96FB75A5A9_.wvu.FilterData" localSheetId="30" hidden="1">#REF!</definedName>
    <definedName name="Z_D9443332_B48E_4E65_8F23_AC96FB75A5A9_.wvu.FilterData" localSheetId="28" hidden="1">#REF!</definedName>
    <definedName name="Z_D9443332_B48E_4E65_8F23_AC96FB75A5A9_.wvu.FilterData" localSheetId="27" hidden="1">#REF!</definedName>
    <definedName name="Z_D9443332_B48E_4E65_8F23_AC96FB75A5A9_.wvu.FilterData" localSheetId="18" hidden="1">#REF!</definedName>
    <definedName name="Z_D9443332_B48E_4E65_8F23_AC96FB75A5A9_.wvu.FilterData" localSheetId="7" hidden="1">#REF!</definedName>
    <definedName name="Z_D9443332_B48E_4E65_8F23_AC96FB75A5A9_.wvu.FilterData" localSheetId="23" hidden="1">#REF!</definedName>
    <definedName name="Z_D9443332_B48E_4E65_8F23_AC96FB75A5A9_.wvu.FilterData" hidden="1">#REF!</definedName>
    <definedName name="Z_DAA35AF8_874B_4671_A195_994D9700CFB0_.wvu.FilterData" localSheetId="12" hidden="1">#REF!</definedName>
    <definedName name="Z_DAA35AF8_874B_4671_A195_994D9700CFB0_.wvu.FilterData" localSheetId="30" hidden="1">#REF!</definedName>
    <definedName name="Z_DAA35AF8_874B_4671_A195_994D9700CFB0_.wvu.FilterData" localSheetId="28" hidden="1">#REF!</definedName>
    <definedName name="Z_DAA35AF8_874B_4671_A195_994D9700CFB0_.wvu.FilterData" localSheetId="27" hidden="1">#REF!</definedName>
    <definedName name="Z_DAA35AF8_874B_4671_A195_994D9700CFB0_.wvu.FilterData" localSheetId="18" hidden="1">#REF!</definedName>
    <definedName name="Z_DAA35AF8_874B_4671_A195_994D9700CFB0_.wvu.FilterData" localSheetId="7" hidden="1">#REF!</definedName>
    <definedName name="Z_DAA35AF8_874B_4671_A195_994D9700CFB0_.wvu.FilterData" localSheetId="23" hidden="1">#REF!</definedName>
    <definedName name="Z_DAA35AF8_874B_4671_A195_994D9700CFB0_.wvu.FilterData" hidden="1">#REF!</definedName>
    <definedName name="Z_DB31579F_8662_40C5_BB19_660F0F7B70E5_.wvu.FilterData" localSheetId="12" hidden="1">#REF!</definedName>
    <definedName name="Z_DB31579F_8662_40C5_BB19_660F0F7B70E5_.wvu.FilterData" localSheetId="30" hidden="1">#REF!</definedName>
    <definedName name="Z_DB31579F_8662_40C5_BB19_660F0F7B70E5_.wvu.FilterData" localSheetId="28" hidden="1">#REF!</definedName>
    <definedName name="Z_DB31579F_8662_40C5_BB19_660F0F7B70E5_.wvu.FilterData" localSheetId="27" hidden="1">#REF!</definedName>
    <definedName name="Z_DB31579F_8662_40C5_BB19_660F0F7B70E5_.wvu.FilterData" localSheetId="18" hidden="1">#REF!</definedName>
    <definedName name="Z_DB31579F_8662_40C5_BB19_660F0F7B70E5_.wvu.FilterData" localSheetId="7" hidden="1">#REF!</definedName>
    <definedName name="Z_DB31579F_8662_40C5_BB19_660F0F7B70E5_.wvu.FilterData" localSheetId="23" hidden="1">#REF!</definedName>
    <definedName name="Z_DB31579F_8662_40C5_BB19_660F0F7B70E5_.wvu.FilterData" hidden="1">#REF!</definedName>
    <definedName name="Z_DB349C77_BBCF_4BF0_8906_770DC9CEB279_.wvu.FilterData" localSheetId="12" hidden="1">#REF!</definedName>
    <definedName name="Z_DB349C77_BBCF_4BF0_8906_770DC9CEB279_.wvu.FilterData" localSheetId="30" hidden="1">#REF!</definedName>
    <definedName name="Z_DB349C77_BBCF_4BF0_8906_770DC9CEB279_.wvu.FilterData" localSheetId="28" hidden="1">#REF!</definedName>
    <definedName name="Z_DB349C77_BBCF_4BF0_8906_770DC9CEB279_.wvu.FilterData" localSheetId="27" hidden="1">#REF!</definedName>
    <definedName name="Z_DB349C77_BBCF_4BF0_8906_770DC9CEB279_.wvu.FilterData" localSheetId="18" hidden="1">#REF!</definedName>
    <definedName name="Z_DB349C77_BBCF_4BF0_8906_770DC9CEB279_.wvu.FilterData" localSheetId="7" hidden="1">#REF!</definedName>
    <definedName name="Z_DB349C77_BBCF_4BF0_8906_770DC9CEB279_.wvu.FilterData" localSheetId="23" hidden="1">#REF!</definedName>
    <definedName name="Z_DB349C77_BBCF_4BF0_8906_770DC9CEB279_.wvu.FilterData" hidden="1">#REF!</definedName>
    <definedName name="Z_DBA9A16F_C863_43D6_BEF6_4907AD7FF11A_.wvu.FilterData" localSheetId="12" hidden="1">#REF!</definedName>
    <definedName name="Z_DBA9A16F_C863_43D6_BEF6_4907AD7FF11A_.wvu.FilterData" localSheetId="30" hidden="1">#REF!</definedName>
    <definedName name="Z_DBA9A16F_C863_43D6_BEF6_4907AD7FF11A_.wvu.FilterData" localSheetId="28" hidden="1">#REF!</definedName>
    <definedName name="Z_DBA9A16F_C863_43D6_BEF6_4907AD7FF11A_.wvu.FilterData" localSheetId="27" hidden="1">#REF!</definedName>
    <definedName name="Z_DBA9A16F_C863_43D6_BEF6_4907AD7FF11A_.wvu.FilterData" localSheetId="18" hidden="1">#REF!</definedName>
    <definedName name="Z_DBA9A16F_C863_43D6_BEF6_4907AD7FF11A_.wvu.FilterData" localSheetId="7" hidden="1">#REF!</definedName>
    <definedName name="Z_DBA9A16F_C863_43D6_BEF6_4907AD7FF11A_.wvu.FilterData" localSheetId="23" hidden="1">#REF!</definedName>
    <definedName name="Z_DBA9A16F_C863_43D6_BEF6_4907AD7FF11A_.wvu.FilterData" hidden="1">#REF!</definedName>
    <definedName name="Z_DC39DC03_5BF1_41DE_A26D_8DA774859990_.wvu.FilterData" localSheetId="12" hidden="1">#REF!</definedName>
    <definedName name="Z_DC39DC03_5BF1_41DE_A26D_8DA774859990_.wvu.FilterData" localSheetId="30" hidden="1">#REF!</definedName>
    <definedName name="Z_DC39DC03_5BF1_41DE_A26D_8DA774859990_.wvu.FilterData" localSheetId="28" hidden="1">#REF!</definedName>
    <definedName name="Z_DC39DC03_5BF1_41DE_A26D_8DA774859990_.wvu.FilterData" localSheetId="27" hidden="1">#REF!</definedName>
    <definedName name="Z_DC39DC03_5BF1_41DE_A26D_8DA774859990_.wvu.FilterData" localSheetId="18" hidden="1">#REF!</definedName>
    <definedName name="Z_DC39DC03_5BF1_41DE_A26D_8DA774859990_.wvu.FilterData" localSheetId="7" hidden="1">#REF!</definedName>
    <definedName name="Z_DC39DC03_5BF1_41DE_A26D_8DA774859990_.wvu.FilterData" localSheetId="23" hidden="1">#REF!</definedName>
    <definedName name="Z_DC39DC03_5BF1_41DE_A26D_8DA774859990_.wvu.FilterData" hidden="1">#REF!</definedName>
    <definedName name="Z_DC4BE57B_E9B6_4823_AAB5_0B4AD0A1C9F8_.wvu.FilterData" localSheetId="12" hidden="1">#REF!</definedName>
    <definedName name="Z_DC4BE57B_E9B6_4823_AAB5_0B4AD0A1C9F8_.wvu.FilterData" localSheetId="30" hidden="1">#REF!</definedName>
    <definedName name="Z_DC4BE57B_E9B6_4823_AAB5_0B4AD0A1C9F8_.wvu.FilterData" localSheetId="28" hidden="1">#REF!</definedName>
    <definedName name="Z_DC4BE57B_E9B6_4823_AAB5_0B4AD0A1C9F8_.wvu.FilterData" localSheetId="27" hidden="1">#REF!</definedName>
    <definedName name="Z_DC4BE57B_E9B6_4823_AAB5_0B4AD0A1C9F8_.wvu.FilterData" localSheetId="18" hidden="1">#REF!</definedName>
    <definedName name="Z_DC4BE57B_E9B6_4823_AAB5_0B4AD0A1C9F8_.wvu.FilterData" localSheetId="7" hidden="1">#REF!</definedName>
    <definedName name="Z_DC4BE57B_E9B6_4823_AAB5_0B4AD0A1C9F8_.wvu.FilterData" localSheetId="23" hidden="1">#REF!</definedName>
    <definedName name="Z_DC4BE57B_E9B6_4823_AAB5_0B4AD0A1C9F8_.wvu.FilterData" hidden="1">#REF!</definedName>
    <definedName name="Z_DD40B456_B833_4D7B_A3C9_47AA2D6A0830_.wvu.FilterData" localSheetId="12" hidden="1">#REF!</definedName>
    <definedName name="Z_DD40B456_B833_4D7B_A3C9_47AA2D6A0830_.wvu.FilterData" localSheetId="30" hidden="1">#REF!</definedName>
    <definedName name="Z_DD40B456_B833_4D7B_A3C9_47AA2D6A0830_.wvu.FilterData" localSheetId="28" hidden="1">#REF!</definedName>
    <definedName name="Z_DD40B456_B833_4D7B_A3C9_47AA2D6A0830_.wvu.FilterData" localSheetId="27" hidden="1">#REF!</definedName>
    <definedName name="Z_DD40B456_B833_4D7B_A3C9_47AA2D6A0830_.wvu.FilterData" localSheetId="18" hidden="1">#REF!</definedName>
    <definedName name="Z_DD40B456_B833_4D7B_A3C9_47AA2D6A0830_.wvu.FilterData" localSheetId="7" hidden="1">#REF!</definedName>
    <definedName name="Z_DD40B456_B833_4D7B_A3C9_47AA2D6A0830_.wvu.FilterData" localSheetId="23" hidden="1">#REF!</definedName>
    <definedName name="Z_DD40B456_B833_4D7B_A3C9_47AA2D6A0830_.wvu.FilterData" hidden="1">#REF!</definedName>
    <definedName name="Z_DDC9046D_2716_4CA3_9471_7091058B3C12_.wvu.FilterData" localSheetId="12" hidden="1">#REF!</definedName>
    <definedName name="Z_DDC9046D_2716_4CA3_9471_7091058B3C12_.wvu.FilterData" localSheetId="30" hidden="1">#REF!</definedName>
    <definedName name="Z_DDC9046D_2716_4CA3_9471_7091058B3C12_.wvu.FilterData" localSheetId="28" hidden="1">#REF!</definedName>
    <definedName name="Z_DDC9046D_2716_4CA3_9471_7091058B3C12_.wvu.FilterData" localSheetId="27" hidden="1">#REF!</definedName>
    <definedName name="Z_DDC9046D_2716_4CA3_9471_7091058B3C12_.wvu.FilterData" localSheetId="18" hidden="1">#REF!</definedName>
    <definedName name="Z_DDC9046D_2716_4CA3_9471_7091058B3C12_.wvu.FilterData" localSheetId="7" hidden="1">#REF!</definedName>
    <definedName name="Z_DDC9046D_2716_4CA3_9471_7091058B3C12_.wvu.FilterData" localSheetId="23" hidden="1">#REF!</definedName>
    <definedName name="Z_DDC9046D_2716_4CA3_9471_7091058B3C12_.wvu.FilterData" hidden="1">#REF!</definedName>
    <definedName name="Z_DF3B204A_F509_4DA0_BCB7_F89536B5FEBF_.wvu.FilterData" localSheetId="12" hidden="1">#REF!</definedName>
    <definedName name="Z_DF3B204A_F509_4DA0_BCB7_F89536B5FEBF_.wvu.FilterData" localSheetId="30" hidden="1">#REF!</definedName>
    <definedName name="Z_DF3B204A_F509_4DA0_BCB7_F89536B5FEBF_.wvu.FilterData" localSheetId="28" hidden="1">#REF!</definedName>
    <definedName name="Z_DF3B204A_F509_4DA0_BCB7_F89536B5FEBF_.wvu.FilterData" localSheetId="27" hidden="1">#REF!</definedName>
    <definedName name="Z_DF3B204A_F509_4DA0_BCB7_F89536B5FEBF_.wvu.FilterData" localSheetId="18" hidden="1">#REF!</definedName>
    <definedName name="Z_DF3B204A_F509_4DA0_BCB7_F89536B5FEBF_.wvu.FilterData" localSheetId="7" hidden="1">#REF!</definedName>
    <definedName name="Z_DF3B204A_F509_4DA0_BCB7_F89536B5FEBF_.wvu.FilterData" localSheetId="23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localSheetId="12" hidden="1">#REF!</definedName>
    <definedName name="Z_E3FFE9E0_6C4F_4FB4_A56E_FBE96871B5C8_.wvu.FilterData" localSheetId="30" hidden="1">#REF!</definedName>
    <definedName name="Z_E3FFE9E0_6C4F_4FB4_A56E_FBE96871B5C8_.wvu.FilterData" localSheetId="28" hidden="1">#REF!</definedName>
    <definedName name="Z_E3FFE9E0_6C4F_4FB4_A56E_FBE96871B5C8_.wvu.FilterData" localSheetId="27" hidden="1">#REF!</definedName>
    <definedName name="Z_E3FFE9E0_6C4F_4FB4_A56E_FBE96871B5C8_.wvu.FilterData" localSheetId="18" hidden="1">#REF!</definedName>
    <definedName name="Z_E3FFE9E0_6C4F_4FB4_A56E_FBE96871B5C8_.wvu.FilterData" localSheetId="7" hidden="1">#REF!</definedName>
    <definedName name="Z_E3FFE9E0_6C4F_4FB4_A56E_FBE96871B5C8_.wvu.FilterData" localSheetId="23" hidden="1">#REF!</definedName>
    <definedName name="Z_E3FFE9E0_6C4F_4FB4_A56E_FBE96871B5C8_.wvu.FilterData" hidden="1">#REF!</definedName>
    <definedName name="Z_E42D429F_E4E8_41D2_9176_83C726BAF8E3_.wvu.FilterData" localSheetId="12" hidden="1">#REF!</definedName>
    <definedName name="Z_E42D429F_E4E8_41D2_9176_83C726BAF8E3_.wvu.FilterData" localSheetId="30" hidden="1">#REF!</definedName>
    <definedName name="Z_E42D429F_E4E8_41D2_9176_83C726BAF8E3_.wvu.FilterData" localSheetId="28" hidden="1">#REF!</definedName>
    <definedName name="Z_E42D429F_E4E8_41D2_9176_83C726BAF8E3_.wvu.FilterData" localSheetId="27" hidden="1">#REF!</definedName>
    <definedName name="Z_E42D429F_E4E8_41D2_9176_83C726BAF8E3_.wvu.FilterData" localSheetId="18" hidden="1">#REF!</definedName>
    <definedName name="Z_E42D429F_E4E8_41D2_9176_83C726BAF8E3_.wvu.FilterData" localSheetId="7" hidden="1">#REF!</definedName>
    <definedName name="Z_E42D429F_E4E8_41D2_9176_83C726BAF8E3_.wvu.FilterData" localSheetId="23" hidden="1">#REF!</definedName>
    <definedName name="Z_E42D429F_E4E8_41D2_9176_83C726BAF8E3_.wvu.FilterData" hidden="1">#REF!</definedName>
    <definedName name="Z_E491B72F_902A_11D7_9C1E_0004231B06E7_.wvu.FilterData" localSheetId="12" hidden="1">#REF!</definedName>
    <definedName name="Z_E491B72F_902A_11D7_9C1E_0004231B06E7_.wvu.FilterData" localSheetId="30" hidden="1">#REF!</definedName>
    <definedName name="Z_E491B72F_902A_11D7_9C1E_0004231B06E7_.wvu.FilterData" localSheetId="28" hidden="1">#REF!</definedName>
    <definedName name="Z_E491B72F_902A_11D7_9C1E_0004231B06E7_.wvu.FilterData" localSheetId="27" hidden="1">#REF!</definedName>
    <definedName name="Z_E491B72F_902A_11D7_9C1E_0004231B06E7_.wvu.FilterData" localSheetId="18" hidden="1">#REF!</definedName>
    <definedName name="Z_E491B72F_902A_11D7_9C1E_0004231B06E7_.wvu.FilterData" localSheetId="7" hidden="1">#REF!</definedName>
    <definedName name="Z_E491B72F_902A_11D7_9C1E_0004231B06E7_.wvu.FilterData" localSheetId="23" hidden="1">#REF!</definedName>
    <definedName name="Z_E491B72F_902A_11D7_9C1E_0004231B06E7_.wvu.FilterData" hidden="1">#REF!</definedName>
    <definedName name="Z_E491B77E_902A_11D7_9C1E_0004231B06E7_.wvu.FilterData" localSheetId="12" hidden="1">#REF!</definedName>
    <definedName name="Z_E491B77E_902A_11D7_9C1E_0004231B06E7_.wvu.FilterData" localSheetId="30" hidden="1">#REF!</definedName>
    <definedName name="Z_E491B77E_902A_11D7_9C1E_0004231B06E7_.wvu.FilterData" localSheetId="28" hidden="1">#REF!</definedName>
    <definedName name="Z_E491B77E_902A_11D7_9C1E_0004231B06E7_.wvu.FilterData" localSheetId="27" hidden="1">#REF!</definedName>
    <definedName name="Z_E491B77E_902A_11D7_9C1E_0004231B06E7_.wvu.FilterData" localSheetId="18" hidden="1">#REF!</definedName>
    <definedName name="Z_E491B77E_902A_11D7_9C1E_0004231B06E7_.wvu.FilterData" localSheetId="7" hidden="1">#REF!</definedName>
    <definedName name="Z_E491B77E_902A_11D7_9C1E_0004231B06E7_.wvu.FilterData" localSheetId="23" hidden="1">#REF!</definedName>
    <definedName name="Z_E491B77E_902A_11D7_9C1E_0004231B06E7_.wvu.FilterData" hidden="1">#REF!</definedName>
    <definedName name="Z_E4A534A8_CD89_4423_9F3F_8134353F3CAC_.wvu.FilterData" localSheetId="12" hidden="1">#REF!</definedName>
    <definedName name="Z_E4A534A8_CD89_4423_9F3F_8134353F3CAC_.wvu.FilterData" localSheetId="30" hidden="1">#REF!</definedName>
    <definedName name="Z_E4A534A8_CD89_4423_9F3F_8134353F3CAC_.wvu.FilterData" localSheetId="28" hidden="1">#REF!</definedName>
    <definedName name="Z_E4A534A8_CD89_4423_9F3F_8134353F3CAC_.wvu.FilterData" localSheetId="27" hidden="1">#REF!</definedName>
    <definedName name="Z_E4A534A8_CD89_4423_9F3F_8134353F3CAC_.wvu.FilterData" localSheetId="18" hidden="1">#REF!</definedName>
    <definedName name="Z_E4A534A8_CD89_4423_9F3F_8134353F3CAC_.wvu.FilterData" localSheetId="7" hidden="1">#REF!</definedName>
    <definedName name="Z_E4A534A8_CD89_4423_9F3F_8134353F3CAC_.wvu.FilterData" localSheetId="23" hidden="1">#REF!</definedName>
    <definedName name="Z_E4A534A8_CD89_4423_9F3F_8134353F3CAC_.wvu.FilterData" hidden="1">#REF!</definedName>
    <definedName name="Z_E4E1532E_DC25_47E7_8CAC_8E70342889F1_.wvu.FilterData" localSheetId="12" hidden="1">#REF!</definedName>
    <definedName name="Z_E4E1532E_DC25_47E7_8CAC_8E70342889F1_.wvu.FilterData" localSheetId="30" hidden="1">#REF!</definedName>
    <definedName name="Z_E4E1532E_DC25_47E7_8CAC_8E70342889F1_.wvu.FilterData" localSheetId="28" hidden="1">#REF!</definedName>
    <definedName name="Z_E4E1532E_DC25_47E7_8CAC_8E70342889F1_.wvu.FilterData" localSheetId="27" hidden="1">#REF!</definedName>
    <definedName name="Z_E4E1532E_DC25_47E7_8CAC_8E70342889F1_.wvu.FilterData" localSheetId="18" hidden="1">#REF!</definedName>
    <definedName name="Z_E4E1532E_DC25_47E7_8CAC_8E70342889F1_.wvu.FilterData" localSheetId="7" hidden="1">#REF!</definedName>
    <definedName name="Z_E4E1532E_DC25_47E7_8CAC_8E70342889F1_.wvu.FilterData" localSheetId="23" hidden="1">#REF!</definedName>
    <definedName name="Z_E4E1532E_DC25_47E7_8CAC_8E70342889F1_.wvu.FilterData" hidden="1">#REF!</definedName>
    <definedName name="Z_E74731A0_5CEF_4B97_AFDD_B1DCA3953478_.wvu.FilterData" localSheetId="12" hidden="1">#REF!</definedName>
    <definedName name="Z_E74731A0_5CEF_4B97_AFDD_B1DCA3953478_.wvu.FilterData" localSheetId="30" hidden="1">#REF!</definedName>
    <definedName name="Z_E74731A0_5CEF_4B97_AFDD_B1DCA3953478_.wvu.FilterData" localSheetId="28" hidden="1">#REF!</definedName>
    <definedName name="Z_E74731A0_5CEF_4B97_AFDD_B1DCA3953478_.wvu.FilterData" localSheetId="27" hidden="1">#REF!</definedName>
    <definedName name="Z_E74731A0_5CEF_4B97_AFDD_B1DCA3953478_.wvu.FilterData" localSheetId="18" hidden="1">#REF!</definedName>
    <definedName name="Z_E74731A0_5CEF_4B97_AFDD_B1DCA3953478_.wvu.FilterData" localSheetId="7" hidden="1">#REF!</definedName>
    <definedName name="Z_E74731A0_5CEF_4B97_AFDD_B1DCA3953478_.wvu.FilterData" localSheetId="23" hidden="1">#REF!</definedName>
    <definedName name="Z_E74731A0_5CEF_4B97_AFDD_B1DCA3953478_.wvu.FilterData" hidden="1">#REF!</definedName>
    <definedName name="Z_E7582842_0D7F_4174_A223_2AB1DD8C9047_.wvu.FilterData" localSheetId="12" hidden="1">#REF!</definedName>
    <definedName name="Z_E7582842_0D7F_4174_A223_2AB1DD8C9047_.wvu.FilterData" localSheetId="30" hidden="1">#REF!</definedName>
    <definedName name="Z_E7582842_0D7F_4174_A223_2AB1DD8C9047_.wvu.FilterData" localSheetId="28" hidden="1">#REF!</definedName>
    <definedName name="Z_E7582842_0D7F_4174_A223_2AB1DD8C9047_.wvu.FilterData" localSheetId="27" hidden="1">#REF!</definedName>
    <definedName name="Z_E7582842_0D7F_4174_A223_2AB1DD8C9047_.wvu.FilterData" localSheetId="18" hidden="1">#REF!</definedName>
    <definedName name="Z_E7582842_0D7F_4174_A223_2AB1DD8C9047_.wvu.FilterData" localSheetId="7" hidden="1">#REF!</definedName>
    <definedName name="Z_E7582842_0D7F_4174_A223_2AB1DD8C9047_.wvu.FilterData" localSheetId="23" hidden="1">#REF!</definedName>
    <definedName name="Z_E7582842_0D7F_4174_A223_2AB1DD8C9047_.wvu.FilterData" hidden="1">#REF!</definedName>
    <definedName name="Z_E7E3B215_0D2B_424B_B9A9_091ABF42A9B2_.wvu.FilterData" localSheetId="12" hidden="1">#REF!</definedName>
    <definedName name="Z_E7E3B215_0D2B_424B_B9A9_091ABF42A9B2_.wvu.FilterData" localSheetId="30" hidden="1">#REF!</definedName>
    <definedName name="Z_E7E3B215_0D2B_424B_B9A9_091ABF42A9B2_.wvu.FilterData" localSheetId="28" hidden="1">#REF!</definedName>
    <definedName name="Z_E7E3B215_0D2B_424B_B9A9_091ABF42A9B2_.wvu.FilterData" localSheetId="27" hidden="1">#REF!</definedName>
    <definedName name="Z_E7E3B215_0D2B_424B_B9A9_091ABF42A9B2_.wvu.FilterData" localSheetId="18" hidden="1">#REF!</definedName>
    <definedName name="Z_E7E3B215_0D2B_424B_B9A9_091ABF42A9B2_.wvu.FilterData" localSheetId="7" hidden="1">#REF!</definedName>
    <definedName name="Z_E7E3B215_0D2B_424B_B9A9_091ABF42A9B2_.wvu.FilterData" localSheetId="23" hidden="1">#REF!</definedName>
    <definedName name="Z_E7E3B215_0D2B_424B_B9A9_091ABF42A9B2_.wvu.FilterData" hidden="1">#REF!</definedName>
    <definedName name="Z_E833D806_B408_4951_8EA0_84873DD98CC6_.wvu.FilterData" localSheetId="12" hidden="1">#REF!</definedName>
    <definedName name="Z_E833D806_B408_4951_8EA0_84873DD98CC6_.wvu.FilterData" localSheetId="30" hidden="1">#REF!</definedName>
    <definedName name="Z_E833D806_B408_4951_8EA0_84873DD98CC6_.wvu.FilterData" localSheetId="28" hidden="1">#REF!</definedName>
    <definedName name="Z_E833D806_B408_4951_8EA0_84873DD98CC6_.wvu.FilterData" localSheetId="27" hidden="1">#REF!</definedName>
    <definedName name="Z_E833D806_B408_4951_8EA0_84873DD98CC6_.wvu.FilterData" localSheetId="18" hidden="1">#REF!</definedName>
    <definedName name="Z_E833D806_B408_4951_8EA0_84873DD98CC6_.wvu.FilterData" localSheetId="7" hidden="1">#REF!</definedName>
    <definedName name="Z_E833D806_B408_4951_8EA0_84873DD98CC6_.wvu.FilterData" localSheetId="23" hidden="1">#REF!</definedName>
    <definedName name="Z_E833D806_B408_4951_8EA0_84873DD98CC6_.wvu.FilterData" hidden="1">#REF!</definedName>
    <definedName name="Z_E84FA520_D8B7_472A_9913_1B62E15D532D_.wvu.FilterData" localSheetId="12" hidden="1">#REF!</definedName>
    <definedName name="Z_E84FA520_D8B7_472A_9913_1B62E15D532D_.wvu.FilterData" localSheetId="30" hidden="1">#REF!</definedName>
    <definedName name="Z_E84FA520_D8B7_472A_9913_1B62E15D532D_.wvu.FilterData" localSheetId="28" hidden="1">#REF!</definedName>
    <definedName name="Z_E84FA520_D8B7_472A_9913_1B62E15D532D_.wvu.FilterData" localSheetId="27" hidden="1">#REF!</definedName>
    <definedName name="Z_E84FA520_D8B7_472A_9913_1B62E15D532D_.wvu.FilterData" localSheetId="18" hidden="1">#REF!</definedName>
    <definedName name="Z_E84FA520_D8B7_472A_9913_1B62E15D532D_.wvu.FilterData" localSheetId="7" hidden="1">#REF!</definedName>
    <definedName name="Z_E84FA520_D8B7_472A_9913_1B62E15D532D_.wvu.FilterData" localSheetId="23" hidden="1">#REF!</definedName>
    <definedName name="Z_E84FA520_D8B7_472A_9913_1B62E15D532D_.wvu.FilterData" hidden="1">#REF!</definedName>
    <definedName name="Z_E856A7FB_F0DE_4CE8_85BE_FBD78193AF0B_.wvu.FilterData" localSheetId="12" hidden="1">#REF!</definedName>
    <definedName name="Z_E856A7FB_F0DE_4CE8_85BE_FBD78193AF0B_.wvu.FilterData" localSheetId="30" hidden="1">#REF!</definedName>
    <definedName name="Z_E856A7FB_F0DE_4CE8_85BE_FBD78193AF0B_.wvu.FilterData" localSheetId="28" hidden="1">#REF!</definedName>
    <definedName name="Z_E856A7FB_F0DE_4CE8_85BE_FBD78193AF0B_.wvu.FilterData" localSheetId="27" hidden="1">#REF!</definedName>
    <definedName name="Z_E856A7FB_F0DE_4CE8_85BE_FBD78193AF0B_.wvu.FilterData" localSheetId="18" hidden="1">#REF!</definedName>
    <definedName name="Z_E856A7FB_F0DE_4CE8_85BE_FBD78193AF0B_.wvu.FilterData" localSheetId="7" hidden="1">#REF!</definedName>
    <definedName name="Z_E856A7FB_F0DE_4CE8_85BE_FBD78193AF0B_.wvu.FilterData" localSheetId="23" hidden="1">#REF!</definedName>
    <definedName name="Z_E856A7FB_F0DE_4CE8_85BE_FBD78193AF0B_.wvu.FilterData" hidden="1">#REF!</definedName>
    <definedName name="Z_E8B81FC8_C17A_451A_B505_641DE5886245_.wvu.FilterData" localSheetId="12" hidden="1">#REF!</definedName>
    <definedName name="Z_E8B81FC8_C17A_451A_B505_641DE5886245_.wvu.FilterData" localSheetId="30" hidden="1">#REF!</definedName>
    <definedName name="Z_E8B81FC8_C17A_451A_B505_641DE5886245_.wvu.FilterData" localSheetId="28" hidden="1">#REF!</definedName>
    <definedName name="Z_E8B81FC8_C17A_451A_B505_641DE5886245_.wvu.FilterData" localSheetId="27" hidden="1">#REF!</definedName>
    <definedName name="Z_E8B81FC8_C17A_451A_B505_641DE5886245_.wvu.FilterData" localSheetId="18" hidden="1">#REF!</definedName>
    <definedName name="Z_E8B81FC8_C17A_451A_B505_641DE5886245_.wvu.FilterData" localSheetId="7" hidden="1">#REF!</definedName>
    <definedName name="Z_E8B81FC8_C17A_451A_B505_641DE5886245_.wvu.FilterData" localSheetId="23" hidden="1">#REF!</definedName>
    <definedName name="Z_E8B81FC8_C17A_451A_B505_641DE5886245_.wvu.FilterData" hidden="1">#REF!</definedName>
    <definedName name="Z_EA900FC6_5EC3_4E18_9ED9_37FAC8862A4C_.wvu.FilterData" localSheetId="12" hidden="1">#REF!</definedName>
    <definedName name="Z_EA900FC6_5EC3_4E18_9ED9_37FAC8862A4C_.wvu.FilterData" localSheetId="30" hidden="1">#REF!</definedName>
    <definedName name="Z_EA900FC6_5EC3_4E18_9ED9_37FAC8862A4C_.wvu.FilterData" localSheetId="28" hidden="1">#REF!</definedName>
    <definedName name="Z_EA900FC6_5EC3_4E18_9ED9_37FAC8862A4C_.wvu.FilterData" localSheetId="27" hidden="1">#REF!</definedName>
    <definedName name="Z_EA900FC6_5EC3_4E18_9ED9_37FAC8862A4C_.wvu.FilterData" localSheetId="18" hidden="1">#REF!</definedName>
    <definedName name="Z_EA900FC6_5EC3_4E18_9ED9_37FAC8862A4C_.wvu.FilterData" localSheetId="7" hidden="1">#REF!</definedName>
    <definedName name="Z_EA900FC6_5EC3_4E18_9ED9_37FAC8862A4C_.wvu.FilterData" localSheetId="23" hidden="1">#REF!</definedName>
    <definedName name="Z_EA900FC6_5EC3_4E18_9ED9_37FAC8862A4C_.wvu.FilterData" hidden="1">#REF!</definedName>
    <definedName name="Z_EC12F0CE_807C_4CF2_B52D_1E5945238C05_.wvu.FilterData" localSheetId="12" hidden="1">#REF!</definedName>
    <definedName name="Z_EC12F0CE_807C_4CF2_B52D_1E5945238C05_.wvu.FilterData" localSheetId="30" hidden="1">#REF!</definedName>
    <definedName name="Z_EC12F0CE_807C_4CF2_B52D_1E5945238C05_.wvu.FilterData" localSheetId="28" hidden="1">#REF!</definedName>
    <definedName name="Z_EC12F0CE_807C_4CF2_B52D_1E5945238C05_.wvu.FilterData" localSheetId="27" hidden="1">#REF!</definedName>
    <definedName name="Z_EC12F0CE_807C_4CF2_B52D_1E5945238C05_.wvu.FilterData" localSheetId="18" hidden="1">#REF!</definedName>
    <definedName name="Z_EC12F0CE_807C_4CF2_B52D_1E5945238C05_.wvu.FilterData" localSheetId="7" hidden="1">#REF!</definedName>
    <definedName name="Z_EC12F0CE_807C_4CF2_B52D_1E5945238C05_.wvu.FilterData" localSheetId="23" hidden="1">#REF!</definedName>
    <definedName name="Z_EC12F0CE_807C_4CF2_B52D_1E5945238C05_.wvu.FilterData" hidden="1">#REF!</definedName>
    <definedName name="Z_EC74CDC8_4C91_4C55_BE9F_24DF0A9793FF_.wvu.FilterData" localSheetId="12" hidden="1">#REF!</definedName>
    <definedName name="Z_EC74CDC8_4C91_4C55_BE9F_24DF0A9793FF_.wvu.FilterData" localSheetId="30" hidden="1">#REF!</definedName>
    <definedName name="Z_EC74CDC8_4C91_4C55_BE9F_24DF0A9793FF_.wvu.FilterData" localSheetId="28" hidden="1">#REF!</definedName>
    <definedName name="Z_EC74CDC8_4C91_4C55_BE9F_24DF0A9793FF_.wvu.FilterData" localSheetId="27" hidden="1">#REF!</definedName>
    <definedName name="Z_EC74CDC8_4C91_4C55_BE9F_24DF0A9793FF_.wvu.FilterData" localSheetId="18" hidden="1">#REF!</definedName>
    <definedName name="Z_EC74CDC8_4C91_4C55_BE9F_24DF0A9793FF_.wvu.FilterData" localSheetId="7" hidden="1">#REF!</definedName>
    <definedName name="Z_EC74CDC8_4C91_4C55_BE9F_24DF0A9793FF_.wvu.FilterData" localSheetId="23" hidden="1">#REF!</definedName>
    <definedName name="Z_EC74CDC8_4C91_4C55_BE9F_24DF0A9793FF_.wvu.FilterData" hidden="1">#REF!</definedName>
    <definedName name="Z_ED3E33DB_FBFA_4FDE_929F_AD12074101A3_.wvu.FilterData" localSheetId="12" hidden="1">#REF!</definedName>
    <definedName name="Z_ED3E33DB_FBFA_4FDE_929F_AD12074101A3_.wvu.FilterData" localSheetId="30" hidden="1">#REF!</definedName>
    <definedName name="Z_ED3E33DB_FBFA_4FDE_929F_AD12074101A3_.wvu.FilterData" localSheetId="28" hidden="1">#REF!</definedName>
    <definedName name="Z_ED3E33DB_FBFA_4FDE_929F_AD12074101A3_.wvu.FilterData" localSheetId="27" hidden="1">#REF!</definedName>
    <definedName name="Z_ED3E33DB_FBFA_4FDE_929F_AD12074101A3_.wvu.FilterData" localSheetId="18" hidden="1">#REF!</definedName>
    <definedName name="Z_ED3E33DB_FBFA_4FDE_929F_AD12074101A3_.wvu.FilterData" localSheetId="7" hidden="1">#REF!</definedName>
    <definedName name="Z_ED3E33DB_FBFA_4FDE_929F_AD12074101A3_.wvu.FilterData" localSheetId="23" hidden="1">#REF!</definedName>
    <definedName name="Z_ED3E33DB_FBFA_4FDE_929F_AD12074101A3_.wvu.FilterData" hidden="1">#REF!</definedName>
    <definedName name="Z_EE21DFC7_81AA_40DA_B313_9BC83DA41DD6_.wvu.FilterData" localSheetId="12" hidden="1">#REF!</definedName>
    <definedName name="Z_EE21DFC7_81AA_40DA_B313_9BC83DA41DD6_.wvu.FilterData" localSheetId="30" hidden="1">#REF!</definedName>
    <definedName name="Z_EE21DFC7_81AA_40DA_B313_9BC83DA41DD6_.wvu.FilterData" localSheetId="28" hidden="1">#REF!</definedName>
    <definedName name="Z_EE21DFC7_81AA_40DA_B313_9BC83DA41DD6_.wvu.FilterData" localSheetId="27" hidden="1">#REF!</definedName>
    <definedName name="Z_EE21DFC7_81AA_40DA_B313_9BC83DA41DD6_.wvu.FilterData" localSheetId="18" hidden="1">#REF!</definedName>
    <definedName name="Z_EE21DFC7_81AA_40DA_B313_9BC83DA41DD6_.wvu.FilterData" localSheetId="7" hidden="1">#REF!</definedName>
    <definedName name="Z_EE21DFC7_81AA_40DA_B313_9BC83DA41DD6_.wvu.FilterData" localSheetId="23" hidden="1">#REF!</definedName>
    <definedName name="Z_EE21DFC7_81AA_40DA_B313_9BC83DA41DD6_.wvu.FilterData" hidden="1">#REF!</definedName>
    <definedName name="Z_EE5311D7_3149_40F1_82F5_7EEC6ACB6C85_.wvu.FilterData" localSheetId="12" hidden="1">#REF!</definedName>
    <definedName name="Z_EE5311D7_3149_40F1_82F5_7EEC6ACB6C85_.wvu.FilterData" localSheetId="30" hidden="1">#REF!</definedName>
    <definedName name="Z_EE5311D7_3149_40F1_82F5_7EEC6ACB6C85_.wvu.FilterData" localSheetId="28" hidden="1">#REF!</definedName>
    <definedName name="Z_EE5311D7_3149_40F1_82F5_7EEC6ACB6C85_.wvu.FilterData" localSheetId="27" hidden="1">#REF!</definedName>
    <definedName name="Z_EE5311D7_3149_40F1_82F5_7EEC6ACB6C85_.wvu.FilterData" localSheetId="18" hidden="1">#REF!</definedName>
    <definedName name="Z_EE5311D7_3149_40F1_82F5_7EEC6ACB6C85_.wvu.FilterData" localSheetId="7" hidden="1">#REF!</definedName>
    <definedName name="Z_EE5311D7_3149_40F1_82F5_7EEC6ACB6C85_.wvu.FilterData" localSheetId="23" hidden="1">#REF!</definedName>
    <definedName name="Z_EE5311D7_3149_40F1_82F5_7EEC6ACB6C85_.wvu.FilterData" hidden="1">#REF!</definedName>
    <definedName name="Z_EEE8CD21_C3A5_4786_B8BE_B9E68F0A5347_.wvu.FilterData" localSheetId="12" hidden="1">#REF!</definedName>
    <definedName name="Z_EEE8CD21_C3A5_4786_B8BE_B9E68F0A5347_.wvu.FilterData" localSheetId="30" hidden="1">#REF!</definedName>
    <definedName name="Z_EEE8CD21_C3A5_4786_B8BE_B9E68F0A5347_.wvu.FilterData" localSheetId="28" hidden="1">#REF!</definedName>
    <definedName name="Z_EEE8CD21_C3A5_4786_B8BE_B9E68F0A5347_.wvu.FilterData" localSheetId="27" hidden="1">#REF!</definedName>
    <definedName name="Z_EEE8CD21_C3A5_4786_B8BE_B9E68F0A5347_.wvu.FilterData" localSheetId="18" hidden="1">#REF!</definedName>
    <definedName name="Z_EEE8CD21_C3A5_4786_B8BE_B9E68F0A5347_.wvu.FilterData" localSheetId="7" hidden="1">#REF!</definedName>
    <definedName name="Z_EEE8CD21_C3A5_4786_B8BE_B9E68F0A5347_.wvu.FilterData" localSheetId="23" hidden="1">#REF!</definedName>
    <definedName name="Z_EEE8CD21_C3A5_4786_B8BE_B9E68F0A5347_.wvu.FilterData" hidden="1">#REF!</definedName>
    <definedName name="Z_F0522591_4E2E_4AD6_B99B_B69551272A68_.wvu.FilterData" localSheetId="12" hidden="1">#REF!</definedName>
    <definedName name="Z_F0522591_4E2E_4AD6_B99B_B69551272A68_.wvu.FilterData" localSheetId="30" hidden="1">#REF!</definedName>
    <definedName name="Z_F0522591_4E2E_4AD6_B99B_B69551272A68_.wvu.FilterData" localSheetId="28" hidden="1">#REF!</definedName>
    <definedName name="Z_F0522591_4E2E_4AD6_B99B_B69551272A68_.wvu.FilterData" localSheetId="27" hidden="1">#REF!</definedName>
    <definedName name="Z_F0522591_4E2E_4AD6_B99B_B69551272A68_.wvu.FilterData" localSheetId="18" hidden="1">#REF!</definedName>
    <definedName name="Z_F0522591_4E2E_4AD6_B99B_B69551272A68_.wvu.FilterData" localSheetId="7" hidden="1">#REF!</definedName>
    <definedName name="Z_F0522591_4E2E_4AD6_B99B_B69551272A68_.wvu.FilterData" localSheetId="23" hidden="1">#REF!</definedName>
    <definedName name="Z_F0522591_4E2E_4AD6_B99B_B69551272A68_.wvu.FilterData" hidden="1">#REF!</definedName>
    <definedName name="Z_F1326E0B_5376_4D6E_9BC8_214AA525DE83_.wvu.FilterData" localSheetId="12" hidden="1">#REF!</definedName>
    <definedName name="Z_F1326E0B_5376_4D6E_9BC8_214AA525DE83_.wvu.FilterData" localSheetId="30" hidden="1">#REF!</definedName>
    <definedName name="Z_F1326E0B_5376_4D6E_9BC8_214AA525DE83_.wvu.FilterData" localSheetId="28" hidden="1">#REF!</definedName>
    <definedName name="Z_F1326E0B_5376_4D6E_9BC8_214AA525DE83_.wvu.FilterData" localSheetId="27" hidden="1">#REF!</definedName>
    <definedName name="Z_F1326E0B_5376_4D6E_9BC8_214AA525DE83_.wvu.FilterData" localSheetId="18" hidden="1">#REF!</definedName>
    <definedName name="Z_F1326E0B_5376_4D6E_9BC8_214AA525DE83_.wvu.FilterData" localSheetId="7" hidden="1">#REF!</definedName>
    <definedName name="Z_F1326E0B_5376_4D6E_9BC8_214AA525DE83_.wvu.FilterData" localSheetId="23" hidden="1">#REF!</definedName>
    <definedName name="Z_F1326E0B_5376_4D6E_9BC8_214AA525DE83_.wvu.FilterData" hidden="1">#REF!</definedName>
    <definedName name="Z_F2145668_4090_4220_8C3C_9C4DCC7A01D1_.wvu.Cols" localSheetId="12" hidden="1">#REF!</definedName>
    <definedName name="Z_F2145668_4090_4220_8C3C_9C4DCC7A01D1_.wvu.Cols" localSheetId="30" hidden="1">#REF!</definedName>
    <definedName name="Z_F2145668_4090_4220_8C3C_9C4DCC7A01D1_.wvu.Cols" localSheetId="28" hidden="1">#REF!</definedName>
    <definedName name="Z_F2145668_4090_4220_8C3C_9C4DCC7A01D1_.wvu.Cols" localSheetId="27" hidden="1">#REF!</definedName>
    <definedName name="Z_F2145668_4090_4220_8C3C_9C4DCC7A01D1_.wvu.Cols" localSheetId="18" hidden="1">#REF!</definedName>
    <definedName name="Z_F2145668_4090_4220_8C3C_9C4DCC7A01D1_.wvu.Cols" localSheetId="7" hidden="1">#REF!</definedName>
    <definedName name="Z_F2145668_4090_4220_8C3C_9C4DCC7A01D1_.wvu.Cols" localSheetId="23" hidden="1">#REF!</definedName>
    <definedName name="Z_F2145668_4090_4220_8C3C_9C4DCC7A01D1_.wvu.Cols" hidden="1">#REF!</definedName>
    <definedName name="Z_F2145668_4090_4220_8C3C_9C4DCC7A01D1_.wvu.FilterData" localSheetId="12" hidden="1">#REF!</definedName>
    <definedName name="Z_F2145668_4090_4220_8C3C_9C4DCC7A01D1_.wvu.FilterData" localSheetId="30" hidden="1">#REF!</definedName>
    <definedName name="Z_F2145668_4090_4220_8C3C_9C4DCC7A01D1_.wvu.FilterData" localSheetId="28" hidden="1">#REF!</definedName>
    <definedName name="Z_F2145668_4090_4220_8C3C_9C4DCC7A01D1_.wvu.FilterData" localSheetId="27" hidden="1">#REF!</definedName>
    <definedName name="Z_F2145668_4090_4220_8C3C_9C4DCC7A01D1_.wvu.FilterData" localSheetId="18" hidden="1">#REF!</definedName>
    <definedName name="Z_F2145668_4090_4220_8C3C_9C4DCC7A01D1_.wvu.FilterData" localSheetId="7" hidden="1">#REF!</definedName>
    <definedName name="Z_F2145668_4090_4220_8C3C_9C4DCC7A01D1_.wvu.FilterData" localSheetId="23" hidden="1">#REF!</definedName>
    <definedName name="Z_F2145668_4090_4220_8C3C_9C4DCC7A01D1_.wvu.FilterData" hidden="1">#REF!</definedName>
    <definedName name="Z_F300E2D5_C458_4E4B_AB71_FF06367EF684_.wvu.FilterData" localSheetId="12" hidden="1">#REF!</definedName>
    <definedName name="Z_F300E2D5_C458_4E4B_AB71_FF06367EF684_.wvu.FilterData" localSheetId="30" hidden="1">#REF!</definedName>
    <definedName name="Z_F300E2D5_C458_4E4B_AB71_FF06367EF684_.wvu.FilterData" localSheetId="28" hidden="1">#REF!</definedName>
    <definedName name="Z_F300E2D5_C458_4E4B_AB71_FF06367EF684_.wvu.FilterData" localSheetId="27" hidden="1">#REF!</definedName>
    <definedName name="Z_F300E2D5_C458_4E4B_AB71_FF06367EF684_.wvu.FilterData" localSheetId="18" hidden="1">#REF!</definedName>
    <definedName name="Z_F300E2D5_C458_4E4B_AB71_FF06367EF684_.wvu.FilterData" localSheetId="7" hidden="1">#REF!</definedName>
    <definedName name="Z_F300E2D5_C458_4E4B_AB71_FF06367EF684_.wvu.FilterData" localSheetId="23" hidden="1">#REF!</definedName>
    <definedName name="Z_F300E2D5_C458_4E4B_AB71_FF06367EF684_.wvu.FilterData" hidden="1">#REF!</definedName>
    <definedName name="Z_F3F443DB_8EE1_48F9_9BF4_EAF21EDD719F_.wvu.FilterData" localSheetId="12" hidden="1">#REF!</definedName>
    <definedName name="Z_F3F443DB_8EE1_48F9_9BF4_EAF21EDD719F_.wvu.FilterData" localSheetId="30" hidden="1">#REF!</definedName>
    <definedName name="Z_F3F443DB_8EE1_48F9_9BF4_EAF21EDD719F_.wvu.FilterData" localSheetId="28" hidden="1">#REF!</definedName>
    <definedName name="Z_F3F443DB_8EE1_48F9_9BF4_EAF21EDD719F_.wvu.FilterData" localSheetId="27" hidden="1">#REF!</definedName>
    <definedName name="Z_F3F443DB_8EE1_48F9_9BF4_EAF21EDD719F_.wvu.FilterData" localSheetId="18" hidden="1">#REF!</definedName>
    <definedName name="Z_F3F443DB_8EE1_48F9_9BF4_EAF21EDD719F_.wvu.FilterData" localSheetId="7" hidden="1">#REF!</definedName>
    <definedName name="Z_F3F443DB_8EE1_48F9_9BF4_EAF21EDD719F_.wvu.FilterData" localSheetId="23" hidden="1">#REF!</definedName>
    <definedName name="Z_F3F443DB_8EE1_48F9_9BF4_EAF21EDD719F_.wvu.FilterData" hidden="1">#REF!</definedName>
    <definedName name="Z_F6923408_DB58_4A59_8717_D0133A922204_.wvu.FilterData" localSheetId="12" hidden="1">#REF!</definedName>
    <definedName name="Z_F6923408_DB58_4A59_8717_D0133A922204_.wvu.FilterData" localSheetId="30" hidden="1">#REF!</definedName>
    <definedName name="Z_F6923408_DB58_4A59_8717_D0133A922204_.wvu.FilterData" localSheetId="28" hidden="1">#REF!</definedName>
    <definedName name="Z_F6923408_DB58_4A59_8717_D0133A922204_.wvu.FilterData" localSheetId="27" hidden="1">#REF!</definedName>
    <definedName name="Z_F6923408_DB58_4A59_8717_D0133A922204_.wvu.FilterData" localSheetId="18" hidden="1">#REF!</definedName>
    <definedName name="Z_F6923408_DB58_4A59_8717_D0133A922204_.wvu.FilterData" localSheetId="7" hidden="1">#REF!</definedName>
    <definedName name="Z_F6923408_DB58_4A59_8717_D0133A922204_.wvu.FilterData" localSheetId="23" hidden="1">#REF!</definedName>
    <definedName name="Z_F6923408_DB58_4A59_8717_D0133A922204_.wvu.FilterData" hidden="1">#REF!</definedName>
    <definedName name="Z_F9CB3A99_6D24_412C_93C4_575819594890_.wvu.FilterData" localSheetId="12" hidden="1">#REF!</definedName>
    <definedName name="Z_F9CB3A99_6D24_412C_93C4_575819594890_.wvu.FilterData" localSheetId="30" hidden="1">#REF!</definedName>
    <definedName name="Z_F9CB3A99_6D24_412C_93C4_575819594890_.wvu.FilterData" localSheetId="28" hidden="1">#REF!</definedName>
    <definedName name="Z_F9CB3A99_6D24_412C_93C4_575819594890_.wvu.FilterData" localSheetId="27" hidden="1">#REF!</definedName>
    <definedName name="Z_F9CB3A99_6D24_412C_93C4_575819594890_.wvu.FilterData" localSheetId="18" hidden="1">#REF!</definedName>
    <definedName name="Z_F9CB3A99_6D24_412C_93C4_575819594890_.wvu.FilterData" localSheetId="7" hidden="1">#REF!</definedName>
    <definedName name="Z_F9CB3A99_6D24_412C_93C4_575819594890_.wvu.FilterData" localSheetId="23" hidden="1">#REF!</definedName>
    <definedName name="Z_F9CB3A99_6D24_412C_93C4_575819594890_.wvu.FilterData" hidden="1">#REF!</definedName>
    <definedName name="Z_FA40CB26_17FE_4901_96A4_2176E8FA5EEE_.wvu.FilterData" localSheetId="12" hidden="1">#REF!</definedName>
    <definedName name="Z_FA40CB26_17FE_4901_96A4_2176E8FA5EEE_.wvu.FilterData" localSheetId="30" hidden="1">#REF!</definedName>
    <definedName name="Z_FA40CB26_17FE_4901_96A4_2176E8FA5EEE_.wvu.FilterData" localSheetId="28" hidden="1">#REF!</definedName>
    <definedName name="Z_FA40CB26_17FE_4901_96A4_2176E8FA5EEE_.wvu.FilterData" localSheetId="27" hidden="1">#REF!</definedName>
    <definedName name="Z_FA40CB26_17FE_4901_96A4_2176E8FA5EEE_.wvu.FilterData" localSheetId="18" hidden="1">#REF!</definedName>
    <definedName name="Z_FA40CB26_17FE_4901_96A4_2176E8FA5EEE_.wvu.FilterData" localSheetId="7" hidden="1">#REF!</definedName>
    <definedName name="Z_FA40CB26_17FE_4901_96A4_2176E8FA5EEE_.wvu.FilterData" localSheetId="23" hidden="1">#REF!</definedName>
    <definedName name="Z_FA40CB26_17FE_4901_96A4_2176E8FA5EEE_.wvu.FilterData" hidden="1">#REF!</definedName>
    <definedName name="Z_FC4D1412_4B52_4393_A184_1BAD70B9C231_.wvu.FilterData" localSheetId="12" hidden="1">#REF!</definedName>
    <definedName name="Z_FC4D1412_4B52_4393_A184_1BAD70B9C231_.wvu.FilterData" localSheetId="30" hidden="1">#REF!</definedName>
    <definedName name="Z_FC4D1412_4B52_4393_A184_1BAD70B9C231_.wvu.FilterData" localSheetId="28" hidden="1">#REF!</definedName>
    <definedName name="Z_FC4D1412_4B52_4393_A184_1BAD70B9C231_.wvu.FilterData" localSheetId="27" hidden="1">#REF!</definedName>
    <definedName name="Z_FC4D1412_4B52_4393_A184_1BAD70B9C231_.wvu.FilterData" localSheetId="18" hidden="1">#REF!</definedName>
    <definedName name="Z_FC4D1412_4B52_4393_A184_1BAD70B9C231_.wvu.FilterData" localSheetId="7" hidden="1">#REF!</definedName>
    <definedName name="Z_FC4D1412_4B52_4393_A184_1BAD70B9C231_.wvu.FilterData" localSheetId="23" hidden="1">#REF!</definedName>
    <definedName name="Z_FC4D1412_4B52_4393_A184_1BAD70B9C231_.wvu.FilterData" hidden="1">#REF!</definedName>
    <definedName name="Z_FD259A29_AD61_4284_9BC7_5C3B20DD002B_.wvu.FilterData" localSheetId="12" hidden="1">#REF!</definedName>
    <definedName name="Z_FD259A29_AD61_4284_9BC7_5C3B20DD002B_.wvu.FilterData" localSheetId="30" hidden="1">#REF!</definedName>
    <definedName name="Z_FD259A29_AD61_4284_9BC7_5C3B20DD002B_.wvu.FilterData" localSheetId="28" hidden="1">#REF!</definedName>
    <definedName name="Z_FD259A29_AD61_4284_9BC7_5C3B20DD002B_.wvu.FilterData" localSheetId="27" hidden="1">#REF!</definedName>
    <definedName name="Z_FD259A29_AD61_4284_9BC7_5C3B20DD002B_.wvu.FilterData" localSheetId="18" hidden="1">#REF!</definedName>
    <definedName name="Z_FD259A29_AD61_4284_9BC7_5C3B20DD002B_.wvu.FilterData" localSheetId="7" hidden="1">#REF!</definedName>
    <definedName name="Z_FD259A29_AD61_4284_9BC7_5C3B20DD002B_.wvu.FilterData" localSheetId="23" hidden="1">#REF!</definedName>
    <definedName name="Z_FD259A29_AD61_4284_9BC7_5C3B20DD002B_.wvu.FilterData" hidden="1">#REF!</definedName>
    <definedName name="Z_FDFF93A6_D487_497C_8FA1_B8636451E74C_.wvu.FilterData" localSheetId="12" hidden="1">#REF!</definedName>
    <definedName name="Z_FDFF93A6_D487_497C_8FA1_B8636451E74C_.wvu.FilterData" localSheetId="30" hidden="1">#REF!</definedName>
    <definedName name="Z_FDFF93A6_D487_497C_8FA1_B8636451E74C_.wvu.FilterData" localSheetId="28" hidden="1">#REF!</definedName>
    <definedName name="Z_FDFF93A6_D487_497C_8FA1_B8636451E74C_.wvu.FilterData" localSheetId="27" hidden="1">#REF!</definedName>
    <definedName name="Z_FDFF93A6_D487_497C_8FA1_B8636451E74C_.wvu.FilterData" localSheetId="18" hidden="1">#REF!</definedName>
    <definedName name="Z_FDFF93A6_D487_497C_8FA1_B8636451E74C_.wvu.FilterData" localSheetId="7" hidden="1">#REF!</definedName>
    <definedName name="Z_FDFF93A6_D487_497C_8FA1_B8636451E74C_.wvu.FilterData" localSheetId="23" hidden="1">#REF!</definedName>
    <definedName name="Z_FDFF93A6_D487_497C_8FA1_B8636451E74C_.wvu.FilterData" hidden="1">#REF!</definedName>
    <definedName name="Z_FE37516D_56E4_424C_8DE6_6B2719F76EF4_.wvu.FilterData" localSheetId="12" hidden="1">#REF!</definedName>
    <definedName name="Z_FE37516D_56E4_424C_8DE6_6B2719F76EF4_.wvu.FilterData" localSheetId="30" hidden="1">#REF!</definedName>
    <definedName name="Z_FE37516D_56E4_424C_8DE6_6B2719F76EF4_.wvu.FilterData" localSheetId="28" hidden="1">#REF!</definedName>
    <definedName name="Z_FE37516D_56E4_424C_8DE6_6B2719F76EF4_.wvu.FilterData" localSheetId="27" hidden="1">#REF!</definedName>
    <definedName name="Z_FE37516D_56E4_424C_8DE6_6B2719F76EF4_.wvu.FilterData" localSheetId="18" hidden="1">#REF!</definedName>
    <definedName name="Z_FE37516D_56E4_424C_8DE6_6B2719F76EF4_.wvu.FilterData" localSheetId="7" hidden="1">#REF!</definedName>
    <definedName name="Z_FE37516D_56E4_424C_8DE6_6B2719F76EF4_.wvu.FilterData" localSheetId="23" hidden="1">#REF!</definedName>
    <definedName name="Z_FE37516D_56E4_424C_8DE6_6B2719F76EF4_.wvu.FilterData" hidden="1">#REF!</definedName>
    <definedName name="Z_FEBB3479_FB57_4CDC_BCCD_5D8B83257FC7_.wvu.FilterData" localSheetId="12" hidden="1">#REF!</definedName>
    <definedName name="Z_FEBB3479_FB57_4CDC_BCCD_5D8B83257FC7_.wvu.FilterData" localSheetId="30" hidden="1">#REF!</definedName>
    <definedName name="Z_FEBB3479_FB57_4CDC_BCCD_5D8B83257FC7_.wvu.FilterData" localSheetId="28" hidden="1">#REF!</definedName>
    <definedName name="Z_FEBB3479_FB57_4CDC_BCCD_5D8B83257FC7_.wvu.FilterData" localSheetId="27" hidden="1">#REF!</definedName>
    <definedName name="Z_FEBB3479_FB57_4CDC_BCCD_5D8B83257FC7_.wvu.FilterData" localSheetId="18" hidden="1">#REF!</definedName>
    <definedName name="Z_FEBB3479_FB57_4CDC_BCCD_5D8B83257FC7_.wvu.FilterData" localSheetId="7" hidden="1">#REF!</definedName>
    <definedName name="Z_FEBB3479_FB57_4CDC_BCCD_5D8B83257FC7_.wvu.FilterData" localSheetId="23" hidden="1">#REF!</definedName>
    <definedName name="Z_FEBB3479_FB57_4CDC_BCCD_5D8B83257FC7_.wvu.FilterData" hidden="1">#REF!</definedName>
    <definedName name="zcdçskld" localSheetId="3" hidden="1">{#N/A,#N/A,FALSE,"Plan1";#N/A,#N/A,FALSE,"Plan2"}</definedName>
    <definedName name="zcdçskld" localSheetId="33" hidden="1">{#N/A,#N/A,FALSE,"Plan1";#N/A,#N/A,FALSE,"Plan2"}</definedName>
    <definedName name="zcdçskld" localSheetId="35" hidden="1">{#N/A,#N/A,FALSE,"Plan1";#N/A,#N/A,FALSE,"Plan2"}</definedName>
    <definedName name="zcdçskld" hidden="1">{#N/A,#N/A,FALSE,"Plan1";#N/A,#N/A,FALSE,"Plan2"}</definedName>
    <definedName name="zcsdrfrt" localSheetId="3" hidden="1">{#N/A,#N/A,FALSE,"Plan1";#N/A,#N/A,FALSE,"Plan2"}</definedName>
    <definedName name="zcsdrfrt" localSheetId="33" hidden="1">{#N/A,#N/A,FALSE,"Plan1";#N/A,#N/A,FALSE,"Plan2"}</definedName>
    <definedName name="zcsdrfrt" localSheetId="35" hidden="1">{#N/A,#N/A,FALSE,"Plan1";#N/A,#N/A,FALSE,"Plan2"}</definedName>
    <definedName name="zcsdrfrt" hidden="1">{#N/A,#N/A,FALSE,"Plan1";#N/A,#N/A,FALSE,"Plan2"}</definedName>
    <definedName name="ZDRE" localSheetId="3" hidden="1">{#N/A,#N/A,FALSE,"Plan1";#N/A,#N/A,FALSE,"Plan2"}</definedName>
    <definedName name="ZDRE" localSheetId="33" hidden="1">{#N/A,#N/A,FALSE,"Plan1";#N/A,#N/A,FALSE,"Plan2"}</definedName>
    <definedName name="ZDRE" localSheetId="35" hidden="1">{#N/A,#N/A,FALSE,"Plan1";#N/A,#N/A,FALSE,"Plan2"}</definedName>
    <definedName name="ZDRE" hidden="1">{#N/A,#N/A,FALSE,"Plan1";#N/A,#N/A,FALSE,"Plan2"}</definedName>
    <definedName name="ZEZE" localSheetId="12">#REF!</definedName>
    <definedName name="ZEZE" localSheetId="30">#REF!</definedName>
    <definedName name="ZEZE" localSheetId="28">#REF!</definedName>
    <definedName name="ZEZE" localSheetId="27">#REF!</definedName>
    <definedName name="ZEZE" localSheetId="18">#REF!</definedName>
    <definedName name="ZEZE" localSheetId="7">#REF!</definedName>
    <definedName name="ZEZE" localSheetId="23">#REF!</definedName>
    <definedName name="ZEZE">#REF!</definedName>
    <definedName name="ZIN" localSheetId="12">#REF!</definedName>
    <definedName name="ZIN" localSheetId="30">#REF!</definedName>
    <definedName name="ZIN" localSheetId="28">#REF!</definedName>
    <definedName name="ZIN" localSheetId="27">#REF!</definedName>
    <definedName name="ZIN" localSheetId="18">#REF!</definedName>
    <definedName name="ZIN" localSheetId="7">#REF!</definedName>
    <definedName name="ZIN" localSheetId="23">#REF!</definedName>
    <definedName name="ZIN">#REF!</definedName>
    <definedName name="ZINS" localSheetId="12">#REF!</definedName>
    <definedName name="ZINS" localSheetId="30">#REF!</definedName>
    <definedName name="ZINS" localSheetId="28">#REF!</definedName>
    <definedName name="ZINS" localSheetId="27">#REF!</definedName>
    <definedName name="ZINS" localSheetId="18">#REF!</definedName>
    <definedName name="ZINS" localSheetId="7">#REF!</definedName>
    <definedName name="ZINS" localSheetId="23">#REF!</definedName>
    <definedName name="ZINS">#REF!</definedName>
    <definedName name="ZSADF" localSheetId="3" hidden="1">{#N/A,#N/A,FALSE,"Plan1";#N/A,#N/A,FALSE,"Plan2"}</definedName>
    <definedName name="ZSADF" localSheetId="33" hidden="1">{#N/A,#N/A,FALSE,"Plan1";#N/A,#N/A,FALSE,"Plan2"}</definedName>
    <definedName name="ZSADF" localSheetId="35" hidden="1">{#N/A,#N/A,FALSE,"Plan1";#N/A,#N/A,FALSE,"Plan2"}</definedName>
    <definedName name="ZSADF" hidden="1">{#N/A,#N/A,FALSE,"Plan1";#N/A,#N/A,FALSE,"Plan2"}</definedName>
    <definedName name="zsads" localSheetId="3" hidden="1">{#N/A,#N/A,FALSE,"Plan1";#N/A,#N/A,FALSE,"Plan2"}</definedName>
    <definedName name="zsads" localSheetId="33" hidden="1">{#N/A,#N/A,FALSE,"Plan1";#N/A,#N/A,FALSE,"Plan2"}</definedName>
    <definedName name="zsads" localSheetId="35" hidden="1">{#N/A,#N/A,FALSE,"Plan1";#N/A,#N/A,FALSE,"Plan2"}</definedName>
    <definedName name="zsads" hidden="1">{#N/A,#N/A,FALSE,"Plan1";#N/A,#N/A,FALSE,"Plan2"}</definedName>
    <definedName name="ZSDFSETR" localSheetId="3" hidden="1">#REF!</definedName>
    <definedName name="ZSDFSETR" localSheetId="12" hidden="1">#REF!</definedName>
    <definedName name="ZSDFSETR" localSheetId="30" hidden="1">#REF!</definedName>
    <definedName name="ZSDFSETR" localSheetId="28" hidden="1">#REF!</definedName>
    <definedName name="ZSDFSETR" localSheetId="27" hidden="1">#REF!</definedName>
    <definedName name="ZSDFSETR" localSheetId="18" hidden="1">#REF!</definedName>
    <definedName name="ZSDFSETR" localSheetId="7" hidden="1">#REF!</definedName>
    <definedName name="ZSDFSETR" localSheetId="23" hidden="1">#REF!</definedName>
    <definedName name="ZSDFSETR" hidden="1">#REF!</definedName>
    <definedName name="zsds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3" hidden="1">{#N/A,#N/A,FALSE,"Plan1";#N/A,#N/A,FALSE,"Plan2"}</definedName>
    <definedName name="zxccdf" localSheetId="33" hidden="1">{#N/A,#N/A,FALSE,"Plan1";#N/A,#N/A,FALSE,"Plan2"}</definedName>
    <definedName name="zxccdf" localSheetId="35" hidden="1">{#N/A,#N/A,FALSE,"Plan1";#N/A,#N/A,FALSE,"Plan2"}</definedName>
    <definedName name="zxccdf" hidden="1">{#N/A,#N/A,FALSE,"Plan1";#N/A,#N/A,FALSE,"Plan2"}</definedName>
    <definedName name="zxcdsf" hidden="1">#REF!</definedName>
    <definedName name="zxcfdstrrt" localSheetId="3" hidden="1">{#N/A,#N/A,FALSE,"Plan1";#N/A,#N/A,FALSE,"Plan2"}</definedName>
    <definedName name="zxcfdstrrt" localSheetId="33" hidden="1">{#N/A,#N/A,FALSE,"Plan1";#N/A,#N/A,FALSE,"Plan2"}</definedName>
    <definedName name="zxcfdstrrt" localSheetId="35" hidden="1">{#N/A,#N/A,FALSE,"Plan1";#N/A,#N/A,FALSE,"Plan2"}</definedName>
    <definedName name="zxcfdstrrt" hidden="1">{#N/A,#N/A,FALSE,"Plan1";#N/A,#N/A,FALSE,"Plan2"}</definedName>
    <definedName name="zxcx" localSheetId="3" hidden="1">{#N/A,#N/A,FALSE,"Plan1";#N/A,#N/A,FALSE,"Plan2"}</definedName>
    <definedName name="zxcx" localSheetId="33" hidden="1">{#N/A,#N/A,FALSE,"Plan1";#N/A,#N/A,FALSE,"Plan2"}</definedName>
    <definedName name="zxcx" localSheetId="35" hidden="1">{#N/A,#N/A,FALSE,"Plan1";#N/A,#N/A,FALSE,"Plan2"}</definedName>
    <definedName name="zxcx" hidden="1">{#N/A,#N/A,FALSE,"Plan1";#N/A,#N/A,FALSE,"Plan2"}</definedName>
    <definedName name="ZXFCR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3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3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3" hidden="1">{#N/A,#N/A,FALSE,"Plan1";#N/A,#N/A,FALSE,"Plan2"}</definedName>
    <definedName name="ZXFHDFRHDF" localSheetId="33" hidden="1">{#N/A,#N/A,FALSE,"Plan1";#N/A,#N/A,FALSE,"Plan2"}</definedName>
    <definedName name="ZXFHDFRHDF" localSheetId="35" hidden="1">{#N/A,#N/A,FALSE,"Plan1";#N/A,#N/A,FALSE,"Plan2"}</definedName>
    <definedName name="ZXFHDFRHDF" hidden="1">{#N/A,#N/A,FALSE,"Plan1";#N/A,#N/A,FALSE,"Plan2"}</definedName>
    <definedName name="ZZ" localSheetId="12">#REF!</definedName>
    <definedName name="ZZ" localSheetId="30">#REF!</definedName>
    <definedName name="ZZ" localSheetId="28">#REF!</definedName>
    <definedName name="ZZ" localSheetId="27">#REF!</definedName>
    <definedName name="ZZ" localSheetId="18">#REF!</definedName>
    <definedName name="ZZ" localSheetId="7">#REF!</definedName>
    <definedName name="ZZ" localSheetId="23">#REF!</definedName>
    <definedName name="ZZ">#REF!</definedName>
    <definedName name="zzdftr" localSheetId="3" hidden="1">{#N/A,#N/A,FALSE,"Plan1";#N/A,#N/A,FALSE,"Plan2"}</definedName>
    <definedName name="zzdftr" localSheetId="33" hidden="1">{#N/A,#N/A,FALSE,"Plan1";#N/A,#N/A,FALSE,"Plan2"}</definedName>
    <definedName name="zzdftr" localSheetId="35" hidden="1">{#N/A,#N/A,FALSE,"Plan1";#N/A,#N/A,FALSE,"Plan2"}</definedName>
    <definedName name="zzdftr" hidden="1">{#N/A,#N/A,FALSE,"Plan1";#N/A,#N/A,FALSE,"Plan2"}</definedName>
    <definedName name="zzz" localSheetId="12">#REF!</definedName>
    <definedName name="zzz" localSheetId="30">#REF!</definedName>
    <definedName name="zzz" localSheetId="28">#REF!</definedName>
    <definedName name="zzz" localSheetId="27">#REF!</definedName>
    <definedName name="zzz" localSheetId="18">#REF!</definedName>
    <definedName name="zzz" localSheetId="35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7">#REF!</definedName>
    <definedName name="zzz" localSheetId="23">#REF!</definedName>
    <definedName name="zzz">#REF!</definedName>
    <definedName name="ㄱ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33" hidden="1">{"'장비'!$A$3:$M$12"}</definedName>
    <definedName name="ㄱㄷㄱㄷㄱㄱㅎㄺㄷ" localSheetId="35" hidden="1">{"'장비'!$A$3:$M$12"}</definedName>
    <definedName name="ㄱㄷㄱㄷㄱㄱㅎㄺㄷ" hidden="1">{"'장비'!$A$3:$M$12"}</definedName>
    <definedName name="가나다" localSheetId="12" hidden="1">#REF!</definedName>
    <definedName name="가나다" localSheetId="30" hidden="1">#REF!</definedName>
    <definedName name="가나다" localSheetId="28" hidden="1">#REF!</definedName>
    <definedName name="가나다" localSheetId="27" hidden="1">#REF!</definedName>
    <definedName name="가나다" localSheetId="18" hidden="1">#REF!</definedName>
    <definedName name="가나다" localSheetId="7" hidden="1">#REF!</definedName>
    <definedName name="가나다" localSheetId="23" hidden="1">#REF!</definedName>
    <definedName name="가나다" hidden="1">#REF!</definedName>
    <definedName name="검증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localSheetId="12" hidden="1">#REF!</definedName>
    <definedName name="견적조건" localSheetId="30" hidden="1">#REF!</definedName>
    <definedName name="견적조건" localSheetId="28" hidden="1">#REF!</definedName>
    <definedName name="견적조건" localSheetId="27" hidden="1">#REF!</definedName>
    <definedName name="견적조건" localSheetId="18" hidden="1">#REF!</definedName>
    <definedName name="견적조건" localSheetId="7" hidden="1">#REF!</definedName>
    <definedName name="견적조건" localSheetId="23" hidden="1">#REF!</definedName>
    <definedName name="견적조건" hidden="1">#REF!</definedName>
    <definedName name="계약고햔황2" localSheetId="12" hidden="1">#REF!</definedName>
    <definedName name="계약고햔황2" localSheetId="30" hidden="1">#REF!</definedName>
    <definedName name="계약고햔황2" localSheetId="28" hidden="1">#REF!</definedName>
    <definedName name="계약고햔황2" localSheetId="27" hidden="1">#REF!</definedName>
    <definedName name="계약고햔황2" localSheetId="18" hidden="1">#REF!</definedName>
    <definedName name="계약고햔황2" localSheetId="7" hidden="1">#REF!</definedName>
    <definedName name="계약고햔황2" localSheetId="23" hidden="1">#REF!</definedName>
    <definedName name="계약고햔황2" hidden="1">#REF!</definedName>
    <definedName name="계약고현황2" localSheetId="12" hidden="1">#REF!</definedName>
    <definedName name="계약고현황2" localSheetId="30" hidden="1">#REF!</definedName>
    <definedName name="계약고현황2" localSheetId="28" hidden="1">#REF!</definedName>
    <definedName name="계약고현황2" localSheetId="27" hidden="1">#REF!</definedName>
    <definedName name="계약고현황2" localSheetId="18" hidden="1">#REF!</definedName>
    <definedName name="계약고현황2" localSheetId="7" hidden="1">#REF!</definedName>
    <definedName name="계약고현황2" localSheetId="23" hidden="1">#REF!</definedName>
    <definedName name="계약고현황2" hidden="1">#REF!</definedName>
    <definedName name="고문" localSheetId="33" hidden="1">{#N/A,#N/A,FALSE,"현장 NCR 분석";#N/A,#N/A,FALSE,"현장품질감사";#N/A,#N/A,FALSE,"현장품질감사"}</definedName>
    <definedName name="고문" localSheetId="35" hidden="1">{#N/A,#N/A,FALSE,"현장 NCR 분석";#N/A,#N/A,FALSE,"현장품질감사";#N/A,#N/A,FALSE,"현장품질감사"}</definedName>
    <definedName name="고문" hidden="1">{#N/A,#N/A,FALSE,"현장 NCR 분석";#N/A,#N/A,FALSE,"현장품질감사";#N/A,#N/A,FALSE,"현장품질감사"}</definedName>
    <definedName name="고문2" localSheetId="33" hidden="1">{#N/A,#N/A,FALSE,"현장 NCR 분석";#N/A,#N/A,FALSE,"현장품질감사";#N/A,#N/A,FALSE,"현장품질감사"}</definedName>
    <definedName name="고문2" localSheetId="35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33" hidden="1">{#N/A,#N/A,FALSE,"ENG'G(보호계전기)"}</definedName>
    <definedName name="공급구분표_수정" localSheetId="35" hidden="1">{#N/A,#N/A,FALSE,"ENG'G(보호계전기)"}</definedName>
    <definedName name="공급구분표_수정" hidden="1">{#N/A,#N/A,FALSE,"ENG'G(보호계전기)"}</definedName>
    <definedName name="공급표표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localSheetId="12" hidden="1">#REF!</definedName>
    <definedName name="ㄴㄴㄴㄴ" localSheetId="30" hidden="1">#REF!</definedName>
    <definedName name="ㄴㄴㄴㄴ" localSheetId="28" hidden="1">#REF!</definedName>
    <definedName name="ㄴㄴㄴㄴ" localSheetId="27" hidden="1">#REF!</definedName>
    <definedName name="ㄴㄴㄴㄴ" localSheetId="18" hidden="1">#REF!</definedName>
    <definedName name="ㄴㄴㄴㄴ" localSheetId="7" hidden="1">#REF!</definedName>
    <definedName name="ㄴㄴㄴㄴ" localSheetId="23" hidden="1">#REF!</definedName>
    <definedName name="ㄴㄴㄴㄴ" hidden="1">#REF!</definedName>
    <definedName name="내역" localSheetId="33" hidden="1">{#N/A,#N/A,FALSE,"CCTV"}</definedName>
    <definedName name="내역" localSheetId="35" hidden="1">{#N/A,#N/A,FALSE,"CCTV"}</definedName>
    <definedName name="내역" hidden="1">{#N/A,#N/A,FALSE,"CCTV"}</definedName>
    <definedName name="ㄷㄳ" localSheetId="33" hidden="1">{"'장비'!$A$3:$M$12"}</definedName>
    <definedName name="ㄷㄳ" localSheetId="35" hidden="1">{"'장비'!$A$3:$M$12"}</definedName>
    <definedName name="ㄷㄳ" hidden="1">{"'장비'!$A$3:$M$12"}</definedName>
    <definedName name="ㄷㄷㄷㄷ" localSheetId="33" hidden="1">{"'장비'!$A$3:$M$12"}</definedName>
    <definedName name="ㄷㄷㄷㄷ" localSheetId="35" hidden="1">{"'장비'!$A$3:$M$12"}</definedName>
    <definedName name="ㄷㄷㄷㄷ" hidden="1">{"'장비'!$A$3:$M$12"}</definedName>
    <definedName name="ㄷㅈㅂㄷ" localSheetId="33" hidden="1">{"'장비'!$A$3:$M$12"}</definedName>
    <definedName name="ㄷㅈㅂㄷ" localSheetId="35" hidden="1">{"'장비'!$A$3:$M$12"}</definedName>
    <definedName name="ㄷㅈㅂㄷ" hidden="1">{"'장비'!$A$3:$M$12"}</definedName>
    <definedName name="당초계획" localSheetId="12" hidden="1">#REF!</definedName>
    <definedName name="당초계획" localSheetId="30" hidden="1">#REF!</definedName>
    <definedName name="당초계획" localSheetId="28" hidden="1">#REF!</definedName>
    <definedName name="당초계획" localSheetId="27" hidden="1">#REF!</definedName>
    <definedName name="당초계획" localSheetId="18" hidden="1">#REF!</definedName>
    <definedName name="당초계획" localSheetId="7" hidden="1">#REF!</definedName>
    <definedName name="당초계획" localSheetId="23" hidden="1">#REF!</definedName>
    <definedName name="당초계획" hidden="1">#REF!</definedName>
    <definedName name="도면외주" localSheetId="12" hidden="1">#REF!</definedName>
    <definedName name="도면외주" localSheetId="30" hidden="1">#REF!</definedName>
    <definedName name="도면외주" localSheetId="28" hidden="1">#REF!</definedName>
    <definedName name="도면외주" localSheetId="27" hidden="1">#REF!</definedName>
    <definedName name="도면외주" localSheetId="18" hidden="1">#REF!</definedName>
    <definedName name="도면외주" localSheetId="7" hidden="1">#REF!</definedName>
    <definedName name="도면외주" localSheetId="23" hidden="1">#REF!</definedName>
    <definedName name="도면외주" hidden="1">#REF!</definedName>
    <definedName name="도면용역비" localSheetId="12" hidden="1">#REF!</definedName>
    <definedName name="도면용역비" localSheetId="30" hidden="1">#REF!</definedName>
    <definedName name="도면용역비" localSheetId="28" hidden="1">#REF!</definedName>
    <definedName name="도면용역비" localSheetId="27" hidden="1">#REF!</definedName>
    <definedName name="도면용역비" localSheetId="18" hidden="1">#REF!</definedName>
    <definedName name="도면용역비" localSheetId="7" hidden="1">#REF!</definedName>
    <definedName name="도면용역비" localSheetId="23" hidden="1">#REF!</definedName>
    <definedName name="도면용역비" hidden="1">#REF!</definedName>
    <definedName name="ㄹㄹ" localSheetId="33" hidden="1">{"'장비'!$A$3:$M$12"}</definedName>
    <definedName name="ㄹㄹ" localSheetId="35" hidden="1">{"'장비'!$A$3:$M$12"}</definedName>
    <definedName name="ㄹㄹ" hidden="1">{"'장비'!$A$3:$M$12"}</definedName>
    <definedName name="ㄹㄹㄹ" localSheetId="12" hidden="1">#REF!</definedName>
    <definedName name="ㄹㄹㄹ" localSheetId="30" hidden="1">#REF!</definedName>
    <definedName name="ㄹㄹㄹ" localSheetId="28" hidden="1">#REF!</definedName>
    <definedName name="ㄹㄹㄹ" localSheetId="27" hidden="1">#REF!</definedName>
    <definedName name="ㄹㄹㄹ" localSheetId="18" hidden="1">#REF!</definedName>
    <definedName name="ㄹㄹㄹ" localSheetId="7" hidden="1">#REF!</definedName>
    <definedName name="ㄹㄹㄹ" localSheetId="23" hidden="1">#REF!</definedName>
    <definedName name="ㄹㄹㄹ" hidden="1">#REF!</definedName>
    <definedName name="랄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33" hidden="1">{#N/A,#N/A,FALSE,"현장 NCR 분석";#N/A,#N/A,FALSE,"현장품질감사";#N/A,#N/A,FALSE,"현장품질감사"}</definedName>
    <definedName name="러러러" localSheetId="35" hidden="1">{#N/A,#N/A,FALSE,"현장 NCR 분석";#N/A,#N/A,FALSE,"현장품질감사";#N/A,#N/A,FALSE,"현장품질감사"}</definedName>
    <definedName name="러러러" hidden="1">{#N/A,#N/A,FALSE,"현장 NCR 분석";#N/A,#N/A,FALSE,"현장품질감사";#N/A,#N/A,FALSE,"현장품질감사"}</definedName>
    <definedName name="ㅁ" localSheetId="33" hidden="1">{#N/A,#N/A,FALSE,"명세표"}</definedName>
    <definedName name="ㅁ" localSheetId="35" hidden="1">{#N/A,#N/A,FALSE,"명세표"}</definedName>
    <definedName name="ㅁ" hidden="1">{#N/A,#N/A,FALSE,"명세표"}</definedName>
    <definedName name="ㅁㄱ해ㅜ5" localSheetId="12" hidden="1">#REF!</definedName>
    <definedName name="ㅁㄱ해ㅜ5" localSheetId="30" hidden="1">#REF!</definedName>
    <definedName name="ㅁㄱ해ㅜ5" localSheetId="28" hidden="1">#REF!</definedName>
    <definedName name="ㅁㄱ해ㅜ5" localSheetId="27" hidden="1">#REF!</definedName>
    <definedName name="ㅁㄱ해ㅜ5" localSheetId="18" hidden="1">#REF!</definedName>
    <definedName name="ㅁㄱ해ㅜ5" localSheetId="7" hidden="1">#REF!</definedName>
    <definedName name="ㅁㄱ해ㅜ5" localSheetId="23" hidden="1">#REF!</definedName>
    <definedName name="ㅁㄱ해ㅜ5" hidden="1">#REF!</definedName>
    <definedName name="ㅁㄴ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33" hidden="1">{#N/A,#N/A,FALSE,"명세표"}</definedName>
    <definedName name="ㅁㅁ" localSheetId="35" hidden="1">{#N/A,#N/A,FALSE,"명세표"}</definedName>
    <definedName name="ㅁㅁ" hidden="1">{#N/A,#N/A,FALSE,"명세표"}</definedName>
    <definedName name="ㅁㅁㅁ" localSheetId="12" hidden="1">#REF!</definedName>
    <definedName name="ㅁㅁㅁ" localSheetId="30" hidden="1">#REF!</definedName>
    <definedName name="ㅁㅁㅁ" localSheetId="28" hidden="1">#REF!</definedName>
    <definedName name="ㅁㅁㅁ" localSheetId="27" hidden="1">#REF!</definedName>
    <definedName name="ㅁㅁㅁ" localSheetId="18" hidden="1">#REF!</definedName>
    <definedName name="ㅁㅁㅁ" localSheetId="7" hidden="1">#REF!</definedName>
    <definedName name="ㅁㅁㅁ" localSheetId="23" hidden="1">#REF!</definedName>
    <definedName name="ㅁㅁㅁ" hidden="1">#REF!</definedName>
    <definedName name="ㅁㅁㅁㅁㅁㅁㅁㅁㅁㅁㅁㅁ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33" hidden="1">{#N/A,#N/A,FALSE,"명세표"}</definedName>
    <definedName name="머" localSheetId="35" hidden="1">{#N/A,#N/A,FALSE,"명세표"}</definedName>
    <definedName name="머" hidden="1">{#N/A,#N/A,FALSE,"명세표"}</definedName>
    <definedName name="ㅂㅂㅂㅂ" localSheetId="33" hidden="1">{#N/A,#N/A,FALSE,"명세표"}</definedName>
    <definedName name="ㅂㅂㅂㅂ" localSheetId="35" hidden="1">{#N/A,#N/A,FALSE,"명세표"}</definedName>
    <definedName name="ㅂㅂㅂㅂ" hidden="1">{#N/A,#N/A,FALSE,"명세표"}</definedName>
    <definedName name="ㅂㅂㅂㅂㅂㅂㅂ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33" hidden="1">{"'장비'!$A$3:$M$12"}</definedName>
    <definedName name="ㅂㅈㄱㅂㅈㄷㄱ" localSheetId="35" hidden="1">{"'장비'!$A$3:$M$12"}</definedName>
    <definedName name="ㅂㅈㄱㅂㅈㄷㄱ" hidden="1">{"'장비'!$A$3:$M$12"}</definedName>
    <definedName name="ㅂㅈㄷ" localSheetId="33" hidden="1">{"'장비'!$A$3:$M$12"}</definedName>
    <definedName name="ㅂㅈㄷ" localSheetId="35" hidden="1">{"'장비'!$A$3:$M$12"}</definedName>
    <definedName name="ㅂㅈㄷ" hidden="1">{"'장비'!$A$3:$M$12"}</definedName>
    <definedName name="ㅂㅈㄷㄷㅂㅈㅈㅂ" localSheetId="33" hidden="1">{"'장비'!$A$3:$M$12"}</definedName>
    <definedName name="ㅂㅈㄷㄷㅂㅈㅈㅂ" localSheetId="35" hidden="1">{"'장비'!$A$3:$M$12"}</definedName>
    <definedName name="ㅂㅈㄷㄷㅂㅈㅈㅂ" hidden="1">{"'장비'!$A$3:$M$12"}</definedName>
    <definedName name="ㅂㅈㄷㅂㅈ" localSheetId="33" hidden="1">{"'장비'!$A$3:$M$12"}</definedName>
    <definedName name="ㅂㅈㄷㅂㅈ" localSheetId="35" hidden="1">{"'장비'!$A$3:$M$12"}</definedName>
    <definedName name="ㅂㅈㄷㅂㅈ" hidden="1">{"'장비'!$A$3:$M$12"}</definedName>
    <definedName name="ㅂㅈㄷㅂㅈㅈㅂㄷ" localSheetId="33" hidden="1">{"'장비'!$A$3:$M$12"}</definedName>
    <definedName name="ㅂㅈㄷㅂㅈㅈㅂㄷ" localSheetId="35" hidden="1">{"'장비'!$A$3:$M$12"}</definedName>
    <definedName name="ㅂㅈㄷㅂㅈㅈㅂㄷ" hidden="1">{"'장비'!$A$3:$M$12"}</definedName>
    <definedName name="ㅂㅈㄷㅈㅂㄷ" localSheetId="33" hidden="1">{"'장비'!$A$3:$M$12"}</definedName>
    <definedName name="ㅂㅈㄷㅈㅂㄷ" localSheetId="35" hidden="1">{"'장비'!$A$3:$M$12"}</definedName>
    <definedName name="ㅂㅈㄷㅈㅂㄷ" hidden="1">{"'장비'!$A$3:$M$12"}</definedName>
    <definedName name="보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localSheetId="12" hidden="1">#REF!</definedName>
    <definedName name="보충" localSheetId="30" hidden="1">#REF!</definedName>
    <definedName name="보충" localSheetId="28" hidden="1">#REF!</definedName>
    <definedName name="보충" localSheetId="27" hidden="1">#REF!</definedName>
    <definedName name="보충" localSheetId="18" hidden="1">#REF!</definedName>
    <definedName name="보충" localSheetId="7" hidden="1">#REF!</definedName>
    <definedName name="보충" localSheetId="23" hidden="1">#REF!</definedName>
    <definedName name="보충" hidden="1">#REF!</definedName>
    <definedName name="보호" localSheetId="33" hidden="1">{#N/A,#N/A,FALSE,"ENG'G(보호계전기)"}</definedName>
    <definedName name="보호" localSheetId="35" hidden="1">{#N/A,#N/A,FALSE,"ENG'G(보호계전기)"}</definedName>
    <definedName name="보호" hidden="1">{#N/A,#N/A,FALSE,"ENG'G(보호계전기)"}</definedName>
    <definedName name="본공사공정표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12" hidden="1">#REF!</definedName>
    <definedName name="부대공사" localSheetId="30" hidden="1">#REF!</definedName>
    <definedName name="부대공사" localSheetId="28" hidden="1">#REF!</definedName>
    <definedName name="부대공사" localSheetId="27" hidden="1">#REF!</definedName>
    <definedName name="부대공사" localSheetId="18" hidden="1">#REF!</definedName>
    <definedName name="부대공사" localSheetId="7" hidden="1">#REF!</definedName>
    <definedName name="부대공사" localSheetId="23" hidden="1">#REF!</definedName>
    <definedName name="부대공사" hidden="1">#REF!</definedName>
    <definedName name="부손익" localSheetId="33" hidden="1">{#N/A,#N/A,FALSE,"현장 NCR 분석";#N/A,#N/A,FALSE,"현장품질감사";#N/A,#N/A,FALSE,"현장품질감사"}</definedName>
    <definedName name="부손익" localSheetId="35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분야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33" hidden="1">{"'장비'!$A$3:$M$12"}</definedName>
    <definedName name="ㅅㄱㄱㄷ" localSheetId="35" hidden="1">{"'장비'!$A$3:$M$12"}</definedName>
    <definedName name="ㅅㄱㄱㄷ" hidden="1">{"'장비'!$A$3:$M$12"}</definedName>
    <definedName name="ㅅㅅㅅㅅㅅ" localSheetId="33" hidden="1">{"'장비'!$A$3:$M$12"}</definedName>
    <definedName name="ㅅㅅㅅㅅㅅ" localSheetId="35" hidden="1">{"'장비'!$A$3:$M$12"}</definedName>
    <definedName name="ㅅㅅㅅㅅㅅ" hidden="1">{"'장비'!$A$3:$M$12"}</definedName>
    <definedName name="사업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localSheetId="12" hidden="1">#REF!</definedName>
    <definedName name="사업계획수정" localSheetId="30" hidden="1">#REF!</definedName>
    <definedName name="사업계획수정" localSheetId="28" hidden="1">#REF!</definedName>
    <definedName name="사업계획수정" localSheetId="27" hidden="1">#REF!</definedName>
    <definedName name="사업계획수정" localSheetId="18" hidden="1">#REF!</definedName>
    <definedName name="사업계획수정" localSheetId="7" hidden="1">#REF!</definedName>
    <definedName name="사업계획수정" localSheetId="23" hidden="1">#REF!</definedName>
    <definedName name="사업계획수정" hidden="1">#REF!</definedName>
    <definedName name="사업관리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localSheetId="12" hidden="1">#REF!</definedName>
    <definedName name="사업부양식2" localSheetId="30" hidden="1">#REF!</definedName>
    <definedName name="사업부양식2" localSheetId="28" hidden="1">#REF!</definedName>
    <definedName name="사업부양식2" localSheetId="27" hidden="1">#REF!</definedName>
    <definedName name="사업부양식2" localSheetId="18" hidden="1">#REF!</definedName>
    <definedName name="사업부양식2" localSheetId="7" hidden="1">#REF!</definedName>
    <definedName name="사업부양식2" localSheetId="23" hidden="1">#REF!</definedName>
    <definedName name="사업부양식2" hidden="1">#REF!</definedName>
    <definedName name="산출" localSheetId="12" hidden="1">#REF!</definedName>
    <definedName name="산출" localSheetId="30" hidden="1">#REF!</definedName>
    <definedName name="산출" localSheetId="28" hidden="1">#REF!</definedName>
    <definedName name="산출" localSheetId="27" hidden="1">#REF!</definedName>
    <definedName name="산출" localSheetId="18" hidden="1">#REF!</definedName>
    <definedName name="산출" localSheetId="7" hidden="1">#REF!</definedName>
    <definedName name="산출" localSheetId="23" hidden="1">#REF!</definedName>
    <definedName name="산출" hidden="1">#REF!</definedName>
    <definedName name="새안" localSheetId="33" hidden="1">{#N/A,#N/A,FALSE,"TABLE"}</definedName>
    <definedName name="새안" localSheetId="35" hidden="1">{#N/A,#N/A,FALSE,"TABLE"}</definedName>
    <definedName name="새안" hidden="1">{#N/A,#N/A,FALSE,"TABLE"}</definedName>
    <definedName name="석항" localSheetId="33" hidden="1">{#N/A,#N/A,FALSE,"명세표"}</definedName>
    <definedName name="석항" localSheetId="35" hidden="1">{#N/A,#N/A,FALSE,"명세표"}</definedName>
    <definedName name="석항" hidden="1">{#N/A,#N/A,FALSE,"명세표"}</definedName>
    <definedName name="설계현황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localSheetId="12" hidden="1">#REF!</definedName>
    <definedName name="손익계산서" localSheetId="30" hidden="1">#REF!</definedName>
    <definedName name="손익계산서" localSheetId="28" hidden="1">#REF!</definedName>
    <definedName name="손익계산서" localSheetId="27" hidden="1">#REF!</definedName>
    <definedName name="손익계산서" localSheetId="18" hidden="1">#REF!</definedName>
    <definedName name="손익계산서" localSheetId="7" hidden="1">#REF!</definedName>
    <definedName name="손익계산서" localSheetId="23" hidden="1">#REF!</definedName>
    <definedName name="손익계산서" hidden="1">#REF!</definedName>
    <definedName name="쇼ㅗㅎ로" localSheetId="33" hidden="1">{"'장비'!$A$3:$M$12"}</definedName>
    <definedName name="쇼ㅗㅎ로" localSheetId="35" hidden="1">{"'장비'!$A$3:$M$12"}</definedName>
    <definedName name="쇼ㅗㅎ로" hidden="1">{"'장비'!$A$3:$M$12"}</definedName>
    <definedName name="수" localSheetId="12" hidden="1">#REF!</definedName>
    <definedName name="수" localSheetId="30" hidden="1">#REF!</definedName>
    <definedName name="수" localSheetId="28" hidden="1">#REF!</definedName>
    <definedName name="수" localSheetId="27" hidden="1">#REF!</definedName>
    <definedName name="수" localSheetId="18" hidden="1">#REF!</definedName>
    <definedName name="수" localSheetId="7" hidden="1">#REF!</definedName>
    <definedName name="수" localSheetId="23" hidden="1">#REF!</definedName>
    <definedName name="수" hidden="1">#REF!</definedName>
    <definedName name="수당" hidden="1">#N/A</definedName>
    <definedName name="신설" localSheetId="33" hidden="1">{#N/A,#N/A,FALSE,"명세표"}</definedName>
    <definedName name="신설" localSheetId="35" hidden="1">{#N/A,#N/A,FALSE,"명세표"}</definedName>
    <definedName name="신설" hidden="1">{#N/A,#N/A,FALSE,"명세표"}</definedName>
    <definedName name="실적총괄1" localSheetId="12" hidden="1">#REF!</definedName>
    <definedName name="실적총괄1" localSheetId="30" hidden="1">#REF!</definedName>
    <definedName name="실적총괄1" localSheetId="28" hidden="1">#REF!</definedName>
    <definedName name="실적총괄1" localSheetId="27" hidden="1">#REF!</definedName>
    <definedName name="실적총괄1" localSheetId="18" hidden="1">#REF!</definedName>
    <definedName name="실적총괄1" localSheetId="7" hidden="1">#REF!</definedName>
    <definedName name="실적총괄1" localSheetId="23" hidden="1">#REF!</definedName>
    <definedName name="실적총괄1" hidden="1">#REF!</definedName>
    <definedName name="실총" localSheetId="12" hidden="1">#REF!</definedName>
    <definedName name="실총" localSheetId="30" hidden="1">#REF!</definedName>
    <definedName name="실총" localSheetId="28" hidden="1">#REF!</definedName>
    <definedName name="실총" localSheetId="27" hidden="1">#REF!</definedName>
    <definedName name="실총" localSheetId="18" hidden="1">#REF!</definedName>
    <definedName name="실총" localSheetId="7" hidden="1">#REF!</definedName>
    <definedName name="실총" localSheetId="23" hidden="1">#REF!</definedName>
    <definedName name="실총" hidden="1">#REF!</definedName>
    <definedName name="ㅇㄹㄹ" localSheetId="12" hidden="1">#REF!</definedName>
    <definedName name="ㅇㄹㄹ" localSheetId="30" hidden="1">#REF!</definedName>
    <definedName name="ㅇㄹㄹ" localSheetId="28" hidden="1">#REF!</definedName>
    <definedName name="ㅇㄹㄹ" localSheetId="27" hidden="1">#REF!</definedName>
    <definedName name="ㅇㄹㄹ" localSheetId="18" hidden="1">#REF!</definedName>
    <definedName name="ㅇㄹㄹ" localSheetId="7" hidden="1">#REF!</definedName>
    <definedName name="ㅇㄹㄹ" localSheetId="23" hidden="1">#REF!</definedName>
    <definedName name="ㅇㄹㄹ" hidden="1">#REF!</definedName>
    <definedName name="ㅇㅇ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localSheetId="12" hidden="1">#REF!</definedName>
    <definedName name="ㅇㅇㅇㅇ" localSheetId="30" hidden="1">#REF!</definedName>
    <definedName name="ㅇㅇㅇㅇ" localSheetId="28" hidden="1">#REF!</definedName>
    <definedName name="ㅇㅇㅇㅇ" localSheetId="27" hidden="1">#REF!</definedName>
    <definedName name="ㅇㅇㅇㅇ" localSheetId="18" hidden="1">#REF!</definedName>
    <definedName name="ㅇㅇㅇㅇ" localSheetId="7" hidden="1">#REF!</definedName>
    <definedName name="ㅇㅇㅇㅇ" localSheetId="23" hidden="1">#REF!</definedName>
    <definedName name="ㅇㅇㅇㅇ" hidden="1">#REF!</definedName>
    <definedName name="양식변경123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localSheetId="12" hidden="1">#REF!</definedName>
    <definedName name="이월" localSheetId="30" hidden="1">#REF!</definedName>
    <definedName name="이월" localSheetId="28" hidden="1">#REF!</definedName>
    <definedName name="이월" localSheetId="27" hidden="1">#REF!</definedName>
    <definedName name="이월" localSheetId="18" hidden="1">#REF!</definedName>
    <definedName name="이월" localSheetId="7" hidden="1">#REF!</definedName>
    <definedName name="이월" localSheetId="23" hidden="1">#REF!</definedName>
    <definedName name="이월" hidden="1">#REF!</definedName>
    <definedName name="이이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33" hidden="1">{#N/A,#N/A,FALSE,"명세표"}</definedName>
    <definedName name="ㅈ" localSheetId="35" hidden="1">{#N/A,#N/A,FALSE,"명세표"}</definedName>
    <definedName name="ㅈ" hidden="1">{#N/A,#N/A,FALSE,"명세표"}</definedName>
    <definedName name="ㅈㅈㅈㅈ" localSheetId="33" hidden="1">{#N/A,#N/A,FALSE,"명세표"}</definedName>
    <definedName name="ㅈㅈㅈㅈ" localSheetId="35" hidden="1">{#N/A,#N/A,FALSE,"명세표"}</definedName>
    <definedName name="ㅈㅈㅈㅈ" hidden="1">{#N/A,#N/A,FALSE,"명세표"}</definedName>
    <definedName name="자미" localSheetId="33" hidden="1">{#N/A,#N/A,FALSE,"명세표"}</definedName>
    <definedName name="자미" localSheetId="35" hidden="1">{#N/A,#N/A,FALSE,"명세표"}</definedName>
    <definedName name="자미" hidden="1">{#N/A,#N/A,FALSE,"명세표"}</definedName>
    <definedName name="자운" localSheetId="12" hidden="1">#REF!</definedName>
    <definedName name="자운" localSheetId="30" hidden="1">#REF!</definedName>
    <definedName name="자운" localSheetId="28" hidden="1">#REF!</definedName>
    <definedName name="자운" localSheetId="27" hidden="1">#REF!</definedName>
    <definedName name="자운" localSheetId="18" hidden="1">#REF!</definedName>
    <definedName name="자운" localSheetId="7" hidden="1">#REF!</definedName>
    <definedName name="자운" localSheetId="23" hidden="1">#REF!</definedName>
    <definedName name="자운" hidden="1">#REF!</definedName>
    <definedName name="자재3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localSheetId="12" hidden="1">#REF!</definedName>
    <definedName name="전계장금액" localSheetId="30" hidden="1">#REF!</definedName>
    <definedName name="전계장금액" localSheetId="28" hidden="1">#REF!</definedName>
    <definedName name="전계장금액" localSheetId="27" hidden="1">#REF!</definedName>
    <definedName name="전계장금액" localSheetId="18" hidden="1">#REF!</definedName>
    <definedName name="전계장금액" localSheetId="7" hidden="1">#REF!</definedName>
    <definedName name="전계장금액" localSheetId="23" hidden="1">#REF!</definedName>
    <definedName name="전계장금액" hidden="1">#REF!</definedName>
    <definedName name="전기사양_SAMPLE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12" hidden="1">#REF!</definedName>
    <definedName name="전선조장" localSheetId="30" hidden="1">#REF!</definedName>
    <definedName name="전선조장" localSheetId="28" hidden="1">#REF!</definedName>
    <definedName name="전선조장" localSheetId="27" hidden="1">#REF!</definedName>
    <definedName name="전선조장" localSheetId="18" hidden="1">#REF!</definedName>
    <definedName name="전선조장" localSheetId="7" hidden="1">#REF!</definedName>
    <definedName name="전선조장" localSheetId="23" hidden="1">#REF!</definedName>
    <definedName name="전선조장" hidden="1">#REF!</definedName>
    <definedName name="조직표현장" hidden="1">#REF!</definedName>
    <definedName name="종합1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33" hidden="1">{#N/A,#N/A,FALSE,"ENG'G(보호계전기)"}</definedName>
    <definedName name="중량비교검토" localSheetId="35" hidden="1">{#N/A,#N/A,FALSE,"ENG'G(보호계전기)"}</definedName>
    <definedName name="중량비교검토" hidden="1">{#N/A,#N/A,FALSE,"ENG'G(보호계전기)"}</definedName>
    <definedName name="집계" localSheetId="33" hidden="1">{#N/A,#N/A,FALSE,"명세표"}</definedName>
    <definedName name="집계" localSheetId="35" hidden="1">{#N/A,#N/A,FALSE,"명세표"}</definedName>
    <definedName name="집계" hidden="1">{#N/A,#N/A,FALSE,"명세표"}</definedName>
    <definedName name="철골공정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33" hidden="1">{#N/A,#N/A,FALSE,"명세표"}</definedName>
    <definedName name="ㅋㅁ" localSheetId="35" hidden="1">{#N/A,#N/A,FALSE,"명세표"}</definedName>
    <definedName name="ㅋㅁ" hidden="1">{#N/A,#N/A,FALSE,"명세표"}</definedName>
    <definedName name="ㅋㅋㅋ" localSheetId="33" hidden="1">{#N/A,#N/A,FALSE,"명세표"}</definedName>
    <definedName name="ㅋㅋㅋ" localSheetId="35" hidden="1">{#N/A,#N/A,FALSE,"명세표"}</definedName>
    <definedName name="ㅋㅋㅋ" hidden="1">{#N/A,#N/A,FALSE,"명세표"}</definedName>
    <definedName name="ㅌㅌ" localSheetId="33" hidden="1">{#N/A,#N/A,FALSE,"명세표"}</definedName>
    <definedName name="ㅌㅌ" localSheetId="35" hidden="1">{#N/A,#N/A,FALSE,"명세표"}</definedName>
    <definedName name="ㅌㅌ" hidden="1">{#N/A,#N/A,FALSE,"명세표"}</definedName>
    <definedName name="토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33" hidden="1">{"'장비'!$A$3:$M$12"}</definedName>
    <definedName name="ㅎㅎㅎㅎ" localSheetId="35" hidden="1">{"'장비'!$A$3:$M$12"}</definedName>
    <definedName name="ㅎㅎㅎㅎ" hidden="1">{"'장비'!$A$3:$M$12"}</definedName>
    <definedName name="하하하" localSheetId="33" hidden="1">{#N/A,#N/A,FALSE,"명세표"}</definedName>
    <definedName name="하하하" localSheetId="35" hidden="1">{#N/A,#N/A,FALSE,"명세표"}</definedName>
    <definedName name="하하하" hidden="1">{#N/A,#N/A,FALSE,"명세표"}</definedName>
    <definedName name="한국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33" hidden="1">{#N/A,#N/A,FALSE,"명세표"}</definedName>
    <definedName name="호호호" localSheetId="35" hidden="1">{#N/A,#N/A,FALSE,"명세표"}</definedName>
    <definedName name="호호호" hidden="1">{#N/A,#N/A,FALSE,"명세표"}</definedName>
    <definedName name="ㅏㅏㅏ" localSheetId="33" hidden="1">{#N/A,#N/A,FALSE,"명세표"}</definedName>
    <definedName name="ㅏㅏㅏ" localSheetId="35" hidden="1">{#N/A,#N/A,FALSE,"명세표"}</definedName>
    <definedName name="ㅏㅏㅏ" hidden="1">{#N/A,#N/A,FALSE,"명세표"}</definedName>
    <definedName name="ㅔㅔ" localSheetId="33" hidden="1">{#N/A,#N/A,FALSE,"명세표"}</definedName>
    <definedName name="ㅔㅔ" localSheetId="35" hidden="1">{#N/A,#N/A,FALSE,"명세표"}</definedName>
    <definedName name="ㅔㅔ" hidden="1">{#N/A,#N/A,FALSE,"명세표"}</definedName>
    <definedName name="ㅔㅔㅔㅔㅔ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33" hidden="1">{"'장비'!$A$3:$M$12"}</definedName>
    <definedName name="ㅗ홓ㅎ로" localSheetId="35" hidden="1">{"'장비'!$A$3:$M$12"}</definedName>
    <definedName name="ㅗ홓ㅎ로" hidden="1">{"'장비'!$A$3:$M$12"}</definedName>
    <definedName name="ㅗㅗ" localSheetId="33" hidden="1">{#N/A,#N/A,FALSE,"명세표"}</definedName>
    <definedName name="ㅗㅗ" localSheetId="35" hidden="1">{#N/A,#N/A,FALSE,"명세표"}</definedName>
    <definedName name="ㅗㅗ" hidden="1">{#N/A,#N/A,FALSE,"명세표"}</definedName>
    <definedName name="ㅗㅗㅗㅗㅗ" localSheetId="33" hidden="1">{"'장비'!$A$3:$M$12"}</definedName>
    <definedName name="ㅗㅗㅗㅗㅗ" localSheetId="35" hidden="1">{"'장비'!$A$3:$M$12"}</definedName>
    <definedName name="ㅗㅗㅗㅗㅗ" hidden="1">{"'장비'!$A$3:$M$12"}</definedName>
    <definedName name="ㅛ" localSheetId="33" hidden="1">{"'장비'!$A$3:$M$12"}</definedName>
    <definedName name="ㅛ" localSheetId="35" hidden="1">{"'장비'!$A$3:$M$12"}</definedName>
    <definedName name="ㅛ" hidden="1">{"'장비'!$A$3:$M$12"}</definedName>
    <definedName name="ㅛㅕㅛㅕㅛ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33" hidden="1">{"'장비'!$A$3:$M$12"}</definedName>
    <definedName name="ㅛㅛㅛ" localSheetId="35" hidden="1">{"'장비'!$A$3:$M$12"}</definedName>
    <definedName name="ㅛㅛㅛ" hidden="1">{"'장비'!$A$3:$M$12"}</definedName>
    <definedName name="ㅜ" localSheetId="33" hidden="1">{#N/A,#N/A,FALSE,"명세표"}</definedName>
    <definedName name="ㅜ" localSheetId="35" hidden="1">{#N/A,#N/A,FALSE,"명세표"}</definedName>
    <definedName name="ㅜ" hidden="1">{#N/A,#N/A,FALSE,"명세표"}</definedName>
    <definedName name="ㅠㅠ" localSheetId="3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3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33" hidden="1">{#N/A,#N/A,FALSE,"명세표"}</definedName>
    <definedName name="ㅡㅡ" localSheetId="35" hidden="1">{#N/A,#N/A,FALSE,"명세표"}</definedName>
    <definedName name="ㅡㅡ" hidden="1">{#N/A,#N/A,FALSE,"명세표"}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09" l="1"/>
  <c r="D51" i="409"/>
  <c r="D52" i="409"/>
  <c r="D53" i="409"/>
  <c r="E53" i="409"/>
  <c r="E50" i="409"/>
  <c r="D49" i="409"/>
  <c r="E49" i="409" s="1"/>
  <c r="C48" i="409"/>
  <c r="D48" i="409" s="1"/>
  <c r="E48" i="409" s="1"/>
  <c r="F53" i="409"/>
  <c r="F51" i="409"/>
  <c r="C32" i="409"/>
  <c r="C31" i="409"/>
  <c r="N87" i="176"/>
  <c r="N86" i="176"/>
  <c r="N56" i="176"/>
  <c r="N55" i="176"/>
  <c r="N54" i="176"/>
  <c r="N53" i="176"/>
  <c r="N52" i="176"/>
  <c r="N41" i="176"/>
  <c r="N40" i="176"/>
  <c r="N39" i="176"/>
  <c r="N187" i="176"/>
  <c r="N186" i="176" s="1"/>
  <c r="N130" i="176"/>
  <c r="L1099" i="176" l="1"/>
  <c r="F15" i="416" l="1"/>
  <c r="F16" i="416" s="1"/>
  <c r="F11" i="416"/>
  <c r="A9" i="416"/>
  <c r="A10" i="416" s="1"/>
  <c r="A11" i="416" s="1"/>
  <c r="F8" i="416"/>
  <c r="F33" i="415"/>
  <c r="F32" i="415"/>
  <c r="D31" i="415"/>
  <c r="F31" i="415" s="1"/>
  <c r="F34" i="415" s="1"/>
  <c r="D28" i="415"/>
  <c r="F28" i="415" s="1"/>
  <c r="F27" i="415"/>
  <c r="F26" i="415"/>
  <c r="F25" i="415"/>
  <c r="D24" i="415"/>
  <c r="F24" i="415" s="1"/>
  <c r="D16" i="415"/>
  <c r="D13" i="415"/>
  <c r="D11" i="415"/>
  <c r="B3" i="415"/>
  <c r="B2" i="415"/>
  <c r="B1" i="415"/>
  <c r="D77" i="414"/>
  <c r="D79" i="414" s="1"/>
  <c r="D71" i="414"/>
  <c r="D72" i="414" s="1"/>
  <c r="D64" i="414"/>
  <c r="D52" i="414"/>
  <c r="D44" i="414"/>
  <c r="D45" i="414" s="1"/>
  <c r="D38" i="414"/>
  <c r="D36" i="414"/>
  <c r="D39" i="414" s="1"/>
  <c r="D30" i="414"/>
  <c r="D31" i="414" s="1"/>
  <c r="D16" i="414"/>
  <c r="D15" i="414"/>
  <c r="B3" i="414"/>
  <c r="B2" i="414"/>
  <c r="B1" i="414"/>
  <c r="D11" i="413"/>
  <c r="D17" i="415" l="1"/>
  <c r="D15" i="415"/>
  <c r="D19" i="415"/>
  <c r="D18" i="415"/>
  <c r="D23" i="414"/>
  <c r="D25" i="414" s="1"/>
  <c r="D57" i="414" s="1"/>
  <c r="D58" i="414" s="1"/>
  <c r="D63" i="414"/>
  <c r="D65" i="414" s="1"/>
  <c r="D18" i="414"/>
  <c r="F29" i="415"/>
  <c r="L1152" i="176" l="1"/>
  <c r="L1151" i="176"/>
  <c r="L1148" i="176"/>
  <c r="L1144" i="176"/>
  <c r="L1141" i="176"/>
  <c r="L1131" i="176"/>
  <c r="L1110" i="176"/>
  <c r="M1098" i="176"/>
  <c r="M1099" i="176"/>
  <c r="M1100" i="176"/>
  <c r="M1101" i="176"/>
  <c r="L1091" i="176"/>
  <c r="L1081" i="176"/>
  <c r="L1071" i="176"/>
  <c r="L1061" i="176"/>
  <c r="L1051" i="176"/>
  <c r="L1041" i="176"/>
  <c r="L1040" i="176"/>
  <c r="L1031" i="176"/>
  <c r="L1021" i="176"/>
  <c r="F115" i="389"/>
  <c r="G116" i="389" s="1"/>
  <c r="F113" i="389"/>
  <c r="G114" i="389" s="1"/>
  <c r="F107" i="389"/>
  <c r="G112" i="389" s="1"/>
  <c r="E105" i="389"/>
  <c r="E104" i="389"/>
  <c r="G104" i="389" s="1"/>
  <c r="E103" i="389"/>
  <c r="G103" i="389" s="1"/>
  <c r="F101" i="389"/>
  <c r="E99" i="389"/>
  <c r="G99" i="389" s="1"/>
  <c r="E98" i="389"/>
  <c r="G98" i="389" s="1"/>
  <c r="E97" i="389"/>
  <c r="G97" i="389" s="1"/>
  <c r="F95" i="389"/>
  <c r="G96" i="389" s="1"/>
  <c r="G94" i="389"/>
  <c r="G93" i="389"/>
  <c r="G92" i="389"/>
  <c r="G91" i="389"/>
  <c r="G89" i="389"/>
  <c r="G88" i="389"/>
  <c r="G87" i="389"/>
  <c r="G86" i="389"/>
  <c r="G84" i="389"/>
  <c r="G83" i="389"/>
  <c r="G82" i="389"/>
  <c r="G81" i="389"/>
  <c r="G79" i="389"/>
  <c r="G78" i="389"/>
  <c r="G76" i="389"/>
  <c r="G75" i="389"/>
  <c r="G73" i="389"/>
  <c r="G72" i="389"/>
  <c r="G71" i="389"/>
  <c r="G70" i="389"/>
  <c r="G69" i="389"/>
  <c r="G68" i="389"/>
  <c r="G67" i="389"/>
  <c r="G66" i="389"/>
  <c r="G65" i="389"/>
  <c r="G63" i="389"/>
  <c r="G62" i="389"/>
  <c r="G61" i="389"/>
  <c r="G60" i="389"/>
  <c r="G59" i="389"/>
  <c r="G58" i="389"/>
  <c r="G57" i="389"/>
  <c r="G56" i="389"/>
  <c r="G55" i="389"/>
  <c r="G53" i="389"/>
  <c r="G52" i="389"/>
  <c r="G51" i="389"/>
  <c r="G50" i="389"/>
  <c r="G49" i="389"/>
  <c r="G48" i="389"/>
  <c r="G47" i="389"/>
  <c r="G46" i="389"/>
  <c r="G45" i="389"/>
  <c r="G44" i="389"/>
  <c r="F39" i="389"/>
  <c r="G38" i="389"/>
  <c r="G37" i="389"/>
  <c r="G36" i="389"/>
  <c r="G35" i="389"/>
  <c r="G33" i="389"/>
  <c r="E32" i="389"/>
  <c r="G32" i="389" s="1"/>
  <c r="E31" i="389"/>
  <c r="G31" i="389" s="1"/>
  <c r="E30" i="389"/>
  <c r="G30" i="389" s="1"/>
  <c r="G29" i="389"/>
  <c r="G27" i="389"/>
  <c r="G26" i="389"/>
  <c r="G25" i="389"/>
  <c r="G24" i="389"/>
  <c r="G23" i="389"/>
  <c r="G22" i="389"/>
  <c r="G21" i="389"/>
  <c r="G20" i="389"/>
  <c r="G19" i="389"/>
  <c r="G17" i="389"/>
  <c r="G16" i="389"/>
  <c r="G15" i="389"/>
  <c r="G14" i="389"/>
  <c r="G13" i="389"/>
  <c r="G12" i="389"/>
  <c r="G11" i="389"/>
  <c r="G10" i="389"/>
  <c r="G9" i="389"/>
  <c r="G8" i="389"/>
  <c r="G160" i="382"/>
  <c r="D160" i="382"/>
  <c r="D159" i="382"/>
  <c r="G159" i="382" s="1"/>
  <c r="B159" i="382"/>
  <c r="D158" i="382"/>
  <c r="G158" i="382" s="1"/>
  <c r="B158" i="382"/>
  <c r="B160" i="382" s="1"/>
  <c r="A157" i="382"/>
  <c r="A158" i="382" s="1"/>
  <c r="A159" i="382" s="1"/>
  <c r="A160" i="382" s="1"/>
  <c r="G155" i="382"/>
  <c r="G154" i="382" s="1"/>
  <c r="B155" i="382"/>
  <c r="D154" i="382"/>
  <c r="G153" i="382"/>
  <c r="G152" i="382"/>
  <c r="G151" i="382"/>
  <c r="G150" i="382"/>
  <c r="G149" i="382"/>
  <c r="G148" i="382"/>
  <c r="G147" i="382"/>
  <c r="G146" i="382"/>
  <c r="G145" i="382"/>
  <c r="G144" i="382"/>
  <c r="G143" i="382"/>
  <c r="G142" i="382"/>
  <c r="B142" i="382"/>
  <c r="B144" i="382" s="1"/>
  <c r="G141" i="382"/>
  <c r="B141" i="382"/>
  <c r="B143" i="382" s="1"/>
  <c r="B146" i="382" s="1"/>
  <c r="B148" i="382" s="1"/>
  <c r="G140" i="382"/>
  <c r="F140" i="382" s="1"/>
  <c r="G139" i="382"/>
  <c r="G138" i="382"/>
  <c r="G137" i="382"/>
  <c r="G136" i="382"/>
  <c r="G135" i="382"/>
  <c r="G134" i="382"/>
  <c r="G133" i="382"/>
  <c r="G132" i="382"/>
  <c r="G131" i="382"/>
  <c r="G130" i="382"/>
  <c r="G129" i="382"/>
  <c r="G128" i="382"/>
  <c r="G127" i="382"/>
  <c r="G126" i="382"/>
  <c r="G125" i="382"/>
  <c r="G124" i="382"/>
  <c r="G123" i="382"/>
  <c r="G122" i="382"/>
  <c r="G121" i="382"/>
  <c r="F120" i="382"/>
  <c r="G120" i="382" s="1"/>
  <c r="B120" i="382"/>
  <c r="B121" i="382" s="1"/>
  <c r="B123" i="382" s="1"/>
  <c r="B126" i="382" s="1"/>
  <c r="B128" i="382" s="1"/>
  <c r="B130" i="382" s="1"/>
  <c r="B132" i="382" s="1"/>
  <c r="B134" i="382" s="1"/>
  <c r="B136" i="382" s="1"/>
  <c r="B138" i="382" s="1"/>
  <c r="G119" i="382"/>
  <c r="B119" i="382"/>
  <c r="G117" i="382"/>
  <c r="F116" i="382"/>
  <c r="G116" i="382" s="1"/>
  <c r="G115" i="382"/>
  <c r="G114" i="382"/>
  <c r="G113" i="382"/>
  <c r="G112" i="382"/>
  <c r="G111" i="382"/>
  <c r="G110" i="382"/>
  <c r="G109" i="382"/>
  <c r="G108" i="382"/>
  <c r="G107" i="382"/>
  <c r="G106" i="382"/>
  <c r="G105" i="382"/>
  <c r="D104" i="382"/>
  <c r="G104" i="382" s="1"/>
  <c r="F103" i="382"/>
  <c r="G103" i="382" s="1"/>
  <c r="G101" i="382" s="1"/>
  <c r="F101" i="382" s="1"/>
  <c r="B103" i="382"/>
  <c r="G102" i="382"/>
  <c r="B102" i="382"/>
  <c r="B104" i="382" s="1"/>
  <c r="B106" i="382" s="1"/>
  <c r="B108" i="382" s="1"/>
  <c r="B109" i="382" s="1"/>
  <c r="G100" i="382"/>
  <c r="F99" i="382"/>
  <c r="G99" i="382" s="1"/>
  <c r="F98" i="382"/>
  <c r="G98" i="382" s="1"/>
  <c r="G97" i="382"/>
  <c r="G96" i="382"/>
  <c r="G95" i="382"/>
  <c r="G94" i="382"/>
  <c r="G93" i="382"/>
  <c r="G92" i="382"/>
  <c r="G91" i="382"/>
  <c r="B91" i="382"/>
  <c r="B92" i="382" s="1"/>
  <c r="B93" i="382" s="1"/>
  <c r="G90" i="382"/>
  <c r="B90" i="382"/>
  <c r="G88" i="382"/>
  <c r="G87" i="382"/>
  <c r="G86" i="382"/>
  <c r="G83" i="382" s="1"/>
  <c r="F83" i="382" s="1"/>
  <c r="G85" i="382"/>
  <c r="G84" i="382"/>
  <c r="B84" i="382"/>
  <c r="G82" i="382"/>
  <c r="G81" i="382"/>
  <c r="G80" i="382"/>
  <c r="G79" i="382"/>
  <c r="G78" i="382"/>
  <c r="G77" i="382"/>
  <c r="G76" i="382"/>
  <c r="G75" i="382"/>
  <c r="G74" i="382"/>
  <c r="G73" i="382" s="1"/>
  <c r="F73" i="382" s="1"/>
  <c r="B74" i="382"/>
  <c r="B75" i="382" s="1"/>
  <c r="B78" i="382" s="1"/>
  <c r="B81" i="382" s="1"/>
  <c r="B82" i="382" s="1"/>
  <c r="G72" i="382"/>
  <c r="G71" i="382"/>
  <c r="F70" i="382"/>
  <c r="G70" i="382" s="1"/>
  <c r="G69" i="382" s="1"/>
  <c r="F69" i="382" s="1"/>
  <c r="B70" i="382"/>
  <c r="B71" i="382" s="1"/>
  <c r="B72" i="382" s="1"/>
  <c r="G68" i="382"/>
  <c r="G67" i="382"/>
  <c r="F66" i="382"/>
  <c r="G66" i="382" s="1"/>
  <c r="B66" i="382"/>
  <c r="B67" i="382" s="1"/>
  <c r="B68" i="382" s="1"/>
  <c r="D64" i="382"/>
  <c r="G64" i="382" s="1"/>
  <c r="G63" i="382"/>
  <c r="G62" i="382"/>
  <c r="B62" i="382"/>
  <c r="B63" i="382" s="1"/>
  <c r="B64" i="382" s="1"/>
  <c r="G60" i="382"/>
  <c r="G59" i="382"/>
  <c r="G58" i="382"/>
  <c r="G57" i="382"/>
  <c r="G56" i="382"/>
  <c r="G55" i="382"/>
  <c r="G54" i="382"/>
  <c r="G53" i="382"/>
  <c r="G52" i="382"/>
  <c r="G51" i="382"/>
  <c r="G50" i="382"/>
  <c r="F49" i="382"/>
  <c r="G49" i="382" s="1"/>
  <c r="G47" i="382" s="1"/>
  <c r="F47" i="382" s="1"/>
  <c r="B49" i="382"/>
  <c r="G48" i="382"/>
  <c r="B48" i="382"/>
  <c r="B50" i="382" s="1"/>
  <c r="B51" i="382" s="1"/>
  <c r="G46" i="382"/>
  <c r="D45" i="382"/>
  <c r="G45" i="382" s="1"/>
  <c r="G44" i="382"/>
  <c r="G43" i="382"/>
  <c r="G42" i="382"/>
  <c r="G41" i="382"/>
  <c r="G40" i="382"/>
  <c r="G39" i="382"/>
  <c r="G38" i="382"/>
  <c r="B38" i="382"/>
  <c r="B39" i="382" s="1"/>
  <c r="G36" i="382"/>
  <c r="F35" i="382"/>
  <c r="G35" i="382" s="1"/>
  <c r="F34" i="382"/>
  <c r="G34" i="382" s="1"/>
  <c r="G33" i="382"/>
  <c r="G32" i="382"/>
  <c r="G31" i="382"/>
  <c r="G30" i="382"/>
  <c r="G29" i="382"/>
  <c r="G28" i="382"/>
  <c r="G27" i="382"/>
  <c r="G26" i="382"/>
  <c r="F25" i="382"/>
  <c r="G25" i="382" s="1"/>
  <c r="B25" i="382"/>
  <c r="G24" i="382"/>
  <c r="B24" i="382"/>
  <c r="B26" i="382" s="1"/>
  <c r="B27" i="382" s="1"/>
  <c r="B28" i="382" s="1"/>
  <c r="B29" i="382" s="1"/>
  <c r="B30" i="382" s="1"/>
  <c r="A23" i="382"/>
  <c r="A24" i="382" s="1"/>
  <c r="A25" i="382" s="1"/>
  <c r="A26" i="382" s="1"/>
  <c r="A27" i="382" s="1"/>
  <c r="A28" i="382" s="1"/>
  <c r="A29" i="382" s="1"/>
  <c r="A30" i="382" s="1"/>
  <c r="A31" i="382" s="1"/>
  <c r="A32" i="382" s="1"/>
  <c r="A33" i="382" s="1"/>
  <c r="A34" i="382" s="1"/>
  <c r="A35" i="382" s="1"/>
  <c r="A36" i="382" s="1"/>
  <c r="A37" i="382" s="1"/>
  <c r="A38" i="382" s="1"/>
  <c r="A39" i="382" s="1"/>
  <c r="D22" i="382"/>
  <c r="G21" i="382"/>
  <c r="G20" i="382"/>
  <c r="F19" i="382"/>
  <c r="G19" i="382" s="1"/>
  <c r="G18" i="382" s="1"/>
  <c r="F18" i="382" s="1"/>
  <c r="B19" i="382"/>
  <c r="B20" i="382" s="1"/>
  <c r="B21" i="382" s="1"/>
  <c r="G17" i="382"/>
  <c r="F16" i="382"/>
  <c r="G16" i="382" s="1"/>
  <c r="F15" i="382"/>
  <c r="G15" i="382" s="1"/>
  <c r="G14" i="382"/>
  <c r="G13" i="382"/>
  <c r="G12" i="382"/>
  <c r="G11" i="382"/>
  <c r="B11" i="382"/>
  <c r="B16" i="382" s="1"/>
  <c r="G10" i="382"/>
  <c r="G9" i="382"/>
  <c r="B9" i="382"/>
  <c r="A9" i="382"/>
  <c r="A11" i="382" s="1"/>
  <c r="A8" i="382"/>
  <c r="A10" i="382" s="1"/>
  <c r="D7" i="382"/>
  <c r="G37" i="382" l="1"/>
  <c r="F37" i="382" s="1"/>
  <c r="G65" i="382"/>
  <c r="F65" i="382" s="1"/>
  <c r="G61" i="382"/>
  <c r="F61" i="382" s="1"/>
  <c r="G118" i="382"/>
  <c r="F118" i="382" s="1"/>
  <c r="G105" i="389"/>
  <c r="G106" i="389"/>
  <c r="G102" i="389"/>
  <c r="E124" i="389"/>
  <c r="D9" i="387"/>
  <c r="E134" i="389"/>
  <c r="D25" i="387"/>
  <c r="G40" i="389"/>
  <c r="G42" i="389"/>
  <c r="G41" i="389"/>
  <c r="E137" i="389"/>
  <c r="D29" i="387"/>
  <c r="D26" i="387"/>
  <c r="E133" i="389"/>
  <c r="E131" i="389"/>
  <c r="D23" i="387"/>
  <c r="E135" i="389"/>
  <c r="D27" i="387"/>
  <c r="E125" i="389"/>
  <c r="D10" i="387"/>
  <c r="E136" i="389"/>
  <c r="D28" i="387"/>
  <c r="E130" i="389"/>
  <c r="D22" i="387"/>
  <c r="E123" i="389"/>
  <c r="D18" i="387"/>
  <c r="E132" i="389"/>
  <c r="D24" i="387"/>
  <c r="E128" i="389"/>
  <c r="D11" i="387"/>
  <c r="E139" i="389"/>
  <c r="D13" i="387"/>
  <c r="B85" i="382"/>
  <c r="B86" i="382"/>
  <c r="B42" i="382"/>
  <c r="B40" i="382"/>
  <c r="B41" i="382" s="1"/>
  <c r="B45" i="382" s="1"/>
  <c r="B10" i="382"/>
  <c r="B15" i="382" s="1"/>
  <c r="B14" i="382"/>
  <c r="B17" i="382" s="1"/>
  <c r="B12" i="382"/>
  <c r="A12" i="382"/>
  <c r="A13" i="382"/>
  <c r="A16" i="382" s="1"/>
  <c r="A14" i="382"/>
  <c r="L1130" i="176"/>
  <c r="L1098" i="176"/>
  <c r="L1080" i="176"/>
  <c r="L1060" i="176"/>
  <c r="L1020" i="176"/>
  <c r="E122" i="389"/>
  <c r="E127" i="389"/>
  <c r="G108" i="389"/>
  <c r="G109" i="389"/>
  <c r="D17" i="387" s="1"/>
  <c r="G110" i="389"/>
  <c r="D20" i="387" s="1"/>
  <c r="G111" i="389"/>
  <c r="E129" i="389" s="1"/>
  <c r="G100" i="389"/>
  <c r="A40" i="382"/>
  <c r="A41" i="382" s="1"/>
  <c r="A42" i="382"/>
  <c r="A43" i="382" s="1"/>
  <c r="G8" i="382"/>
  <c r="G7" i="382" s="1"/>
  <c r="F7" i="382" s="1"/>
  <c r="G23" i="382"/>
  <c r="A15" i="382"/>
  <c r="A17" i="382"/>
  <c r="A18" i="382" s="1"/>
  <c r="A19" i="382" s="1"/>
  <c r="A20" i="382" s="1"/>
  <c r="A21" i="382" s="1"/>
  <c r="B145" i="382"/>
  <c r="B147" i="382"/>
  <c r="B31" i="382"/>
  <c r="B33" i="382" s="1"/>
  <c r="B35" i="382" s="1"/>
  <c r="B32" i="382"/>
  <c r="B34" i="382" s="1"/>
  <c r="B36" i="382" s="1"/>
  <c r="B53" i="382"/>
  <c r="B52" i="382"/>
  <c r="B54" i="382" s="1"/>
  <c r="B55" i="382" s="1"/>
  <c r="B56" i="382" s="1"/>
  <c r="B57" i="382" s="1"/>
  <c r="B150" i="382"/>
  <c r="B152" i="382"/>
  <c r="B153" i="382" s="1"/>
  <c r="G89" i="382"/>
  <c r="F89" i="382" s="1"/>
  <c r="B94" i="382"/>
  <c r="B95" i="382"/>
  <c r="B99" i="382" s="1"/>
  <c r="B114" i="382"/>
  <c r="B110" i="382"/>
  <c r="B112" i="382"/>
  <c r="G157" i="382"/>
  <c r="B13" i="382"/>
  <c r="B76" i="382"/>
  <c r="B77" i="382" s="1"/>
  <c r="B122" i="382"/>
  <c r="B105" i="382"/>
  <c r="B107" i="382" s="1"/>
  <c r="D19" i="387" l="1"/>
  <c r="E126" i="389"/>
  <c r="D16" i="387"/>
  <c r="E121" i="389"/>
  <c r="D21" i="387"/>
  <c r="D12" i="387"/>
  <c r="E138" i="389"/>
  <c r="B88" i="382"/>
  <c r="B87" i="382"/>
  <c r="B44" i="382"/>
  <c r="B43" i="382"/>
  <c r="B46" i="382"/>
  <c r="G117" i="389"/>
  <c r="E120" i="389"/>
  <c r="E140" i="389" s="1"/>
  <c r="D15" i="387"/>
  <c r="B58" i="382"/>
  <c r="B59" i="382"/>
  <c r="B60" i="382" s="1"/>
  <c r="G22" i="382"/>
  <c r="F23" i="382"/>
  <c r="A44" i="382"/>
  <c r="A46" i="382" s="1"/>
  <c r="A47" i="382" s="1"/>
  <c r="A48" i="382" s="1"/>
  <c r="A49" i="382" s="1"/>
  <c r="A50" i="382" s="1"/>
  <c r="A51" i="382" s="1"/>
  <c r="A52" i="382" s="1"/>
  <c r="A53" i="382" s="1"/>
  <c r="A54" i="382" s="1"/>
  <c r="A55" i="382" s="1"/>
  <c r="A56" i="382" s="1"/>
  <c r="A57" i="382" s="1"/>
  <c r="A45" i="382"/>
  <c r="B111" i="382"/>
  <c r="B116" i="382"/>
  <c r="B113" i="382"/>
  <c r="B124" i="382"/>
  <c r="B125" i="382"/>
  <c r="B127" i="382" s="1"/>
  <c r="B129" i="382" s="1"/>
  <c r="B131" i="382" s="1"/>
  <c r="B133" i="382" s="1"/>
  <c r="B135" i="382" s="1"/>
  <c r="B137" i="382" s="1"/>
  <c r="B139" i="382" s="1"/>
  <c r="B80" i="382"/>
  <c r="B79" i="382"/>
  <c r="B96" i="382"/>
  <c r="B98" i="382"/>
  <c r="B149" i="382"/>
  <c r="B151" i="382"/>
  <c r="A58" i="382" l="1"/>
  <c r="A59" i="382"/>
  <c r="A60" i="382" s="1"/>
  <c r="A61" i="382" s="1"/>
  <c r="A62" i="382" s="1"/>
  <c r="A63" i="382" s="1"/>
  <c r="A64" i="382" s="1"/>
  <c r="B97" i="382"/>
  <c r="B100" i="382"/>
  <c r="F22" i="382"/>
  <c r="B115" i="382"/>
  <c r="B117" i="382"/>
  <c r="A73" i="382" l="1"/>
  <c r="A74" i="382" s="1"/>
  <c r="A75" i="382" s="1"/>
  <c r="A76" i="382" s="1"/>
  <c r="A77" i="382" s="1"/>
  <c r="A78" i="382" s="1"/>
  <c r="A79" i="382" s="1"/>
  <c r="A80" i="382" s="1"/>
  <c r="A81" i="382" s="1"/>
  <c r="A82" i="382" s="1"/>
  <c r="A83" i="382" s="1"/>
  <c r="A84" i="382" s="1"/>
  <c r="A85" i="382" s="1"/>
  <c r="A86" i="382" s="1"/>
  <c r="A87" i="382" s="1"/>
  <c r="A88" i="382" s="1"/>
  <c r="A89" i="382" s="1"/>
  <c r="A90" i="382" s="1"/>
  <c r="A91" i="382" s="1"/>
  <c r="A92" i="382" s="1"/>
  <c r="A93" i="382" s="1"/>
  <c r="A94" i="382" s="1"/>
  <c r="A95" i="382" s="1"/>
  <c r="A96" i="382" s="1"/>
  <c r="A97" i="382" s="1"/>
  <c r="A98" i="382" s="1"/>
  <c r="A99" i="382" s="1"/>
  <c r="A100" i="382" s="1"/>
  <c r="A101" i="382" s="1"/>
  <c r="A102" i="382" s="1"/>
  <c r="A103" i="382" s="1"/>
  <c r="A104" i="382" s="1"/>
  <c r="A105" i="382" s="1"/>
  <c r="A106" i="382" s="1"/>
  <c r="A107" i="382" s="1"/>
  <c r="A108" i="382" s="1"/>
  <c r="A109" i="382" s="1"/>
  <c r="A110" i="382" s="1"/>
  <c r="A65" i="382"/>
  <c r="A66" i="382" s="1"/>
  <c r="A67" i="382" s="1"/>
  <c r="A68" i="382" s="1"/>
  <c r="A69" i="382" s="1"/>
  <c r="A70" i="382" s="1"/>
  <c r="A71" i="382" s="1"/>
  <c r="A72" i="382" s="1"/>
  <c r="A111" i="382" l="1"/>
  <c r="A112" i="382"/>
  <c r="A113" i="382" s="1"/>
  <c r="A114" i="382" s="1"/>
  <c r="A115" i="382" s="1"/>
  <c r="A116" i="382" s="1"/>
  <c r="A117" i="382" s="1"/>
  <c r="A118" i="382" s="1"/>
  <c r="A119" i="382" s="1"/>
  <c r="A120" i="382" s="1"/>
  <c r="A121" i="382" s="1"/>
  <c r="A122" i="382" s="1"/>
  <c r="A123" i="382" s="1"/>
  <c r="A124" i="382" l="1"/>
  <c r="A125" i="382"/>
  <c r="A126" i="382" s="1"/>
  <c r="A127" i="382" s="1"/>
  <c r="A128" i="382" s="1"/>
  <c r="A129" i="382" s="1"/>
  <c r="A130" i="382" s="1"/>
  <c r="A131" i="382" s="1"/>
  <c r="A132" i="382" s="1"/>
  <c r="A133" i="382" s="1"/>
  <c r="A134" i="382" s="1"/>
  <c r="A135" i="382" s="1"/>
  <c r="A136" i="382" s="1"/>
  <c r="A137" i="382" s="1"/>
  <c r="A138" i="382" s="1"/>
  <c r="A139" i="382" s="1"/>
  <c r="A140" i="382" s="1"/>
  <c r="A141" i="382" s="1"/>
  <c r="A142" i="382" s="1"/>
  <c r="A143" i="382" s="1"/>
  <c r="A144" i="382" s="1"/>
  <c r="A145" i="382" s="1"/>
  <c r="A146" i="382" s="1"/>
  <c r="A147" i="382" s="1"/>
  <c r="A148" i="382" s="1"/>
  <c r="A149" i="382" s="1"/>
  <c r="A150" i="382" s="1"/>
  <c r="A151" i="382" s="1"/>
  <c r="A152" i="382" s="1"/>
  <c r="A153" i="382" s="1"/>
  <c r="A154" i="382" s="1"/>
  <c r="A155" i="382" s="1"/>
  <c r="L1116" i="176" l="1"/>
  <c r="L1115" i="176"/>
  <c r="F140" i="400" l="1"/>
  <c r="I32" i="398"/>
  <c r="I21" i="398"/>
  <c r="M1170" i="176"/>
  <c r="M1168" i="176"/>
  <c r="M1167" i="176"/>
  <c r="M1166" i="176"/>
  <c r="M1165" i="176"/>
  <c r="M1164" i="176"/>
  <c r="L1259" i="176"/>
  <c r="L1196" i="176"/>
  <c r="L1220" i="176"/>
  <c r="L1237" i="176"/>
  <c r="B61" i="405" l="1"/>
  <c r="N1282" i="176"/>
  <c r="C20" i="412"/>
  <c r="C11" i="412"/>
  <c r="F11" i="412" s="1"/>
  <c r="F20" i="412"/>
  <c r="C19" i="412"/>
  <c r="F19" i="412" s="1"/>
  <c r="C15" i="412"/>
  <c r="F15" i="412" s="1"/>
  <c r="C14" i="412"/>
  <c r="F13" i="412"/>
  <c r="F12" i="412"/>
  <c r="C18" i="412" l="1"/>
  <c r="F18" i="412" s="1"/>
  <c r="C17" i="412"/>
  <c r="F17" i="412" s="1"/>
  <c r="C16" i="412"/>
  <c r="F16" i="412" s="1"/>
  <c r="F14" i="412"/>
  <c r="F21" i="412" s="1"/>
  <c r="M1289" i="176" s="1"/>
  <c r="N126" i="176"/>
  <c r="N125" i="176" s="1"/>
  <c r="M58" i="176"/>
  <c r="N58" i="176" s="1"/>
  <c r="N201" i="176"/>
  <c r="N200" i="176" s="1"/>
  <c r="M199" i="176"/>
  <c r="N199" i="176" s="1"/>
  <c r="N198" i="176" s="1"/>
  <c r="M197" i="176"/>
  <c r="N197" i="176" s="1"/>
  <c r="M196" i="176"/>
  <c r="N196" i="176" s="1"/>
  <c r="M193" i="176"/>
  <c r="N193" i="176" s="1"/>
  <c r="N192" i="176" s="1"/>
  <c r="M191" i="176"/>
  <c r="N191" i="176" s="1"/>
  <c r="N190" i="176" s="1"/>
  <c r="N189" i="176"/>
  <c r="N188" i="176" s="1"/>
  <c r="M184" i="176"/>
  <c r="N184" i="176" s="1"/>
  <c r="N183" i="176" s="1"/>
  <c r="M182" i="176"/>
  <c r="N182" i="176" s="1"/>
  <c r="M181" i="176"/>
  <c r="N181" i="176" s="1"/>
  <c r="M180" i="176"/>
  <c r="N180" i="176" s="1"/>
  <c r="M179" i="176"/>
  <c r="N179" i="176" s="1"/>
  <c r="M178" i="176"/>
  <c r="N178" i="176" s="1"/>
  <c r="M174" i="176"/>
  <c r="N174" i="176" s="1"/>
  <c r="M173" i="176"/>
  <c r="N173" i="176" s="1"/>
  <c r="M171" i="176"/>
  <c r="N171" i="176" s="1"/>
  <c r="M170" i="176"/>
  <c r="N170" i="176" s="1"/>
  <c r="M169" i="176"/>
  <c r="N169" i="176" s="1"/>
  <c r="M168" i="176"/>
  <c r="N168" i="176" s="1"/>
  <c r="M166" i="176"/>
  <c r="N166" i="176" s="1"/>
  <c r="N165" i="176" s="1"/>
  <c r="M164" i="176"/>
  <c r="N164" i="176" s="1"/>
  <c r="N163" i="176" s="1"/>
  <c r="M162" i="176"/>
  <c r="N162" i="176" s="1"/>
  <c r="M161" i="176"/>
  <c r="N161" i="176" s="1"/>
  <c r="M159" i="176"/>
  <c r="N159" i="176" s="1"/>
  <c r="M158" i="176"/>
  <c r="N158" i="176" s="1"/>
  <c r="M157" i="176"/>
  <c r="N157" i="176" s="1"/>
  <c r="M156" i="176"/>
  <c r="N156" i="176" s="1"/>
  <c r="M154" i="176"/>
  <c r="N154" i="176" s="1"/>
  <c r="N153" i="176" s="1"/>
  <c r="N151" i="176"/>
  <c r="N150" i="176" s="1"/>
  <c r="M149" i="176"/>
  <c r="N149" i="176" s="1"/>
  <c r="N148" i="176" s="1"/>
  <c r="M147" i="176"/>
  <c r="N147" i="176" s="1"/>
  <c r="N146" i="176" s="1"/>
  <c r="M145" i="176"/>
  <c r="N145" i="176" s="1"/>
  <c r="N144" i="176" s="1"/>
  <c r="M143" i="176"/>
  <c r="N143" i="176" s="1"/>
  <c r="N142" i="176" s="1"/>
  <c r="M141" i="176"/>
  <c r="N141" i="176" s="1"/>
  <c r="N140" i="176" s="1"/>
  <c r="M139" i="176"/>
  <c r="N139" i="176" s="1"/>
  <c r="N138" i="176" s="1"/>
  <c r="M137" i="176"/>
  <c r="N137" i="176" s="1"/>
  <c r="N136" i="176" s="1"/>
  <c r="M135" i="176"/>
  <c r="N135" i="176" s="1"/>
  <c r="N134" i="176" s="1"/>
  <c r="M133" i="176"/>
  <c r="N133" i="176" s="1"/>
  <c r="N132" i="176" s="1"/>
  <c r="N129" i="176"/>
  <c r="M128" i="176"/>
  <c r="N128" i="176" s="1"/>
  <c r="N127" i="176" s="1"/>
  <c r="N124" i="176"/>
  <c r="N123" i="176" s="1"/>
  <c r="N122" i="176"/>
  <c r="N121" i="176" s="1"/>
  <c r="M120" i="176"/>
  <c r="N120" i="176" s="1"/>
  <c r="N119" i="176" s="1"/>
  <c r="M118" i="176"/>
  <c r="N118" i="176" s="1"/>
  <c r="N117" i="176" s="1"/>
  <c r="N116" i="176"/>
  <c r="N115" i="176" s="1"/>
  <c r="N114" i="176"/>
  <c r="N113" i="176" s="1"/>
  <c r="M110" i="176"/>
  <c r="N110" i="176" s="1"/>
  <c r="N109" i="176" s="1"/>
  <c r="M108" i="176"/>
  <c r="N108" i="176" s="1"/>
  <c r="M107" i="176"/>
  <c r="N107" i="176" s="1"/>
  <c r="M105" i="176"/>
  <c r="N105" i="176" s="1"/>
  <c r="N104" i="176" s="1"/>
  <c r="M103" i="176"/>
  <c r="N103" i="176" s="1"/>
  <c r="M102" i="176"/>
  <c r="N102" i="176" s="1"/>
  <c r="M101" i="176"/>
  <c r="N101" i="176" s="1"/>
  <c r="M100" i="176"/>
  <c r="N100" i="176" s="1"/>
  <c r="M98" i="176"/>
  <c r="N98" i="176" s="1"/>
  <c r="N97" i="176" s="1"/>
  <c r="M96" i="176"/>
  <c r="N96" i="176" s="1"/>
  <c r="M95" i="176"/>
  <c r="N95" i="176" s="1"/>
  <c r="M93" i="176"/>
  <c r="N93" i="176" s="1"/>
  <c r="M92" i="176"/>
  <c r="N92" i="176" s="1"/>
  <c r="M91" i="176"/>
  <c r="N91" i="176" s="1"/>
  <c r="M90" i="176"/>
  <c r="N90" i="176" s="1"/>
  <c r="M89" i="176"/>
  <c r="N89" i="176" s="1"/>
  <c r="M84" i="176"/>
  <c r="N84" i="176" s="1"/>
  <c r="N83" i="176" s="1"/>
  <c r="N81" i="176"/>
  <c r="N80" i="176" s="1"/>
  <c r="N79" i="176" s="1"/>
  <c r="M77" i="176"/>
  <c r="N77" i="176" s="1"/>
  <c r="N76" i="176" s="1"/>
  <c r="M75" i="176"/>
  <c r="N75" i="176" s="1"/>
  <c r="N74" i="176" s="1"/>
  <c r="M73" i="176"/>
  <c r="N73" i="176" s="1"/>
  <c r="N72" i="176" s="1"/>
  <c r="M71" i="176"/>
  <c r="N71" i="176" s="1"/>
  <c r="N70" i="176" s="1"/>
  <c r="M69" i="176"/>
  <c r="N69" i="176" s="1"/>
  <c r="N68" i="176" s="1"/>
  <c r="M67" i="176"/>
  <c r="N67" i="176" s="1"/>
  <c r="N66" i="176" s="1"/>
  <c r="M65" i="176"/>
  <c r="N65" i="176" s="1"/>
  <c r="N64" i="176" s="1"/>
  <c r="M63" i="176"/>
  <c r="N63" i="176" s="1"/>
  <c r="N62" i="176" s="1"/>
  <c r="M61" i="176"/>
  <c r="N61" i="176" s="1"/>
  <c r="N60" i="176" s="1"/>
  <c r="M59" i="176"/>
  <c r="N59" i="176" s="1"/>
  <c r="N50" i="176"/>
  <c r="N49" i="176" s="1"/>
  <c r="M46" i="176"/>
  <c r="N46" i="176" s="1"/>
  <c r="N45" i="176" s="1"/>
  <c r="M37" i="176"/>
  <c r="N37" i="176" s="1"/>
  <c r="N36" i="176" s="1"/>
  <c r="M34" i="176"/>
  <c r="N34" i="176" s="1"/>
  <c r="M33" i="176"/>
  <c r="N33" i="176" s="1"/>
  <c r="M31" i="176"/>
  <c r="N31" i="176" s="1"/>
  <c r="N30" i="176" s="1"/>
  <c r="N29" i="176"/>
  <c r="N28" i="176" s="1"/>
  <c r="M27" i="176"/>
  <c r="N27" i="176" s="1"/>
  <c r="M24" i="176"/>
  <c r="N24" i="176" s="1"/>
  <c r="N23" i="176" s="1"/>
  <c r="M22" i="176"/>
  <c r="N22" i="176" s="1"/>
  <c r="N21" i="176" s="1"/>
  <c r="M20" i="176"/>
  <c r="N20" i="176" s="1"/>
  <c r="N19" i="176" s="1"/>
  <c r="M18" i="176"/>
  <c r="N18" i="176" s="1"/>
  <c r="N17" i="176" s="1"/>
  <c r="M16" i="176"/>
  <c r="N16" i="176" s="1"/>
  <c r="N15" i="176" s="1"/>
  <c r="N12" i="176"/>
  <c r="Q11" i="407"/>
  <c r="R11" i="407" s="1"/>
  <c r="H11" i="407"/>
  <c r="H12" i="407"/>
  <c r="H28" i="137"/>
  <c r="Q12" i="407"/>
  <c r="R12" i="407" s="1"/>
  <c r="N185" i="176" l="1"/>
  <c r="N38" i="176"/>
  <c r="N35" i="176" s="1"/>
  <c r="N57" i="176"/>
  <c r="N160" i="176"/>
  <c r="N177" i="176"/>
  <c r="N176" i="176" s="1"/>
  <c r="N155" i="176"/>
  <c r="N11" i="176"/>
  <c r="N10" i="176" s="1"/>
  <c r="N9" i="176" s="1"/>
  <c r="N14" i="176"/>
  <c r="N32" i="176"/>
  <c r="N26" i="176"/>
  <c r="N172" i="176"/>
  <c r="N106" i="176"/>
  <c r="N94" i="176"/>
  <c r="N85" i="176"/>
  <c r="N99" i="176"/>
  <c r="N88" i="176"/>
  <c r="N112" i="176"/>
  <c r="N131" i="176"/>
  <c r="N167" i="176"/>
  <c r="N195" i="176"/>
  <c r="N194" i="176" s="1"/>
  <c r="N25" i="176" l="1"/>
  <c r="N152" i="176"/>
  <c r="N111" i="176" s="1"/>
  <c r="N82" i="176"/>
  <c r="N78" i="176" s="1"/>
  <c r="N175" i="176"/>
  <c r="E8" i="176" l="1"/>
  <c r="E202" i="176" s="1"/>
  <c r="D8" i="176"/>
  <c r="D202" i="176" s="1"/>
  <c r="C8" i="176"/>
  <c r="C202" i="176" s="1"/>
  <c r="B8" i="176"/>
  <c r="A8" i="176"/>
  <c r="B202" i="176"/>
  <c r="I28" i="137"/>
  <c r="J28" i="137" s="1"/>
  <c r="I8" i="176" l="1"/>
  <c r="A202" i="176"/>
  <c r="I202" i="176" s="1"/>
  <c r="E63" i="396"/>
  <c r="M143" i="397" s="1"/>
  <c r="L1174" i="176"/>
  <c r="M1174" i="176"/>
  <c r="M1279" i="176"/>
  <c r="M1277" i="176"/>
  <c r="I9" i="397" l="1"/>
  <c r="L961" i="176"/>
  <c r="M520" i="176" l="1"/>
  <c r="N520" i="176" s="1"/>
  <c r="E519" i="176"/>
  <c r="E520" i="176" s="1"/>
  <c r="N519" i="176" l="1"/>
  <c r="M510" i="176"/>
  <c r="M508" i="176"/>
  <c r="M506" i="176"/>
  <c r="M504" i="176"/>
  <c r="M516" i="176"/>
  <c r="K18" i="392" l="1"/>
  <c r="K24" i="392"/>
  <c r="K30" i="392"/>
  <c r="K36" i="392"/>
  <c r="K46" i="392"/>
  <c r="M1184" i="176"/>
  <c r="M273" i="176" l="1"/>
  <c r="M293" i="176"/>
  <c r="N1289" i="176" l="1"/>
  <c r="E1288" i="176"/>
  <c r="E1289" i="176" s="1"/>
  <c r="E1169" i="176"/>
  <c r="E1170" i="176" s="1"/>
  <c r="N1288" i="176" l="1"/>
  <c r="M1181" i="176"/>
  <c r="M1182" i="176"/>
  <c r="M724" i="176"/>
  <c r="M741" i="176"/>
  <c r="M758" i="176"/>
  <c r="M775" i="176"/>
  <c r="M792" i="176"/>
  <c r="M807" i="176"/>
  <c r="M832" i="176"/>
  <c r="M596" i="176"/>
  <c r="M595" i="176"/>
  <c r="N595" i="176" s="1"/>
  <c r="M593" i="176"/>
  <c r="M592" i="176"/>
  <c r="L879" i="176" l="1"/>
  <c r="M857" i="176"/>
  <c r="M582" i="176"/>
  <c r="N582" i="176" s="1"/>
  <c r="E581" i="176"/>
  <c r="E582" i="176" s="1"/>
  <c r="N581" i="176" l="1"/>
  <c r="L578" i="176"/>
  <c r="L560" i="176"/>
  <c r="L551" i="176"/>
  <c r="L544" i="176"/>
  <c r="L537" i="176"/>
  <c r="L530" i="176"/>
  <c r="M578" i="176"/>
  <c r="E577" i="176"/>
  <c r="E578" i="176" s="1"/>
  <c r="M576" i="176"/>
  <c r="N576" i="176" s="1"/>
  <c r="E575" i="176"/>
  <c r="E576" i="176" s="1"/>
  <c r="M574" i="176"/>
  <c r="N574" i="176" s="1"/>
  <c r="E573" i="176"/>
  <c r="E574" i="176" s="1"/>
  <c r="M572" i="176"/>
  <c r="N572" i="176" s="1"/>
  <c r="E571" i="176"/>
  <c r="E572" i="176" s="1"/>
  <c r="D570" i="176"/>
  <c r="D571" i="176" s="1"/>
  <c r="D572" i="176" s="1"/>
  <c r="D573" i="176" s="1"/>
  <c r="D574" i="176" s="1"/>
  <c r="D575" i="176" s="1"/>
  <c r="D576" i="176" s="1"/>
  <c r="D577" i="176" s="1"/>
  <c r="D578" i="176" s="1"/>
  <c r="M544" i="176"/>
  <c r="N544" i="176" s="1"/>
  <c r="E543" i="176"/>
  <c r="E544" i="176" s="1"/>
  <c r="M542" i="176"/>
  <c r="N542" i="176" s="1"/>
  <c r="E541" i="176"/>
  <c r="E542" i="176" s="1"/>
  <c r="M540" i="176"/>
  <c r="N540" i="176" s="1"/>
  <c r="E539" i="176"/>
  <c r="E540" i="176" s="1"/>
  <c r="D538" i="176"/>
  <c r="D539" i="176" s="1"/>
  <c r="D540" i="176" s="1"/>
  <c r="D541" i="176" s="1"/>
  <c r="D542" i="176" s="1"/>
  <c r="D543" i="176" s="1"/>
  <c r="D544" i="176" s="1"/>
  <c r="M551" i="176"/>
  <c r="N551" i="176" s="1"/>
  <c r="E550" i="176"/>
  <c r="E551" i="176" s="1"/>
  <c r="M549" i="176"/>
  <c r="N549" i="176" s="1"/>
  <c r="E548" i="176"/>
  <c r="E549" i="176" s="1"/>
  <c r="M547" i="176"/>
  <c r="N547" i="176" s="1"/>
  <c r="E546" i="176"/>
  <c r="E547" i="176" s="1"/>
  <c r="D545" i="176"/>
  <c r="D546" i="176" s="1"/>
  <c r="D547" i="176" s="1"/>
  <c r="D548" i="176" s="1"/>
  <c r="D549" i="176" s="1"/>
  <c r="D550" i="176" s="1"/>
  <c r="D551" i="176" s="1"/>
  <c r="M560" i="176"/>
  <c r="N560" i="176" s="1"/>
  <c r="E559" i="176"/>
  <c r="E560" i="176" s="1"/>
  <c r="M558" i="176"/>
  <c r="N558" i="176" s="1"/>
  <c r="E557" i="176"/>
  <c r="E558" i="176" s="1"/>
  <c r="M556" i="176"/>
  <c r="N556" i="176" s="1"/>
  <c r="E555" i="176"/>
  <c r="E556" i="176" s="1"/>
  <c r="M554" i="176"/>
  <c r="N554" i="176" s="1"/>
  <c r="E553" i="176"/>
  <c r="E554" i="176" s="1"/>
  <c r="D552" i="176"/>
  <c r="D553" i="176" s="1"/>
  <c r="D554" i="176" s="1"/>
  <c r="D555" i="176" s="1"/>
  <c r="D556" i="176" s="1"/>
  <c r="D557" i="176" s="1"/>
  <c r="D558" i="176" s="1"/>
  <c r="D559" i="176" s="1"/>
  <c r="D560" i="176" s="1"/>
  <c r="M569" i="176"/>
  <c r="E568" i="176"/>
  <c r="E569" i="176" s="1"/>
  <c r="E570" i="176" s="1"/>
  <c r="M567" i="176"/>
  <c r="N567" i="176" s="1"/>
  <c r="E566" i="176"/>
  <c r="E567" i="176" s="1"/>
  <c r="M565" i="176"/>
  <c r="N565" i="176" s="1"/>
  <c r="E564" i="176"/>
  <c r="E565" i="176" s="1"/>
  <c r="M563" i="176"/>
  <c r="N563" i="176" s="1"/>
  <c r="E562" i="176"/>
  <c r="E563" i="176" s="1"/>
  <c r="D561" i="176"/>
  <c r="D562" i="176" s="1"/>
  <c r="D563" i="176" s="1"/>
  <c r="D564" i="176" s="1"/>
  <c r="D565" i="176" s="1"/>
  <c r="D566" i="176" s="1"/>
  <c r="D567" i="176" s="1"/>
  <c r="D568" i="176" s="1"/>
  <c r="D569" i="176" s="1"/>
  <c r="M537" i="176"/>
  <c r="E536" i="176"/>
  <c r="E537" i="176" s="1"/>
  <c r="M535" i="176"/>
  <c r="N535" i="176" s="1"/>
  <c r="E534" i="176"/>
  <c r="E535" i="176" s="1"/>
  <c r="M533" i="176"/>
  <c r="N533" i="176" s="1"/>
  <c r="E532" i="176"/>
  <c r="E533" i="176" s="1"/>
  <c r="D531" i="176"/>
  <c r="D532" i="176" s="1"/>
  <c r="D533" i="176" s="1"/>
  <c r="D534" i="176" s="1"/>
  <c r="D535" i="176" s="1"/>
  <c r="D536" i="176" s="1"/>
  <c r="D537" i="176" s="1"/>
  <c r="N45" i="392"/>
  <c r="N40" i="392"/>
  <c r="N35" i="392"/>
  <c r="N29" i="392"/>
  <c r="N23" i="392"/>
  <c r="N17" i="392"/>
  <c r="N537" i="176" l="1"/>
  <c r="N562" i="176"/>
  <c r="N571" i="176"/>
  <c r="N532" i="176"/>
  <c r="N553" i="176"/>
  <c r="N557" i="176"/>
  <c r="N539" i="176"/>
  <c r="N543" i="176"/>
  <c r="N548" i="176"/>
  <c r="N575" i="176"/>
  <c r="N564" i="176"/>
  <c r="N546" i="176"/>
  <c r="N550" i="176"/>
  <c r="N573" i="176"/>
  <c r="N566" i="176"/>
  <c r="N534" i="176"/>
  <c r="N555" i="176"/>
  <c r="N559" i="176"/>
  <c r="N541" i="176"/>
  <c r="N578" i="176"/>
  <c r="E545" i="176"/>
  <c r="E538" i="176"/>
  <c r="E561" i="176"/>
  <c r="E552" i="176"/>
  <c r="N536" i="176" l="1"/>
  <c r="N538" i="176"/>
  <c r="N552" i="176"/>
  <c r="N577" i="176"/>
  <c r="N545" i="176"/>
  <c r="M584" i="176"/>
  <c r="M586" i="176"/>
  <c r="M588" i="176"/>
  <c r="M500" i="176"/>
  <c r="M502" i="176"/>
  <c r="M512" i="176"/>
  <c r="N531" i="176" l="1"/>
  <c r="N570" i="176"/>
  <c r="M530" i="176"/>
  <c r="N530" i="176" s="1"/>
  <c r="M528" i="176"/>
  <c r="N528" i="176" s="1"/>
  <c r="M526" i="176"/>
  <c r="N526" i="176" s="1"/>
  <c r="M524" i="176"/>
  <c r="N524" i="176" s="1"/>
  <c r="M522" i="176"/>
  <c r="N522" i="176" s="1"/>
  <c r="M1190" i="176"/>
  <c r="M1188" i="176"/>
  <c r="N521" i="176" l="1"/>
  <c r="N527" i="176"/>
  <c r="N523" i="176"/>
  <c r="N529" i="176"/>
  <c r="N525" i="176"/>
  <c r="M1108" i="176"/>
  <c r="N518" i="176" l="1"/>
  <c r="M1033" i="176"/>
  <c r="M1032" i="176"/>
  <c r="M1031" i="176"/>
  <c r="M1030" i="176"/>
  <c r="M1029" i="176"/>
  <c r="M1027" i="176"/>
  <c r="M1026" i="176"/>
  <c r="M1025" i="176"/>
  <c r="M1023" i="176"/>
  <c r="M1022" i="176"/>
  <c r="M1021" i="176"/>
  <c r="M1020" i="176"/>
  <c r="M1018" i="176"/>
  <c r="M1017" i="176"/>
  <c r="M618" i="176" l="1"/>
  <c r="D479" i="400"/>
  <c r="L1078" i="176" l="1"/>
  <c r="L1077" i="176"/>
  <c r="L1090" i="176" s="1"/>
  <c r="L1076" i="176"/>
  <c r="L1089" i="176" l="1"/>
  <c r="M1077" i="176"/>
  <c r="L1057" i="176"/>
  <c r="L1070" i="176" s="1"/>
  <c r="L1056" i="176"/>
  <c r="M1057" i="176"/>
  <c r="L1037" i="176"/>
  <c r="L1050" i="176" s="1"/>
  <c r="L1036" i="176"/>
  <c r="M1037" i="176"/>
  <c r="L1017" i="176"/>
  <c r="L1030" i="176" s="1"/>
  <c r="L1016" i="176"/>
  <c r="G20" i="410"/>
  <c r="F17" i="410"/>
  <c r="G17" i="410" s="1"/>
  <c r="C4" i="410"/>
  <c r="C3" i="410"/>
  <c r="C2" i="410"/>
  <c r="C1" i="410"/>
  <c r="G21" i="410"/>
  <c r="G19" i="410"/>
  <c r="G18" i="410"/>
  <c r="G16" i="410"/>
  <c r="G15" i="410"/>
  <c r="G14" i="410"/>
  <c r="G13" i="410"/>
  <c r="G22" i="410" l="1"/>
  <c r="N1077" i="176"/>
  <c r="N1057" i="176"/>
  <c r="N1037" i="176"/>
  <c r="N1030" i="176"/>
  <c r="N1017" i="176"/>
  <c r="L692" i="176" l="1"/>
  <c r="M692" i="176"/>
  <c r="M688" i="176"/>
  <c r="E687" i="176"/>
  <c r="E688" i="176" s="1"/>
  <c r="L674" i="176"/>
  <c r="L664" i="176"/>
  <c r="L607" i="176"/>
  <c r="L605" i="176"/>
  <c r="M607" i="176"/>
  <c r="L606" i="176"/>
  <c r="L611" i="176"/>
  <c r="L618" i="176" s="1"/>
  <c r="N618" i="176" s="1"/>
  <c r="M611" i="176"/>
  <c r="E610" i="176"/>
  <c r="E611" i="176" s="1"/>
  <c r="M606" i="176"/>
  <c r="L619" i="176"/>
  <c r="D11" i="401"/>
  <c r="D10" i="401"/>
  <c r="N606" i="176" l="1"/>
  <c r="N688" i="176"/>
  <c r="N607" i="176"/>
  <c r="N611" i="176"/>
  <c r="N687" i="176" l="1"/>
  <c r="N610" i="176"/>
  <c r="M1253" i="176"/>
  <c r="M1214" i="176"/>
  <c r="L1273" i="176"/>
  <c r="M1273" i="176"/>
  <c r="L1232" i="176"/>
  <c r="L1254" i="176"/>
  <c r="M1254" i="176"/>
  <c r="M1232" i="176"/>
  <c r="L1215" i="176"/>
  <c r="M1215" i="176"/>
  <c r="M1272" i="176"/>
  <c r="M1271" i="176"/>
  <c r="M1270" i="176"/>
  <c r="M1268" i="176"/>
  <c r="N1268" i="176" s="1"/>
  <c r="M1266" i="176"/>
  <c r="M1265" i="176"/>
  <c r="M1264" i="176"/>
  <c r="M1263" i="176"/>
  <c r="M1262" i="176"/>
  <c r="M1260" i="176"/>
  <c r="M1259" i="176"/>
  <c r="M1258" i="176"/>
  <c r="M1257" i="176"/>
  <c r="M1252" i="176"/>
  <c r="M1251" i="176"/>
  <c r="M1250" i="176"/>
  <c r="M1248" i="176"/>
  <c r="N1248" i="176" s="1"/>
  <c r="M1246" i="176"/>
  <c r="M1244" i="176"/>
  <c r="M1243" i="176"/>
  <c r="M1242" i="176"/>
  <c r="M1241" i="176"/>
  <c r="M1240" i="176"/>
  <c r="M1238" i="176"/>
  <c r="M1237" i="176"/>
  <c r="M1236" i="176"/>
  <c r="M1235" i="176"/>
  <c r="M1231" i="176"/>
  <c r="M1230" i="176"/>
  <c r="M1228" i="176"/>
  <c r="N1228" i="176" s="1"/>
  <c r="M1226" i="176"/>
  <c r="M1225" i="176"/>
  <c r="M1224" i="176"/>
  <c r="M1223" i="176"/>
  <c r="M1221" i="176"/>
  <c r="M1220" i="176"/>
  <c r="M1219" i="176"/>
  <c r="M1218" i="176"/>
  <c r="M1213" i="176"/>
  <c r="M1212" i="176"/>
  <c r="M1211" i="176"/>
  <c r="M1209" i="176"/>
  <c r="M1207" i="176"/>
  <c r="M1206" i="176"/>
  <c r="M1204" i="176"/>
  <c r="M1203" i="176"/>
  <c r="M1202" i="176"/>
  <c r="M1201" i="176"/>
  <c r="M1200" i="176"/>
  <c r="M1199" i="176"/>
  <c r="M1197" i="176"/>
  <c r="M1196" i="176"/>
  <c r="M1195" i="176"/>
  <c r="M1194" i="176"/>
  <c r="E1229" i="176"/>
  <c r="E1230" i="176" s="1"/>
  <c r="E1227" i="176"/>
  <c r="E1228" i="176" s="1"/>
  <c r="E1222" i="176"/>
  <c r="E1223" i="176" s="1"/>
  <c r="E1224" i="176" s="1"/>
  <c r="E1225" i="176" s="1"/>
  <c r="E1226" i="176" s="1"/>
  <c r="E1217" i="176"/>
  <c r="E1218" i="176" s="1"/>
  <c r="E1219" i="176" s="1"/>
  <c r="E1220" i="176" s="1"/>
  <c r="E1221" i="176" s="1"/>
  <c r="D1216" i="176"/>
  <c r="D1217" i="176" s="1"/>
  <c r="D1218" i="176" s="1"/>
  <c r="D1219" i="176" s="1"/>
  <c r="D1220" i="176" s="1"/>
  <c r="D1221" i="176" s="1"/>
  <c r="D1222" i="176" s="1"/>
  <c r="D1223" i="176" s="1"/>
  <c r="D1224" i="176" s="1"/>
  <c r="D1225" i="176" s="1"/>
  <c r="D1226" i="176" s="1"/>
  <c r="D1227" i="176" s="1"/>
  <c r="D1228" i="176" s="1"/>
  <c r="D1229" i="176" s="1"/>
  <c r="D1230" i="176" s="1"/>
  <c r="E1249" i="176"/>
  <c r="E1250" i="176" s="1"/>
  <c r="E1251" i="176" s="1"/>
  <c r="E1252" i="176" s="1"/>
  <c r="E1247" i="176"/>
  <c r="E1248" i="176" s="1"/>
  <c r="E1245" i="176"/>
  <c r="E1246" i="176" s="1"/>
  <c r="E1239" i="176"/>
  <c r="E1240" i="176" s="1"/>
  <c r="E1241" i="176" s="1"/>
  <c r="E1242" i="176" s="1"/>
  <c r="E1243" i="176" s="1"/>
  <c r="E1244" i="176" s="1"/>
  <c r="E1234" i="176"/>
  <c r="E1235" i="176" s="1"/>
  <c r="E1236" i="176" s="1"/>
  <c r="E1237" i="176" s="1"/>
  <c r="E1238" i="176" s="1"/>
  <c r="D1233" i="176"/>
  <c r="D1234" i="176" s="1"/>
  <c r="D1235" i="176" s="1"/>
  <c r="D1236" i="176" s="1"/>
  <c r="D1237" i="176" s="1"/>
  <c r="D1238" i="176" s="1"/>
  <c r="D1239" i="176" s="1"/>
  <c r="D1240" i="176" s="1"/>
  <c r="D1241" i="176" s="1"/>
  <c r="D1242" i="176" s="1"/>
  <c r="D1243" i="176" s="1"/>
  <c r="D1244" i="176" s="1"/>
  <c r="D1245" i="176" s="1"/>
  <c r="D1246" i="176" s="1"/>
  <c r="D1247" i="176" s="1"/>
  <c r="D1248" i="176" s="1"/>
  <c r="D1249" i="176" s="1"/>
  <c r="D1250" i="176" s="1"/>
  <c r="D1251" i="176" s="1"/>
  <c r="D1252" i="176" s="1"/>
  <c r="E1269" i="176"/>
  <c r="E1270" i="176" s="1"/>
  <c r="E1271" i="176" s="1"/>
  <c r="E1272" i="176" s="1"/>
  <c r="E1273" i="176" s="1"/>
  <c r="E1267" i="176"/>
  <c r="E1268" i="176" s="1"/>
  <c r="E1261" i="176"/>
  <c r="E1262" i="176" s="1"/>
  <c r="E1263" i="176" s="1"/>
  <c r="E1264" i="176" s="1"/>
  <c r="E1265" i="176" s="1"/>
  <c r="E1266" i="176" s="1"/>
  <c r="E1256" i="176"/>
  <c r="E1257" i="176" s="1"/>
  <c r="E1258" i="176" s="1"/>
  <c r="E1259" i="176" s="1"/>
  <c r="E1260" i="176" s="1"/>
  <c r="D1255" i="176"/>
  <c r="D1256" i="176" s="1"/>
  <c r="D1257" i="176" s="1"/>
  <c r="D1258" i="176" s="1"/>
  <c r="D1259" i="176" s="1"/>
  <c r="D1260" i="176" s="1"/>
  <c r="D1261" i="176" s="1"/>
  <c r="D1262" i="176" s="1"/>
  <c r="D1263" i="176" s="1"/>
  <c r="D1264" i="176" s="1"/>
  <c r="D1265" i="176" s="1"/>
  <c r="D1266" i="176" s="1"/>
  <c r="D1267" i="176" s="1"/>
  <c r="D1268" i="176" s="1"/>
  <c r="D1269" i="176" s="1"/>
  <c r="D1270" i="176" s="1"/>
  <c r="D1271" i="176" s="1"/>
  <c r="D1272" i="176" s="1"/>
  <c r="D1273" i="176" s="1"/>
  <c r="B65" i="405"/>
  <c r="B52" i="405"/>
  <c r="B54" i="405"/>
  <c r="L1197" i="176" s="1"/>
  <c r="B55" i="405"/>
  <c r="B56" i="405"/>
  <c r="B57" i="405"/>
  <c r="B58" i="405"/>
  <c r="B59" i="405"/>
  <c r="B60" i="405"/>
  <c r="B62" i="405"/>
  <c r="B63" i="405"/>
  <c r="B64" i="405"/>
  <c r="B85" i="405"/>
  <c r="B86" i="405"/>
  <c r="B87" i="405"/>
  <c r="B93" i="405"/>
  <c r="B94" i="405"/>
  <c r="B95" i="405"/>
  <c r="B96" i="405"/>
  <c r="B97" i="405"/>
  <c r="B81" i="405"/>
  <c r="B82" i="405"/>
  <c r="B83" i="405"/>
  <c r="B84" i="405"/>
  <c r="B90" i="405"/>
  <c r="B92" i="405"/>
  <c r="B77" i="405"/>
  <c r="B73" i="405"/>
  <c r="B74" i="405"/>
  <c r="B80" i="405"/>
  <c r="L1241" i="176" s="1"/>
  <c r="B70" i="405"/>
  <c r="L1221" i="176" s="1"/>
  <c r="B71" i="405"/>
  <c r="B72" i="405"/>
  <c r="B91" i="405"/>
  <c r="B78" i="405"/>
  <c r="B79" i="405"/>
  <c r="L1238" i="176" s="1"/>
  <c r="B69" i="405"/>
  <c r="B68" i="405"/>
  <c r="B53" i="405"/>
  <c r="M1284" i="176"/>
  <c r="L603" i="176"/>
  <c r="L602" i="176"/>
  <c r="L638" i="176"/>
  <c r="L642" i="176" s="1"/>
  <c r="L630" i="176"/>
  <c r="L634" i="176" s="1"/>
  <c r="L622" i="176"/>
  <c r="L626" i="176" s="1"/>
  <c r="M627" i="176"/>
  <c r="L627" i="176"/>
  <c r="M626" i="176"/>
  <c r="E625" i="176"/>
  <c r="E626" i="176" s="1"/>
  <c r="E627" i="176" s="1"/>
  <c r="M624" i="176"/>
  <c r="N624" i="176" s="1"/>
  <c r="E623" i="176"/>
  <c r="E624" i="176" s="1"/>
  <c r="M622" i="176"/>
  <c r="E621" i="176"/>
  <c r="E622" i="176" s="1"/>
  <c r="M635" i="176"/>
  <c r="L635" i="176"/>
  <c r="M634" i="176"/>
  <c r="E633" i="176"/>
  <c r="E634" i="176" s="1"/>
  <c r="E635" i="176" s="1"/>
  <c r="M632" i="176"/>
  <c r="N632" i="176" s="1"/>
  <c r="E631" i="176"/>
  <c r="E632" i="176" s="1"/>
  <c r="M630" i="176"/>
  <c r="E629" i="176"/>
  <c r="E630" i="176" s="1"/>
  <c r="M663" i="176"/>
  <c r="L643" i="176"/>
  <c r="M638" i="176"/>
  <c r="E637" i="176"/>
  <c r="E638" i="176" s="1"/>
  <c r="L655" i="176"/>
  <c r="L663" i="176" s="1"/>
  <c r="M655" i="176"/>
  <c r="E654" i="176"/>
  <c r="E655" i="176" s="1"/>
  <c r="L650" i="176"/>
  <c r="L649" i="176"/>
  <c r="L653" i="176"/>
  <c r="L662" i="176" s="1"/>
  <c r="L652" i="176"/>
  <c r="L661" i="176" s="1"/>
  <c r="L647" i="176"/>
  <c r="L660" i="176" s="1"/>
  <c r="L646" i="176"/>
  <c r="L659" i="176" s="1"/>
  <c r="L679" i="176"/>
  <c r="L672" i="176"/>
  <c r="L678" i="176" s="1"/>
  <c r="L671" i="176"/>
  <c r="L677" i="176" s="1"/>
  <c r="L669" i="176"/>
  <c r="L667" i="176"/>
  <c r="L676" i="176" s="1"/>
  <c r="L686" i="176"/>
  <c r="N692" i="176" s="1"/>
  <c r="L685" i="176"/>
  <c r="L683" i="176"/>
  <c r="L691" i="176" s="1"/>
  <c r="L682" i="176"/>
  <c r="L690" i="176" s="1"/>
  <c r="L699" i="176"/>
  <c r="L698" i="176"/>
  <c r="L696" i="176"/>
  <c r="L702" i="176" s="1"/>
  <c r="L695" i="176"/>
  <c r="L701" i="176" s="1"/>
  <c r="M702" i="176"/>
  <c r="M701" i="176"/>
  <c r="E700" i="176"/>
  <c r="E701" i="176" s="1"/>
  <c r="E702" i="176" s="1"/>
  <c r="M699" i="176"/>
  <c r="M698" i="176"/>
  <c r="E697" i="176"/>
  <c r="E698" i="176" s="1"/>
  <c r="E699" i="176" s="1"/>
  <c r="M696" i="176"/>
  <c r="M695" i="176"/>
  <c r="E694" i="176"/>
  <c r="E695" i="176" s="1"/>
  <c r="E696" i="176" s="1"/>
  <c r="D693" i="176"/>
  <c r="D694" i="176" s="1"/>
  <c r="D695" i="176" s="1"/>
  <c r="D696" i="176" s="1"/>
  <c r="D697" i="176" s="1"/>
  <c r="D698" i="176" s="1"/>
  <c r="D699" i="176" s="1"/>
  <c r="D700" i="176" s="1"/>
  <c r="D701" i="176" s="1"/>
  <c r="D702" i="176" s="1"/>
  <c r="D628" i="176"/>
  <c r="D629" i="176" s="1"/>
  <c r="D630" i="176" s="1"/>
  <c r="D631" i="176" s="1"/>
  <c r="D632" i="176" s="1"/>
  <c r="D633" i="176" s="1"/>
  <c r="D634" i="176" s="1"/>
  <c r="D635" i="176" s="1"/>
  <c r="D620" i="176"/>
  <c r="D621" i="176" s="1"/>
  <c r="D622" i="176" s="1"/>
  <c r="D623" i="176" s="1"/>
  <c r="D624" i="176" s="1"/>
  <c r="D625" i="176" s="1"/>
  <c r="D626" i="176" s="1"/>
  <c r="D627" i="176" s="1"/>
  <c r="M664" i="176"/>
  <c r="N664" i="176" s="1"/>
  <c r="M662" i="176"/>
  <c r="M661" i="176"/>
  <c r="M660" i="176"/>
  <c r="M659" i="176"/>
  <c r="E658" i="176"/>
  <c r="E659" i="176" s="1"/>
  <c r="E660" i="176" s="1"/>
  <c r="E661" i="176" s="1"/>
  <c r="E662" i="176" s="1"/>
  <c r="M657" i="176"/>
  <c r="N657" i="176" s="1"/>
  <c r="E656" i="176"/>
  <c r="E657" i="176" s="1"/>
  <c r="M653" i="176"/>
  <c r="M652" i="176"/>
  <c r="E651" i="176"/>
  <c r="E652" i="176" s="1"/>
  <c r="E653" i="176" s="1"/>
  <c r="M650" i="176"/>
  <c r="M649" i="176"/>
  <c r="E648" i="176"/>
  <c r="E649" i="176" s="1"/>
  <c r="E650" i="176" s="1"/>
  <c r="M647" i="176"/>
  <c r="M646" i="176"/>
  <c r="E645" i="176"/>
  <c r="E646" i="176" s="1"/>
  <c r="E647" i="176" s="1"/>
  <c r="D644" i="176"/>
  <c r="D645" i="176" s="1"/>
  <c r="D646" i="176" s="1"/>
  <c r="D647" i="176" s="1"/>
  <c r="D648" i="176" s="1"/>
  <c r="D649" i="176" s="1"/>
  <c r="D650" i="176" s="1"/>
  <c r="D651" i="176" s="1"/>
  <c r="D652" i="176" s="1"/>
  <c r="D653" i="176" s="1"/>
  <c r="D654" i="176" s="1"/>
  <c r="D655" i="176" s="1"/>
  <c r="M643" i="176"/>
  <c r="M642" i="176"/>
  <c r="E641" i="176"/>
  <c r="E642" i="176" s="1"/>
  <c r="E643" i="176" s="1"/>
  <c r="E644" i="176" s="1"/>
  <c r="M640" i="176"/>
  <c r="N640" i="176" s="1"/>
  <c r="E639" i="176"/>
  <c r="E640" i="176" s="1"/>
  <c r="D636" i="176"/>
  <c r="D637" i="176" s="1"/>
  <c r="D638" i="176" s="1"/>
  <c r="M679" i="176"/>
  <c r="M678" i="176"/>
  <c r="M677" i="176"/>
  <c r="M676" i="176"/>
  <c r="E675" i="176"/>
  <c r="E676" i="176" s="1"/>
  <c r="E677" i="176" s="1"/>
  <c r="E678" i="176" s="1"/>
  <c r="E679" i="176" s="1"/>
  <c r="M674" i="176"/>
  <c r="N674" i="176" s="1"/>
  <c r="E673" i="176"/>
  <c r="E674" i="176" s="1"/>
  <c r="M672" i="176"/>
  <c r="M671" i="176"/>
  <c r="E670" i="176"/>
  <c r="E671" i="176" s="1"/>
  <c r="E672" i="176" s="1"/>
  <c r="M669" i="176"/>
  <c r="E668" i="176"/>
  <c r="E669" i="176" s="1"/>
  <c r="M667" i="176"/>
  <c r="E666" i="176"/>
  <c r="E667" i="176" s="1"/>
  <c r="D665" i="176"/>
  <c r="D666" i="176" s="1"/>
  <c r="D667" i="176" s="1"/>
  <c r="D668" i="176" s="1"/>
  <c r="D669" i="176" s="1"/>
  <c r="D670" i="176" s="1"/>
  <c r="D671" i="176" s="1"/>
  <c r="D672" i="176" s="1"/>
  <c r="D673" i="176" s="1"/>
  <c r="D674" i="176" s="1"/>
  <c r="D675" i="176" s="1"/>
  <c r="D676" i="176" s="1"/>
  <c r="D677" i="176" s="1"/>
  <c r="D678" i="176" s="1"/>
  <c r="D679" i="176" s="1"/>
  <c r="M691" i="176"/>
  <c r="M690" i="176"/>
  <c r="E689" i="176"/>
  <c r="E690" i="176" s="1"/>
  <c r="E691" i="176" s="1"/>
  <c r="M686" i="176"/>
  <c r="M685" i="176"/>
  <c r="E684" i="176"/>
  <c r="E685" i="176" s="1"/>
  <c r="E686" i="176" s="1"/>
  <c r="M683" i="176"/>
  <c r="M682" i="176"/>
  <c r="E681" i="176"/>
  <c r="E682" i="176" s="1"/>
  <c r="E683" i="176" s="1"/>
  <c r="D680" i="176"/>
  <c r="D681" i="176" s="1"/>
  <c r="D682" i="176" s="1"/>
  <c r="D683" i="176" s="1"/>
  <c r="D684" i="176" s="1"/>
  <c r="D685" i="176" s="1"/>
  <c r="D686" i="176" s="1"/>
  <c r="M1152" i="176"/>
  <c r="M1151" i="176"/>
  <c r="M1149" i="176"/>
  <c r="M1148" i="176"/>
  <c r="M1147" i="176"/>
  <c r="M1145" i="176"/>
  <c r="M1144" i="176"/>
  <c r="M1141" i="176"/>
  <c r="M1140" i="176"/>
  <c r="M1139" i="176"/>
  <c r="M1137" i="176"/>
  <c r="M1136" i="176"/>
  <c r="M1135" i="176"/>
  <c r="M1133" i="176"/>
  <c r="M1132" i="176"/>
  <c r="M1131" i="176"/>
  <c r="M1130" i="176"/>
  <c r="M1128" i="176"/>
  <c r="M1125" i="176"/>
  <c r="M1124" i="176"/>
  <c r="M1123" i="176"/>
  <c r="M1121" i="176"/>
  <c r="M1120" i="176"/>
  <c r="M1119" i="176"/>
  <c r="M1117" i="176"/>
  <c r="M1116" i="176"/>
  <c r="M1115" i="176"/>
  <c r="M1113" i="176"/>
  <c r="M1110" i="176"/>
  <c r="M1109" i="176"/>
  <c r="M1107" i="176"/>
  <c r="M1105" i="176"/>
  <c r="M1104" i="176"/>
  <c r="M1103" i="176"/>
  <c r="M1096" i="176"/>
  <c r="M1093" i="176"/>
  <c r="M1092" i="176"/>
  <c r="M1091" i="176"/>
  <c r="M1090" i="176"/>
  <c r="M1089" i="176"/>
  <c r="M1087" i="176"/>
  <c r="M1086" i="176"/>
  <c r="M1085" i="176"/>
  <c r="M1083" i="176"/>
  <c r="M1082" i="176"/>
  <c r="M1081" i="176"/>
  <c r="M1080" i="176"/>
  <c r="M1078" i="176"/>
  <c r="M1076" i="176"/>
  <c r="M1073" i="176"/>
  <c r="M1072" i="176"/>
  <c r="M1071" i="176"/>
  <c r="M1070" i="176"/>
  <c r="M1069" i="176"/>
  <c r="M1067" i="176"/>
  <c r="M1066" i="176"/>
  <c r="M1065" i="176"/>
  <c r="M1063" i="176"/>
  <c r="M1062" i="176"/>
  <c r="M1061" i="176"/>
  <c r="M1060" i="176"/>
  <c r="M1058" i="176"/>
  <c r="M1056" i="176"/>
  <c r="M1053" i="176"/>
  <c r="M1052" i="176"/>
  <c r="M1051" i="176"/>
  <c r="M1050" i="176"/>
  <c r="M1049" i="176"/>
  <c r="M1047" i="176"/>
  <c r="M1046" i="176"/>
  <c r="M1045" i="176"/>
  <c r="M1043" i="176"/>
  <c r="M1042" i="176"/>
  <c r="M1041" i="176"/>
  <c r="M1040" i="176"/>
  <c r="M1038" i="176"/>
  <c r="M1036" i="176"/>
  <c r="M1016" i="176"/>
  <c r="M1012" i="176"/>
  <c r="M1010" i="176"/>
  <c r="M1008" i="176"/>
  <c r="M1006" i="176"/>
  <c r="M1004" i="176"/>
  <c r="M1002" i="176"/>
  <c r="M1000" i="176"/>
  <c r="M999" i="176"/>
  <c r="M997" i="176"/>
  <c r="M995" i="176"/>
  <c r="M993" i="176"/>
  <c r="M991" i="176"/>
  <c r="M989" i="176"/>
  <c r="M988" i="176"/>
  <c r="M987" i="176"/>
  <c r="M984" i="176"/>
  <c r="M982" i="176"/>
  <c r="M980" i="176"/>
  <c r="M978" i="176"/>
  <c r="M977" i="176"/>
  <c r="M975" i="176"/>
  <c r="M974" i="176"/>
  <c r="M972" i="176"/>
  <c r="M970" i="176"/>
  <c r="M968" i="176"/>
  <c r="M966" i="176"/>
  <c r="M965" i="176"/>
  <c r="M963" i="176"/>
  <c r="M961" i="176"/>
  <c r="M959" i="176"/>
  <c r="M957" i="176"/>
  <c r="M956" i="176"/>
  <c r="M955" i="176"/>
  <c r="M954" i="176"/>
  <c r="M951" i="176"/>
  <c r="M949" i="176"/>
  <c r="M947" i="176"/>
  <c r="M945" i="176"/>
  <c r="M942" i="176"/>
  <c r="M940" i="176"/>
  <c r="M939" i="176"/>
  <c r="M937" i="176"/>
  <c r="M935" i="176"/>
  <c r="M934" i="176"/>
  <c r="M931" i="176"/>
  <c r="M929" i="176"/>
  <c r="M928" i="176"/>
  <c r="M926" i="176"/>
  <c r="M924" i="176"/>
  <c r="M923" i="176"/>
  <c r="M920" i="176"/>
  <c r="M918" i="176"/>
  <c r="M916" i="176"/>
  <c r="M915" i="176"/>
  <c r="M914" i="176"/>
  <c r="M912" i="176"/>
  <c r="M911" i="176"/>
  <c r="M909" i="176"/>
  <c r="M907" i="176"/>
  <c r="M905" i="176"/>
  <c r="M904" i="176"/>
  <c r="M903" i="176"/>
  <c r="M902" i="176"/>
  <c r="M901" i="176"/>
  <c r="M1301" i="176"/>
  <c r="M899" i="176"/>
  <c r="M898" i="176"/>
  <c r="M897" i="176"/>
  <c r="M896" i="176"/>
  <c r="M895" i="176"/>
  <c r="M891" i="176"/>
  <c r="M889" i="176"/>
  <c r="M886" i="176"/>
  <c r="M884" i="176"/>
  <c r="M881" i="176"/>
  <c r="M879" i="176"/>
  <c r="M878" i="176"/>
  <c r="M876" i="176"/>
  <c r="M873" i="176"/>
  <c r="M871" i="176"/>
  <c r="M870" i="176"/>
  <c r="M868" i="176"/>
  <c r="M865" i="176"/>
  <c r="M863" i="176"/>
  <c r="M862" i="176"/>
  <c r="M860" i="176"/>
  <c r="M855" i="176"/>
  <c r="M854" i="176"/>
  <c r="M852" i="176"/>
  <c r="M849" i="176"/>
  <c r="M847" i="176"/>
  <c r="M846" i="176"/>
  <c r="M844" i="176"/>
  <c r="M841" i="176"/>
  <c r="M839" i="176"/>
  <c r="M838" i="176"/>
  <c r="M836" i="176"/>
  <c r="M831" i="176"/>
  <c r="M829" i="176"/>
  <c r="M827" i="176"/>
  <c r="M826" i="176"/>
  <c r="M825" i="176"/>
  <c r="M824" i="176"/>
  <c r="M822" i="176"/>
  <c r="M819" i="176"/>
  <c r="M817" i="176"/>
  <c r="M815" i="176"/>
  <c r="M814" i="176"/>
  <c r="M813" i="176"/>
  <c r="M811" i="176"/>
  <c r="M810" i="176"/>
  <c r="M806" i="176"/>
  <c r="M804" i="176"/>
  <c r="M802" i="176"/>
  <c r="M801" i="176"/>
  <c r="M800" i="176"/>
  <c r="M799" i="176"/>
  <c r="M797" i="176"/>
  <c r="M796" i="176"/>
  <c r="M795" i="176"/>
  <c r="M791" i="176"/>
  <c r="M789" i="176"/>
  <c r="M787" i="176"/>
  <c r="M786" i="176"/>
  <c r="M785" i="176"/>
  <c r="M784" i="176"/>
  <c r="M782" i="176"/>
  <c r="M781" i="176"/>
  <c r="M780" i="176"/>
  <c r="M779" i="176"/>
  <c r="M778" i="176"/>
  <c r="M774" i="176"/>
  <c r="M772" i="176"/>
  <c r="M771" i="176"/>
  <c r="M769" i="176"/>
  <c r="M768" i="176"/>
  <c r="M767" i="176"/>
  <c r="M766" i="176"/>
  <c r="M764" i="176"/>
  <c r="M763" i="176"/>
  <c r="M762" i="176"/>
  <c r="M761" i="176"/>
  <c r="M757" i="176"/>
  <c r="M755" i="176"/>
  <c r="M754" i="176"/>
  <c r="M752" i="176"/>
  <c r="M751" i="176"/>
  <c r="M750" i="176"/>
  <c r="M749" i="176"/>
  <c r="M747" i="176"/>
  <c r="M746" i="176"/>
  <c r="M745" i="176"/>
  <c r="M744" i="176"/>
  <c r="M740" i="176"/>
  <c r="M738" i="176"/>
  <c r="M737" i="176"/>
  <c r="M735" i="176"/>
  <c r="M734" i="176"/>
  <c r="M733" i="176"/>
  <c r="M732" i="176"/>
  <c r="M730" i="176"/>
  <c r="M729" i="176"/>
  <c r="M728" i="176"/>
  <c r="M727" i="176"/>
  <c r="M723" i="176"/>
  <c r="M721" i="176"/>
  <c r="M720" i="176"/>
  <c r="M718" i="176"/>
  <c r="M717" i="176"/>
  <c r="M716" i="176"/>
  <c r="M715" i="176"/>
  <c r="M713" i="176"/>
  <c r="M712" i="176"/>
  <c r="M711" i="176"/>
  <c r="M710" i="176"/>
  <c r="M709" i="176"/>
  <c r="M708" i="176"/>
  <c r="M707" i="176"/>
  <c r="M706" i="176"/>
  <c r="M619" i="176"/>
  <c r="M617" i="176"/>
  <c r="M616" i="176"/>
  <c r="M615" i="176"/>
  <c r="M613" i="176"/>
  <c r="M609" i="176"/>
  <c r="M605" i="176"/>
  <c r="M600" i="176"/>
  <c r="M603" i="176"/>
  <c r="M602" i="176"/>
  <c r="M496" i="176"/>
  <c r="M494" i="176"/>
  <c r="M493" i="176"/>
  <c r="M492" i="176"/>
  <c r="M490" i="176"/>
  <c r="M489" i="176"/>
  <c r="M486" i="176"/>
  <c r="M485" i="176"/>
  <c r="M483" i="176"/>
  <c r="M482" i="176"/>
  <c r="M481" i="176"/>
  <c r="M479" i="176"/>
  <c r="M477" i="176"/>
  <c r="M476" i="176"/>
  <c r="M473" i="176"/>
  <c r="M472" i="176"/>
  <c r="M470" i="176"/>
  <c r="M469" i="176"/>
  <c r="M468" i="176"/>
  <c r="M466" i="176"/>
  <c r="M465" i="176"/>
  <c r="M463" i="176"/>
  <c r="M462" i="176"/>
  <c r="M461" i="176"/>
  <c r="M458" i="176"/>
  <c r="M457" i="176"/>
  <c r="M455" i="176"/>
  <c r="M454" i="176"/>
  <c r="M453" i="176"/>
  <c r="M451" i="176"/>
  <c r="M449" i="176"/>
  <c r="M448" i="176"/>
  <c r="M445" i="176"/>
  <c r="M444" i="176"/>
  <c r="M442" i="176"/>
  <c r="M441" i="176"/>
  <c r="M440" i="176"/>
  <c r="M438" i="176"/>
  <c r="M436" i="176"/>
  <c r="M435" i="176"/>
  <c r="M434" i="176"/>
  <c r="M431" i="176"/>
  <c r="M430" i="176"/>
  <c r="M428" i="176"/>
  <c r="M427" i="176"/>
  <c r="M426" i="176"/>
  <c r="M424" i="176"/>
  <c r="M422" i="176"/>
  <c r="M421" i="176"/>
  <c r="M420" i="176"/>
  <c r="M417" i="176"/>
  <c r="M416" i="176"/>
  <c r="M414" i="176"/>
  <c r="M413" i="176"/>
  <c r="M412" i="176"/>
  <c r="M410" i="176"/>
  <c r="M408" i="176"/>
  <c r="M407" i="176"/>
  <c r="M406" i="176"/>
  <c r="M403" i="176"/>
  <c r="M402" i="176"/>
  <c r="M400" i="176"/>
  <c r="M399" i="176"/>
  <c r="M398" i="176"/>
  <c r="M396" i="176"/>
  <c r="M394" i="176"/>
  <c r="M393" i="176"/>
  <c r="M389" i="176"/>
  <c r="M387" i="176"/>
  <c r="M385" i="176"/>
  <c r="M384" i="176"/>
  <c r="M383" i="176"/>
  <c r="M382" i="176"/>
  <c r="M381" i="176"/>
  <c r="M379" i="176"/>
  <c r="M378" i="176"/>
  <c r="M377" i="176"/>
  <c r="M374" i="176"/>
  <c r="M372" i="176"/>
  <c r="M370" i="176"/>
  <c r="M368" i="176"/>
  <c r="M367" i="176"/>
  <c r="M366" i="176"/>
  <c r="M365" i="176"/>
  <c r="M364" i="176"/>
  <c r="M363" i="176"/>
  <c r="M361" i="176"/>
  <c r="M360" i="176"/>
  <c r="M359" i="176"/>
  <c r="M358" i="176"/>
  <c r="M353" i="176"/>
  <c r="M351" i="176"/>
  <c r="M349" i="176"/>
  <c r="M348" i="176"/>
  <c r="M347" i="176"/>
  <c r="M346" i="176"/>
  <c r="M345" i="176"/>
  <c r="M344" i="176"/>
  <c r="M343" i="176"/>
  <c r="M341" i="176"/>
  <c r="M340" i="176"/>
  <c r="M339" i="176"/>
  <c r="M338" i="176"/>
  <c r="M333" i="176"/>
  <c r="M331" i="176"/>
  <c r="M329" i="176"/>
  <c r="M328" i="176"/>
  <c r="M327" i="176"/>
  <c r="M326" i="176"/>
  <c r="M325" i="176"/>
  <c r="M324" i="176"/>
  <c r="M323" i="176"/>
  <c r="M321" i="176"/>
  <c r="M320" i="176"/>
  <c r="M319" i="176"/>
  <c r="M318" i="176"/>
  <c r="M315" i="176"/>
  <c r="M313" i="176"/>
  <c r="M311" i="176"/>
  <c r="M309" i="176"/>
  <c r="M308" i="176"/>
  <c r="M307" i="176"/>
  <c r="M306" i="176"/>
  <c r="M305" i="176"/>
  <c r="M304" i="176"/>
  <c r="M303" i="176"/>
  <c r="M301" i="176"/>
  <c r="M300" i="176"/>
  <c r="M299" i="176"/>
  <c r="M298" i="176"/>
  <c r="M295" i="176"/>
  <c r="M291" i="176"/>
  <c r="M289" i="176"/>
  <c r="M288" i="176"/>
  <c r="M287" i="176"/>
  <c r="M286" i="176"/>
  <c r="M285" i="176"/>
  <c r="M284" i="176"/>
  <c r="M283" i="176"/>
  <c r="M281" i="176"/>
  <c r="M280" i="176"/>
  <c r="M279" i="176"/>
  <c r="M278" i="176"/>
  <c r="M272" i="176"/>
  <c r="M270" i="176"/>
  <c r="M268" i="176"/>
  <c r="M267" i="176"/>
  <c r="M266" i="176"/>
  <c r="M265" i="176"/>
  <c r="M264" i="176"/>
  <c r="M263" i="176"/>
  <c r="M262" i="176"/>
  <c r="M260" i="176"/>
  <c r="M259" i="176"/>
  <c r="M258" i="176"/>
  <c r="M257" i="176"/>
  <c r="M251" i="176"/>
  <c r="M249" i="176"/>
  <c r="M248" i="176"/>
  <c r="M247" i="176"/>
  <c r="M246" i="176"/>
  <c r="M245" i="176"/>
  <c r="M244" i="176"/>
  <c r="M242" i="176"/>
  <c r="M241" i="176"/>
  <c r="M240" i="176"/>
  <c r="M237" i="176"/>
  <c r="M235" i="176"/>
  <c r="M233" i="176"/>
  <c r="M232" i="176"/>
  <c r="M230" i="176"/>
  <c r="M229" i="176"/>
  <c r="M226" i="176"/>
  <c r="M224" i="176"/>
  <c r="M223" i="176"/>
  <c r="M222" i="176"/>
  <c r="M220" i="176"/>
  <c r="M217" i="176"/>
  <c r="M213" i="176"/>
  <c r="M212" i="176"/>
  <c r="M210" i="176"/>
  <c r="M208" i="176"/>
  <c r="M207" i="176"/>
  <c r="M206" i="176"/>
  <c r="L1224" i="176" l="1"/>
  <c r="N1224" i="176" s="1"/>
  <c r="N656" i="176"/>
  <c r="N631" i="176"/>
  <c r="N623" i="176"/>
  <c r="N1227" i="176"/>
  <c r="N673" i="176"/>
  <c r="N639" i="176"/>
  <c r="N1247" i="176"/>
  <c r="N1267" i="176"/>
  <c r="L1219" i="176"/>
  <c r="N1219" i="176" s="1"/>
  <c r="L1226" i="176"/>
  <c r="N1226" i="176" s="1"/>
  <c r="L1250" i="176"/>
  <c r="N1250" i="176" s="1"/>
  <c r="L1266" i="176"/>
  <c r="N1266" i="176" s="1"/>
  <c r="L1201" i="176"/>
  <c r="L1236" i="176"/>
  <c r="N1236" i="176" s="1"/>
  <c r="L1235" i="176"/>
  <c r="N1235" i="176" s="1"/>
  <c r="L1200" i="176"/>
  <c r="L1258" i="176"/>
  <c r="N1258" i="176" s="1"/>
  <c r="L1260" i="176"/>
  <c r="N1259" i="176" s="1"/>
  <c r="L1265" i="176"/>
  <c r="N1265" i="176" s="1"/>
  <c r="L1225" i="176"/>
  <c r="N1225" i="176" s="1"/>
  <c r="L1257" i="176"/>
  <c r="N1257" i="176" s="1"/>
  <c r="L1194" i="176"/>
  <c r="L1244" i="176"/>
  <c r="N1244" i="176" s="1"/>
  <c r="L1263" i="176"/>
  <c r="N1263" i="176" s="1"/>
  <c r="L1195" i="176"/>
  <c r="N1220" i="176"/>
  <c r="L1203" i="176"/>
  <c r="L1218" i="176"/>
  <c r="N1218" i="176" s="1"/>
  <c r="L1251" i="176"/>
  <c r="N1251" i="176" s="1"/>
  <c r="L1243" i="176"/>
  <c r="N1243" i="176" s="1"/>
  <c r="L1204" i="176"/>
  <c r="N662" i="176"/>
  <c r="N1273" i="176"/>
  <c r="N661" i="176"/>
  <c r="E692" i="176"/>
  <c r="E693" i="176" s="1"/>
  <c r="D687" i="176"/>
  <c r="D688" i="176" s="1"/>
  <c r="D689" i="176" s="1"/>
  <c r="D690" i="176" s="1"/>
  <c r="D691" i="176" s="1"/>
  <c r="D692" i="176" s="1"/>
  <c r="D1253" i="176"/>
  <c r="D1254" i="176" s="1"/>
  <c r="E1253" i="176"/>
  <c r="E1254" i="176" s="1"/>
  <c r="N1232" i="176"/>
  <c r="N622" i="176"/>
  <c r="N1254" i="176"/>
  <c r="N1215" i="176"/>
  <c r="L1264" i="176"/>
  <c r="N1264" i="176" s="1"/>
  <c r="L1246" i="176"/>
  <c r="L1253" i="176" s="1"/>
  <c r="L1242" i="176"/>
  <c r="N1242" i="176" s="1"/>
  <c r="C97" i="405"/>
  <c r="C87" i="405"/>
  <c r="C74" i="405"/>
  <c r="L1206" i="176"/>
  <c r="C65" i="405"/>
  <c r="L1207" i="176"/>
  <c r="L1202" i="176"/>
  <c r="N627" i="176"/>
  <c r="N634" i="176"/>
  <c r="N686" i="176"/>
  <c r="N626" i="176"/>
  <c r="N630" i="176"/>
  <c r="N635" i="176"/>
  <c r="N643" i="176"/>
  <c r="N663" i="176"/>
  <c r="N653" i="176"/>
  <c r="E663" i="176"/>
  <c r="E664" i="176" s="1"/>
  <c r="N638" i="176"/>
  <c r="D639" i="176"/>
  <c r="D640" i="176" s="1"/>
  <c r="D641" i="176" s="1"/>
  <c r="D642" i="176" s="1"/>
  <c r="D643" i="176" s="1"/>
  <c r="N655" i="176"/>
  <c r="N671" i="176"/>
  <c r="N652" i="176"/>
  <c r="N672" i="176"/>
  <c r="D656" i="176"/>
  <c r="D657" i="176" s="1"/>
  <c r="D658" i="176" s="1"/>
  <c r="D659" i="176" s="1"/>
  <c r="D660" i="176" s="1"/>
  <c r="D661" i="176" s="1"/>
  <c r="D662" i="176" s="1"/>
  <c r="N650" i="176"/>
  <c r="N677" i="176"/>
  <c r="N678" i="176"/>
  <c r="N679" i="176"/>
  <c r="N699" i="176"/>
  <c r="N647" i="176"/>
  <c r="N691" i="176"/>
  <c r="N695" i="176"/>
  <c r="N702" i="176"/>
  <c r="N646" i="176"/>
  <c r="N676" i="176"/>
  <c r="N701" i="176"/>
  <c r="N698" i="176"/>
  <c r="N696" i="176"/>
  <c r="N667" i="176"/>
  <c r="N669" i="176"/>
  <c r="N642" i="176"/>
  <c r="N659" i="176"/>
  <c r="N649" i="176"/>
  <c r="N660" i="176"/>
  <c r="N690" i="176"/>
  <c r="N685" i="176"/>
  <c r="N682" i="176"/>
  <c r="N683" i="176"/>
  <c r="Q9" i="407"/>
  <c r="E12" i="179"/>
  <c r="E13" i="179"/>
  <c r="E14" i="179"/>
  <c r="E15" i="179"/>
  <c r="E16" i="179"/>
  <c r="E17" i="179"/>
  <c r="E18" i="179"/>
  <c r="E19" i="179"/>
  <c r="E20" i="179"/>
  <c r="E21" i="179"/>
  <c r="E22" i="179"/>
  <c r="E23" i="179"/>
  <c r="E24" i="179"/>
  <c r="E25" i="179"/>
  <c r="E26" i="179"/>
  <c r="E27" i="179"/>
  <c r="E28" i="179"/>
  <c r="E29" i="179"/>
  <c r="E30" i="179"/>
  <c r="E31" i="179"/>
  <c r="E32" i="179"/>
  <c r="E33" i="179"/>
  <c r="E34" i="179"/>
  <c r="E35" i="179"/>
  <c r="E36" i="179"/>
  <c r="E37" i="179"/>
  <c r="E38" i="179"/>
  <c r="E39" i="179"/>
  <c r="E40" i="179"/>
  <c r="E41" i="179"/>
  <c r="E42" i="179"/>
  <c r="E43" i="179"/>
  <c r="E44" i="179"/>
  <c r="E45" i="179"/>
  <c r="E46" i="179"/>
  <c r="E47" i="179"/>
  <c r="E48" i="179"/>
  <c r="E49" i="179"/>
  <c r="E50" i="179"/>
  <c r="E51" i="179"/>
  <c r="E52" i="179"/>
  <c r="E53" i="179"/>
  <c r="E54" i="179"/>
  <c r="E55" i="179"/>
  <c r="E56" i="179"/>
  <c r="E57" i="179"/>
  <c r="E58" i="179"/>
  <c r="E59" i="179"/>
  <c r="E60" i="179"/>
  <c r="E61" i="179"/>
  <c r="E62" i="179"/>
  <c r="E63" i="179"/>
  <c r="E64" i="179"/>
  <c r="E65" i="179"/>
  <c r="E66" i="179"/>
  <c r="E9" i="179"/>
  <c r="E10" i="179"/>
  <c r="E11" i="179"/>
  <c r="L1199" i="176" l="1"/>
  <c r="L1240" i="176"/>
  <c r="N1240" i="176" s="1"/>
  <c r="L1262" i="176"/>
  <c r="N1262" i="176" s="1"/>
  <c r="N645" i="176"/>
  <c r="N668" i="176"/>
  <c r="N694" i="176"/>
  <c r="N654" i="176"/>
  <c r="N629" i="176"/>
  <c r="N641" i="176"/>
  <c r="N697" i="176"/>
  <c r="N666" i="176"/>
  <c r="N684" i="176"/>
  <c r="N637" i="176"/>
  <c r="N621" i="176"/>
  <c r="N681" i="176"/>
  <c r="N625" i="176"/>
  <c r="N651" i="176"/>
  <c r="N633" i="176"/>
  <c r="N658" i="176"/>
  <c r="L1270" i="176"/>
  <c r="N1270" i="176" s="1"/>
  <c r="N1238" i="176"/>
  <c r="N1237" i="176"/>
  <c r="L1211" i="176"/>
  <c r="L1212" i="176"/>
  <c r="L1271" i="176"/>
  <c r="N1271" i="176" s="1"/>
  <c r="L1213" i="176"/>
  <c r="N1260" i="176"/>
  <c r="L1223" i="176"/>
  <c r="N1223" i="176" s="1"/>
  <c r="L1230" i="176"/>
  <c r="N1230" i="176" s="1"/>
  <c r="N1221" i="176"/>
  <c r="N1241" i="176"/>
  <c r="N689" i="176"/>
  <c r="N670" i="176"/>
  <c r="N700" i="176"/>
  <c r="N648" i="176"/>
  <c r="N675" i="176"/>
  <c r="L1231" i="176"/>
  <c r="N1231" i="176" s="1"/>
  <c r="N1246" i="176"/>
  <c r="N1253" i="176"/>
  <c r="L1214" i="176"/>
  <c r="N1214" i="176" s="1"/>
  <c r="L1272" i="176"/>
  <c r="N1272" i="176" s="1"/>
  <c r="L1252" i="176"/>
  <c r="N1252" i="176" s="1"/>
  <c r="D663" i="176"/>
  <c r="D664" i="176" s="1"/>
  <c r="N1217" i="176" l="1"/>
  <c r="N1261" i="176"/>
  <c r="N636" i="176"/>
  <c r="N680" i="176"/>
  <c r="N620" i="176"/>
  <c r="N644" i="176"/>
  <c r="N693" i="176"/>
  <c r="N628" i="176"/>
  <c r="N1222" i="176"/>
  <c r="N1256" i="176"/>
  <c r="N1245" i="176"/>
  <c r="N665" i="176"/>
  <c r="N1234" i="176"/>
  <c r="N1239" i="176"/>
  <c r="N1269" i="176"/>
  <c r="N1229" i="176"/>
  <c r="N1249" i="176"/>
  <c r="D480" i="400"/>
  <c r="C36" i="137"/>
  <c r="D36" i="137" s="1"/>
  <c r="N1255" i="176" l="1"/>
  <c r="N1216" i="176"/>
  <c r="N1233" i="176"/>
  <c r="D74" i="409"/>
  <c r="D72" i="409"/>
  <c r="C73" i="409"/>
  <c r="E99" i="401" l="1"/>
  <c r="D14" i="401" s="1"/>
  <c r="L609" i="176" s="1"/>
  <c r="L617" i="176" s="1"/>
  <c r="E93" i="401" l="1"/>
  <c r="E94" i="401"/>
  <c r="E95" i="401"/>
  <c r="E96" i="401"/>
  <c r="E97" i="401"/>
  <c r="D13" i="401" s="1"/>
  <c r="D12" i="401" l="1"/>
  <c r="K17" i="181"/>
  <c r="K16" i="181"/>
  <c r="C63" i="409"/>
  <c r="C62" i="409"/>
  <c r="G57" i="409"/>
  <c r="D36" i="409"/>
  <c r="D17" i="409"/>
  <c r="D19" i="409"/>
  <c r="D34" i="409"/>
  <c r="G24" i="409"/>
  <c r="F19" i="211"/>
  <c r="G19" i="211"/>
  <c r="H19" i="211"/>
  <c r="I19" i="211"/>
  <c r="D19" i="211"/>
  <c r="E19" i="211"/>
  <c r="C15" i="409"/>
  <c r="C14" i="409"/>
  <c r="E32" i="401"/>
  <c r="T66" i="179"/>
  <c r="L399" i="176"/>
  <c r="C3" i="409"/>
  <c r="C2" i="409"/>
  <c r="C1" i="409"/>
  <c r="G7" i="409"/>
  <c r="H8" i="409" s="1"/>
  <c r="I8" i="409" l="1"/>
  <c r="J8" i="409"/>
  <c r="C16" i="409" s="1"/>
  <c r="G8" i="401"/>
  <c r="G10" i="401"/>
  <c r="G33" i="401"/>
  <c r="G27" i="401"/>
  <c r="G32" i="401"/>
  <c r="G20" i="401"/>
  <c r="G11" i="401"/>
  <c r="G12" i="401"/>
  <c r="G13" i="401"/>
  <c r="G40" i="401"/>
  <c r="D105" i="401" s="1"/>
  <c r="G17" i="401"/>
  <c r="G41" i="401"/>
  <c r="G37" i="401"/>
  <c r="G39" i="401"/>
  <c r="G21" i="401"/>
  <c r="G38" i="401"/>
  <c r="G22" i="401"/>
  <c r="G18" i="401"/>
  <c r="G19" i="401"/>
  <c r="G9" i="401"/>
  <c r="G26" i="401"/>
  <c r="G23" i="401"/>
  <c r="G25" i="401"/>
  <c r="G42" i="401"/>
  <c r="G35" i="401"/>
  <c r="G16" i="401"/>
  <c r="G36" i="401"/>
  <c r="G15" i="401"/>
  <c r="G34" i="401"/>
  <c r="D103" i="401" s="1"/>
  <c r="G24" i="401"/>
  <c r="G14" i="401"/>
  <c r="H27" i="409"/>
  <c r="H58" i="409"/>
  <c r="H26" i="409"/>
  <c r="H28" i="409"/>
  <c r="H25" i="409"/>
  <c r="H11" i="409"/>
  <c r="H9" i="409"/>
  <c r="H10" i="409"/>
  <c r="H9" i="179"/>
  <c r="K27" i="181"/>
  <c r="J26" i="181"/>
  <c r="I26" i="181"/>
  <c r="I27" i="181" s="1"/>
  <c r="H26" i="181"/>
  <c r="I58" i="409" l="1"/>
  <c r="J58" i="409"/>
  <c r="C64" i="409" s="1"/>
  <c r="D65" i="409" s="1"/>
  <c r="I10" i="409"/>
  <c r="J10" i="409"/>
  <c r="C18" i="409" s="1"/>
  <c r="I25" i="409"/>
  <c r="J25" i="409"/>
  <c r="C33" i="409" s="1"/>
  <c r="I27" i="409"/>
  <c r="J27" i="409"/>
  <c r="C35" i="409" s="1"/>
  <c r="I11" i="409"/>
  <c r="J11" i="409"/>
  <c r="C19" i="409" s="1"/>
  <c r="I26" i="409"/>
  <c r="J26" i="409"/>
  <c r="C34" i="409" s="1"/>
  <c r="I9" i="409"/>
  <c r="J9" i="409"/>
  <c r="C17" i="409" s="1"/>
  <c r="I28" i="409"/>
  <c r="J28" i="409"/>
  <c r="C36" i="409" s="1"/>
  <c r="D104" i="401"/>
  <c r="G43" i="401"/>
  <c r="D102" i="401"/>
  <c r="G28" i="401"/>
  <c r="T10" i="179"/>
  <c r="T11" i="179"/>
  <c r="T12" i="179"/>
  <c r="T13" i="179"/>
  <c r="T14" i="179"/>
  <c r="T15" i="179"/>
  <c r="T16" i="179"/>
  <c r="T17" i="179"/>
  <c r="T18" i="179"/>
  <c r="T19" i="179"/>
  <c r="T20" i="179"/>
  <c r="T21" i="179"/>
  <c r="T22" i="179"/>
  <c r="T23" i="179"/>
  <c r="T24" i="179"/>
  <c r="T25" i="179"/>
  <c r="T26" i="179"/>
  <c r="T27" i="179"/>
  <c r="T28" i="179"/>
  <c r="T29" i="179"/>
  <c r="T30" i="179"/>
  <c r="T31" i="179"/>
  <c r="T32" i="179"/>
  <c r="T33" i="179"/>
  <c r="T34" i="179"/>
  <c r="T35" i="179"/>
  <c r="T36" i="179"/>
  <c r="T37" i="179"/>
  <c r="T38" i="179"/>
  <c r="T39" i="179"/>
  <c r="T40" i="179"/>
  <c r="T41" i="179"/>
  <c r="T42" i="179"/>
  <c r="T43" i="179"/>
  <c r="T44" i="179"/>
  <c r="T45" i="179"/>
  <c r="T46" i="179"/>
  <c r="T47" i="179"/>
  <c r="T48" i="179"/>
  <c r="T49" i="179"/>
  <c r="T50" i="179"/>
  <c r="T51" i="179"/>
  <c r="T52" i="179"/>
  <c r="T53" i="179"/>
  <c r="T54" i="179"/>
  <c r="T55" i="179"/>
  <c r="T56" i="179"/>
  <c r="T57" i="179"/>
  <c r="T58" i="179"/>
  <c r="T59" i="179"/>
  <c r="T60" i="179"/>
  <c r="T61" i="179"/>
  <c r="T62" i="179"/>
  <c r="T63" i="179"/>
  <c r="T64" i="179"/>
  <c r="T65" i="179"/>
  <c r="T9" i="179"/>
  <c r="T68" i="179" s="1"/>
  <c r="H49" i="179"/>
  <c r="J49" i="179" s="1"/>
  <c r="H53" i="179"/>
  <c r="H57" i="179"/>
  <c r="H61" i="179"/>
  <c r="H65" i="179"/>
  <c r="I9" i="408"/>
  <c r="J9" i="408" s="1"/>
  <c r="J9" i="181"/>
  <c r="K9" i="181" s="1"/>
  <c r="H62" i="179"/>
  <c r="H63" i="179"/>
  <c r="H66" i="179"/>
  <c r="J9" i="186"/>
  <c r="J52" i="186"/>
  <c r="J53" i="186"/>
  <c r="J54" i="186"/>
  <c r="L54" i="186" s="1"/>
  <c r="J55" i="186"/>
  <c r="L55" i="186" s="1"/>
  <c r="J56" i="186"/>
  <c r="L56" i="186" s="1"/>
  <c r="J57" i="186"/>
  <c r="L57" i="186" s="1"/>
  <c r="J51" i="186"/>
  <c r="L249" i="176"/>
  <c r="L248" i="176"/>
  <c r="L247" i="176"/>
  <c r="L246" i="176"/>
  <c r="L245" i="176"/>
  <c r="L244" i="176"/>
  <c r="G42" i="408"/>
  <c r="L242" i="176" s="1"/>
  <c r="N242" i="176" s="1"/>
  <c r="H42" i="408"/>
  <c r="I41" i="408"/>
  <c r="J41" i="408" s="1"/>
  <c r="I40" i="408"/>
  <c r="J40" i="408" s="1"/>
  <c r="I39" i="408"/>
  <c r="J39" i="408" s="1"/>
  <c r="I38" i="408"/>
  <c r="J38" i="408" s="1"/>
  <c r="I37" i="408"/>
  <c r="J37" i="408" s="1"/>
  <c r="I36" i="408"/>
  <c r="J36" i="408" s="1"/>
  <c r="I35" i="408"/>
  <c r="J35" i="408" s="1"/>
  <c r="I34" i="408"/>
  <c r="J34" i="408" s="1"/>
  <c r="I33" i="408"/>
  <c r="J33" i="408" s="1"/>
  <c r="I32" i="408"/>
  <c r="J32" i="408" s="1"/>
  <c r="I31" i="408"/>
  <c r="J31" i="408" s="1"/>
  <c r="I30" i="408"/>
  <c r="J30" i="408" s="1"/>
  <c r="I29" i="408"/>
  <c r="J29" i="408" s="1"/>
  <c r="I28" i="408"/>
  <c r="J28" i="408" s="1"/>
  <c r="I27" i="408"/>
  <c r="J27" i="408" s="1"/>
  <c r="I26" i="408"/>
  <c r="J26" i="408" s="1"/>
  <c r="I25" i="408"/>
  <c r="J25" i="408" s="1"/>
  <c r="I24" i="408"/>
  <c r="J24" i="408" s="1"/>
  <c r="I23" i="408"/>
  <c r="J23" i="408" s="1"/>
  <c r="K23" i="408" s="1"/>
  <c r="I22" i="408"/>
  <c r="J22" i="408" s="1"/>
  <c r="I21" i="408"/>
  <c r="J21" i="408" s="1"/>
  <c r="K21" i="408" s="1"/>
  <c r="I20" i="408"/>
  <c r="J20" i="408" s="1"/>
  <c r="I19" i="408"/>
  <c r="J19" i="408" s="1"/>
  <c r="K19" i="408" s="1"/>
  <c r="I18" i="408"/>
  <c r="J18" i="408" s="1"/>
  <c r="I17" i="408"/>
  <c r="J17" i="408" s="1"/>
  <c r="K17" i="408" s="1"/>
  <c r="I16" i="408"/>
  <c r="J16" i="408" s="1"/>
  <c r="I15" i="408"/>
  <c r="J15" i="408" s="1"/>
  <c r="K15" i="408" s="1"/>
  <c r="I14" i="408"/>
  <c r="J14" i="408" s="1"/>
  <c r="I13" i="408"/>
  <c r="J13" i="408" s="1"/>
  <c r="K13" i="408" s="1"/>
  <c r="I12" i="408"/>
  <c r="J12" i="408" s="1"/>
  <c r="I11" i="408"/>
  <c r="J11" i="408" s="1"/>
  <c r="K11" i="408" s="1"/>
  <c r="I10" i="408"/>
  <c r="J10" i="408" s="1"/>
  <c r="E2" i="408"/>
  <c r="E1" i="408"/>
  <c r="I12" i="407"/>
  <c r="G12" i="407"/>
  <c r="I11" i="407"/>
  <c r="G11" i="407"/>
  <c r="I13" i="407"/>
  <c r="Q13" i="407" s="1"/>
  <c r="H13" i="407"/>
  <c r="G13" i="407"/>
  <c r="L13" i="407" s="1"/>
  <c r="I10" i="407"/>
  <c r="H10" i="407"/>
  <c r="G10" i="407"/>
  <c r="K10" i="407" s="1"/>
  <c r="R9" i="407"/>
  <c r="I9" i="407"/>
  <c r="H9" i="407"/>
  <c r="E2" i="407"/>
  <c r="E1" i="407"/>
  <c r="L224" i="176"/>
  <c r="L223" i="176"/>
  <c r="L222" i="176"/>
  <c r="I18" i="181"/>
  <c r="I17" i="181"/>
  <c r="I16" i="181"/>
  <c r="N10" i="181"/>
  <c r="O10" i="181" s="1"/>
  <c r="J10" i="181"/>
  <c r="K10" i="181" s="1"/>
  <c r="G10" i="181"/>
  <c r="F10" i="181"/>
  <c r="E10" i="181"/>
  <c r="N9" i="181"/>
  <c r="O9" i="181" s="1"/>
  <c r="O11" i="181" s="1"/>
  <c r="G9" i="181"/>
  <c r="F9" i="181"/>
  <c r="E9" i="181"/>
  <c r="P66" i="179"/>
  <c r="S66" i="179" s="1"/>
  <c r="N66" i="179"/>
  <c r="I66" i="179"/>
  <c r="L66" i="179" s="1"/>
  <c r="P65" i="179"/>
  <c r="S65" i="179" s="1"/>
  <c r="N65" i="179"/>
  <c r="I65" i="179"/>
  <c r="L65" i="179" s="1"/>
  <c r="P64" i="179"/>
  <c r="S64" i="179" s="1"/>
  <c r="N64" i="179"/>
  <c r="I64" i="179"/>
  <c r="L64" i="179" s="1"/>
  <c r="H64" i="179"/>
  <c r="J64" i="179" s="1"/>
  <c r="P63" i="179"/>
  <c r="S63" i="179" s="1"/>
  <c r="N63" i="179"/>
  <c r="I63" i="179"/>
  <c r="L63" i="179" s="1"/>
  <c r="P62" i="179"/>
  <c r="S62" i="179" s="1"/>
  <c r="N62" i="179"/>
  <c r="I62" i="179"/>
  <c r="L62" i="179" s="1"/>
  <c r="P61" i="179"/>
  <c r="S61" i="179" s="1"/>
  <c r="N61" i="179"/>
  <c r="I61" i="179"/>
  <c r="L61" i="179" s="1"/>
  <c r="P60" i="179"/>
  <c r="S60" i="179" s="1"/>
  <c r="N60" i="179"/>
  <c r="I60" i="179"/>
  <c r="L60" i="179" s="1"/>
  <c r="H60" i="179"/>
  <c r="J60" i="179" s="1"/>
  <c r="P59" i="179"/>
  <c r="S59" i="179" s="1"/>
  <c r="N59" i="179"/>
  <c r="I59" i="179"/>
  <c r="L59" i="179" s="1"/>
  <c r="H59" i="179"/>
  <c r="J59" i="179" s="1"/>
  <c r="P58" i="179"/>
  <c r="S58" i="179" s="1"/>
  <c r="N58" i="179"/>
  <c r="I58" i="179"/>
  <c r="L58" i="179" s="1"/>
  <c r="H58" i="179"/>
  <c r="J58" i="179" s="1"/>
  <c r="P57" i="179"/>
  <c r="S57" i="179" s="1"/>
  <c r="N57" i="179"/>
  <c r="I57" i="179"/>
  <c r="L57" i="179" s="1"/>
  <c r="P56" i="179"/>
  <c r="S56" i="179" s="1"/>
  <c r="N56" i="179"/>
  <c r="I56" i="179"/>
  <c r="L56" i="179" s="1"/>
  <c r="H56" i="179"/>
  <c r="J56" i="179" s="1"/>
  <c r="P55" i="179"/>
  <c r="S55" i="179" s="1"/>
  <c r="N55" i="179"/>
  <c r="I55" i="179"/>
  <c r="L55" i="179" s="1"/>
  <c r="H55" i="179"/>
  <c r="J55" i="179" s="1"/>
  <c r="P54" i="179"/>
  <c r="S54" i="179" s="1"/>
  <c r="N54" i="179"/>
  <c r="I54" i="179"/>
  <c r="L54" i="179" s="1"/>
  <c r="H54" i="179"/>
  <c r="P53" i="179"/>
  <c r="S53" i="179" s="1"/>
  <c r="N53" i="179"/>
  <c r="I53" i="179"/>
  <c r="L53" i="179" s="1"/>
  <c r="P52" i="179"/>
  <c r="S52" i="179" s="1"/>
  <c r="N52" i="179"/>
  <c r="I52" i="179"/>
  <c r="L52" i="179" s="1"/>
  <c r="H52" i="179"/>
  <c r="J52" i="179" s="1"/>
  <c r="P51" i="179"/>
  <c r="S51" i="179" s="1"/>
  <c r="N51" i="179"/>
  <c r="I51" i="179"/>
  <c r="L51" i="179" s="1"/>
  <c r="H51" i="179"/>
  <c r="J51" i="179" s="1"/>
  <c r="P50" i="179"/>
  <c r="S50" i="179" s="1"/>
  <c r="N50" i="179"/>
  <c r="I50" i="179"/>
  <c r="L50" i="179" s="1"/>
  <c r="H50" i="179"/>
  <c r="J50" i="179" s="1"/>
  <c r="P49" i="179"/>
  <c r="S49" i="179" s="1"/>
  <c r="N49" i="179"/>
  <c r="I49" i="179"/>
  <c r="L49" i="179" s="1"/>
  <c r="P48" i="179"/>
  <c r="S48" i="179" s="1"/>
  <c r="N48" i="179"/>
  <c r="I48" i="179"/>
  <c r="L48" i="179" s="1"/>
  <c r="H48" i="179"/>
  <c r="P47" i="179"/>
  <c r="S47" i="179" s="1"/>
  <c r="N47" i="179"/>
  <c r="I47" i="179"/>
  <c r="L47" i="179" s="1"/>
  <c r="H47" i="179"/>
  <c r="T55" i="186"/>
  <c r="T56" i="186"/>
  <c r="T57" i="186"/>
  <c r="T54" i="186"/>
  <c r="T52" i="186"/>
  <c r="T51" i="186"/>
  <c r="R55" i="186"/>
  <c r="R56" i="186"/>
  <c r="R57" i="186"/>
  <c r="R54" i="186"/>
  <c r="R52" i="186"/>
  <c r="R51" i="186"/>
  <c r="S56" i="186"/>
  <c r="Q56" i="186"/>
  <c r="M56" i="186"/>
  <c r="P56" i="186" s="1"/>
  <c r="S55" i="186"/>
  <c r="Q55" i="186"/>
  <c r="M55" i="186"/>
  <c r="P55" i="186" s="1"/>
  <c r="S54" i="186"/>
  <c r="Q54" i="186"/>
  <c r="M54" i="186"/>
  <c r="P54" i="186" s="1"/>
  <c r="S57" i="186"/>
  <c r="Q57" i="186"/>
  <c r="M57" i="186"/>
  <c r="P57" i="186" s="1"/>
  <c r="T33" i="186"/>
  <c r="T32" i="186"/>
  <c r="R33" i="186"/>
  <c r="R32" i="186"/>
  <c r="J10" i="186"/>
  <c r="J11" i="186"/>
  <c r="J12" i="186"/>
  <c r="J13" i="186"/>
  <c r="J14" i="186"/>
  <c r="J15" i="186"/>
  <c r="J16" i="186"/>
  <c r="L16" i="186" s="1"/>
  <c r="J17" i="186"/>
  <c r="L17" i="186" s="1"/>
  <c r="J18" i="186"/>
  <c r="L18" i="186" s="1"/>
  <c r="J19" i="186"/>
  <c r="L19" i="186" s="1"/>
  <c r="J20" i="186"/>
  <c r="L20" i="186" s="1"/>
  <c r="J21" i="186"/>
  <c r="L21" i="186" s="1"/>
  <c r="J22" i="186"/>
  <c r="L22" i="186" s="1"/>
  <c r="J23" i="186"/>
  <c r="L23" i="186" s="1"/>
  <c r="J24" i="186"/>
  <c r="L24" i="186" s="1"/>
  <c r="J25" i="186"/>
  <c r="L25" i="186" s="1"/>
  <c r="J26" i="186"/>
  <c r="L26" i="186" s="1"/>
  <c r="J27" i="186"/>
  <c r="L27" i="186" s="1"/>
  <c r="J28" i="186"/>
  <c r="J29" i="186"/>
  <c r="L29" i="186" s="1"/>
  <c r="J30" i="186"/>
  <c r="J31" i="186"/>
  <c r="L31" i="186" s="1"/>
  <c r="J32" i="186"/>
  <c r="J33" i="186"/>
  <c r="S31" i="186"/>
  <c r="Q31" i="186"/>
  <c r="M31" i="186"/>
  <c r="P31" i="186" s="1"/>
  <c r="S30" i="186"/>
  <c r="Q30" i="186"/>
  <c r="M30" i="186"/>
  <c r="P30" i="186" s="1"/>
  <c r="L30" i="186"/>
  <c r="S29" i="186"/>
  <c r="Q29" i="186"/>
  <c r="M29" i="186"/>
  <c r="P29" i="186" s="1"/>
  <c r="S19" i="186"/>
  <c r="Q19" i="186"/>
  <c r="M19" i="186"/>
  <c r="P19" i="186" s="1"/>
  <c r="S18" i="186"/>
  <c r="Q18" i="186"/>
  <c r="M18" i="186"/>
  <c r="P18" i="186" s="1"/>
  <c r="S17" i="186"/>
  <c r="Q17" i="186"/>
  <c r="M17" i="186"/>
  <c r="P17" i="186" s="1"/>
  <c r="S16" i="186"/>
  <c r="Q16" i="186"/>
  <c r="M16" i="186"/>
  <c r="P16" i="186" s="1"/>
  <c r="S23" i="186"/>
  <c r="Q23" i="186"/>
  <c r="M23" i="186"/>
  <c r="P23" i="186" s="1"/>
  <c r="S22" i="186"/>
  <c r="Q22" i="186"/>
  <c r="M22" i="186"/>
  <c r="P22" i="186" s="1"/>
  <c r="S21" i="186"/>
  <c r="Q21" i="186"/>
  <c r="M21" i="186"/>
  <c r="P21" i="186" s="1"/>
  <c r="S20" i="186"/>
  <c r="Q20" i="186"/>
  <c r="M20" i="186"/>
  <c r="P20" i="186" s="1"/>
  <c r="S27" i="186"/>
  <c r="Q27" i="186"/>
  <c r="M27" i="186"/>
  <c r="P27" i="186" s="1"/>
  <c r="S26" i="186"/>
  <c r="Q26" i="186"/>
  <c r="M26" i="186"/>
  <c r="P26" i="186" s="1"/>
  <c r="S25" i="186"/>
  <c r="Q25" i="186"/>
  <c r="M25" i="186"/>
  <c r="P25" i="186" s="1"/>
  <c r="S24" i="186"/>
  <c r="Q24" i="186"/>
  <c r="M24" i="186"/>
  <c r="P24" i="186" s="1"/>
  <c r="L233" i="176"/>
  <c r="L232" i="176"/>
  <c r="J54" i="179" l="1"/>
  <c r="D20" i="409"/>
  <c r="D37" i="409"/>
  <c r="L10" i="407"/>
  <c r="J47" i="179"/>
  <c r="K47" i="179" s="1"/>
  <c r="J66" i="179"/>
  <c r="K66" i="179" s="1"/>
  <c r="J63" i="179"/>
  <c r="K63" i="179" s="1"/>
  <c r="J62" i="179"/>
  <c r="K62" i="179" s="1"/>
  <c r="J48" i="179"/>
  <c r="K48" i="179" s="1"/>
  <c r="K11" i="407"/>
  <c r="N11" i="407" s="1"/>
  <c r="O11" i="407" s="1"/>
  <c r="P11" i="407" s="1"/>
  <c r="L11" i="407"/>
  <c r="J42" i="408"/>
  <c r="K9" i="408"/>
  <c r="L9" i="408" s="1"/>
  <c r="J65" i="179"/>
  <c r="K65" i="179" s="1"/>
  <c r="R13" i="407"/>
  <c r="R15" i="407" s="1"/>
  <c r="Q15" i="407"/>
  <c r="K12" i="407"/>
  <c r="N12" i="407" s="1"/>
  <c r="L12" i="407"/>
  <c r="M10" i="407"/>
  <c r="J61" i="179"/>
  <c r="J57" i="179"/>
  <c r="J53" i="179"/>
  <c r="K40" i="408"/>
  <c r="L40" i="408" s="1"/>
  <c r="K41" i="408"/>
  <c r="L41" i="408" s="1"/>
  <c r="K29" i="408"/>
  <c r="L29" i="408" s="1"/>
  <c r="K26" i="408"/>
  <c r="L26" i="408"/>
  <c r="K30" i="408"/>
  <c r="L30" i="408" s="1"/>
  <c r="K34" i="408"/>
  <c r="L34" i="408" s="1"/>
  <c r="K38" i="408"/>
  <c r="L38" i="408" s="1"/>
  <c r="K25" i="408"/>
  <c r="L25" i="408" s="1"/>
  <c r="K37" i="408"/>
  <c r="L37" i="408" s="1"/>
  <c r="K27" i="408"/>
  <c r="L27" i="408" s="1"/>
  <c r="K31" i="408"/>
  <c r="L31" i="408" s="1"/>
  <c r="K35" i="408"/>
  <c r="L35" i="408" s="1"/>
  <c r="K33" i="408"/>
  <c r="L33" i="408" s="1"/>
  <c r="K28" i="408"/>
  <c r="L28" i="408" s="1"/>
  <c r="K32" i="408"/>
  <c r="L32" i="408" s="1"/>
  <c r="K36" i="408"/>
  <c r="L36" i="408" s="1"/>
  <c r="K39" i="408"/>
  <c r="L39" i="408" s="1"/>
  <c r="L11" i="408"/>
  <c r="L13" i="408"/>
  <c r="L15" i="408"/>
  <c r="L17" i="408"/>
  <c r="L19" i="408"/>
  <c r="L21" i="408"/>
  <c r="L23" i="408"/>
  <c r="K12" i="408"/>
  <c r="L12" i="408" s="1"/>
  <c r="K14" i="408"/>
  <c r="L14" i="408" s="1"/>
  <c r="K16" i="408"/>
  <c r="L16" i="408" s="1"/>
  <c r="K18" i="408"/>
  <c r="L18" i="408" s="1"/>
  <c r="K20" i="408"/>
  <c r="L20" i="408" s="1"/>
  <c r="K22" i="408"/>
  <c r="L22" i="408" s="1"/>
  <c r="K24" i="408"/>
  <c r="L24" i="408" s="1"/>
  <c r="K10" i="408"/>
  <c r="K13" i="407"/>
  <c r="N13" i="407" s="1"/>
  <c r="G9" i="407"/>
  <c r="M9" i="407" s="1"/>
  <c r="M15" i="407" s="1"/>
  <c r="N11" i="181"/>
  <c r="L16" i="181"/>
  <c r="K11" i="181"/>
  <c r="L9" i="181"/>
  <c r="M9" i="181" s="1"/>
  <c r="I19" i="181"/>
  <c r="L10" i="181"/>
  <c r="M10" i="181" s="1"/>
  <c r="L17" i="181"/>
  <c r="K18" i="181"/>
  <c r="L18" i="181"/>
  <c r="K53" i="179"/>
  <c r="K51" i="179"/>
  <c r="K54" i="179"/>
  <c r="K57" i="179"/>
  <c r="K49" i="179"/>
  <c r="K50" i="179"/>
  <c r="K58" i="179"/>
  <c r="K61" i="179"/>
  <c r="K55" i="179"/>
  <c r="K59" i="179"/>
  <c r="K52" i="179"/>
  <c r="K56" i="179"/>
  <c r="K60" i="179"/>
  <c r="K64" i="179"/>
  <c r="R34" i="186"/>
  <c r="N54" i="186"/>
  <c r="O54" i="186" s="1"/>
  <c r="N55" i="186"/>
  <c r="O55" i="186" s="1"/>
  <c r="N56" i="186"/>
  <c r="O56" i="186" s="1"/>
  <c r="N57" i="186"/>
  <c r="O57" i="186" s="1"/>
  <c r="N29" i="186"/>
  <c r="O29" i="186" s="1"/>
  <c r="N30" i="186"/>
  <c r="O30" i="186" s="1"/>
  <c r="N31" i="186"/>
  <c r="O31" i="186" s="1"/>
  <c r="N18" i="186"/>
  <c r="O18" i="186" s="1"/>
  <c r="N16" i="186"/>
  <c r="O16" i="186" s="1"/>
  <c r="N17" i="186"/>
  <c r="O17" i="186" s="1"/>
  <c r="N19" i="186"/>
  <c r="O19" i="186" s="1"/>
  <c r="N20" i="186"/>
  <c r="O20" i="186" s="1"/>
  <c r="N23" i="186"/>
  <c r="O23" i="186" s="1"/>
  <c r="N21" i="186"/>
  <c r="O21" i="186" s="1"/>
  <c r="N22" i="186"/>
  <c r="O22" i="186" s="1"/>
  <c r="N25" i="186"/>
  <c r="O25" i="186" s="1"/>
  <c r="N26" i="186"/>
  <c r="O26" i="186" s="1"/>
  <c r="N24" i="186"/>
  <c r="O24" i="186" s="1"/>
  <c r="N27" i="186"/>
  <c r="O27" i="186" s="1"/>
  <c r="O12" i="407" l="1"/>
  <c r="P12" i="407"/>
  <c r="L9" i="407"/>
  <c r="L15" i="407" s="1"/>
  <c r="K42" i="408"/>
  <c r="K9" i="407"/>
  <c r="N9" i="407" s="1"/>
  <c r="N15" i="407" s="1"/>
  <c r="O13" i="407"/>
  <c r="L10" i="408"/>
  <c r="L42" i="408" s="1"/>
  <c r="K19" i="181"/>
  <c r="L241" i="176" s="1"/>
  <c r="N241" i="176" s="1"/>
  <c r="L220" i="176"/>
  <c r="L19" i="181"/>
  <c r="M11" i="181"/>
  <c r="L11" i="181"/>
  <c r="C4" i="401"/>
  <c r="C3" i="401"/>
  <c r="C2" i="401"/>
  <c r="C1" i="401"/>
  <c r="F11" i="387"/>
  <c r="F9" i="387"/>
  <c r="F13" i="387"/>
  <c r="F29" i="387"/>
  <c r="F28" i="387"/>
  <c r="F27" i="387"/>
  <c r="F25" i="387"/>
  <c r="F24" i="387"/>
  <c r="F23" i="387"/>
  <c r="F21" i="387"/>
  <c r="F17" i="387"/>
  <c r="F16" i="387"/>
  <c r="B4" i="387"/>
  <c r="B3" i="387"/>
  <c r="B2" i="387"/>
  <c r="B1" i="387"/>
  <c r="F20" i="387"/>
  <c r="F10" i="387"/>
  <c r="O9" i="407" l="1"/>
  <c r="P9" i="407" s="1"/>
  <c r="P13" i="407"/>
  <c r="P15" i="407" s="1"/>
  <c r="L226" i="176"/>
  <c r="F22" i="387"/>
  <c r="F15" i="387"/>
  <c r="F12" i="387"/>
  <c r="F14" i="387" s="1"/>
  <c r="F19" i="387"/>
  <c r="F18" i="387"/>
  <c r="F26" i="387"/>
  <c r="F30" i="387" l="1"/>
  <c r="M1295" i="176" s="1"/>
  <c r="M1293" i="176"/>
  <c r="O15" i="407"/>
  <c r="C4" i="398" l="1"/>
  <c r="C3" i="398"/>
  <c r="C4" i="396"/>
  <c r="C3" i="396"/>
  <c r="C4" i="403"/>
  <c r="C3" i="403"/>
  <c r="C4" i="397"/>
  <c r="C3" i="397"/>
  <c r="Q48" i="147"/>
  <c r="K41" i="392" s="1"/>
  <c r="I54" i="147"/>
  <c r="D54" i="147"/>
  <c r="C54" i="147"/>
  <c r="M54" i="147" s="1"/>
  <c r="I53" i="147"/>
  <c r="C53" i="147"/>
  <c r="M53" i="147" s="1"/>
  <c r="P52" i="147"/>
  <c r="O52" i="147"/>
  <c r="M52" i="147"/>
  <c r="L52" i="147"/>
  <c r="I52" i="147"/>
  <c r="I51" i="147"/>
  <c r="I50" i="147"/>
  <c r="C12" i="147"/>
  <c r="C11" i="147"/>
  <c r="P42" i="147"/>
  <c r="P43" i="147"/>
  <c r="P44" i="147"/>
  <c r="O42" i="147"/>
  <c r="O43" i="147"/>
  <c r="D46" i="147"/>
  <c r="L46" i="147" s="1"/>
  <c r="I46" i="147"/>
  <c r="C46" i="147"/>
  <c r="M46" i="147" s="1"/>
  <c r="I45" i="147"/>
  <c r="C45" i="147"/>
  <c r="M45" i="147" s="1"/>
  <c r="O44" i="147"/>
  <c r="M44" i="147"/>
  <c r="L44" i="147"/>
  <c r="I44" i="147"/>
  <c r="M43" i="147"/>
  <c r="L43" i="147"/>
  <c r="N43" i="147" s="1"/>
  <c r="I43" i="147"/>
  <c r="M42" i="147"/>
  <c r="L42" i="147"/>
  <c r="I42" i="147"/>
  <c r="D40" i="147"/>
  <c r="P36" i="147"/>
  <c r="I29" i="147"/>
  <c r="M15" i="147"/>
  <c r="L15" i="147"/>
  <c r="C40" i="147"/>
  <c r="C39" i="147"/>
  <c r="C33" i="147"/>
  <c r="C32" i="147"/>
  <c r="C26" i="147"/>
  <c r="D25" i="147"/>
  <c r="C25" i="147"/>
  <c r="D18" i="147"/>
  <c r="C19" i="147"/>
  <c r="C18" i="147"/>
  <c r="T13" i="147"/>
  <c r="L36" i="147"/>
  <c r="W13" i="147"/>
  <c r="L368" i="176"/>
  <c r="L349" i="176"/>
  <c r="L329" i="176"/>
  <c r="L309" i="176"/>
  <c r="L289" i="176"/>
  <c r="L268" i="176"/>
  <c r="M53" i="392"/>
  <c r="M55" i="392" s="1"/>
  <c r="L389" i="176"/>
  <c r="L374" i="176"/>
  <c r="L315" i="176"/>
  <c r="L295" i="176"/>
  <c r="C12" i="406"/>
  <c r="J11" i="406"/>
  <c r="H11" i="406"/>
  <c r="K10" i="406"/>
  <c r="J10" i="406"/>
  <c r="I10" i="406"/>
  <c r="H10" i="406"/>
  <c r="J9" i="406"/>
  <c r="H9" i="406"/>
  <c r="K8" i="406"/>
  <c r="J8" i="406"/>
  <c r="I8" i="406"/>
  <c r="H8" i="406"/>
  <c r="J7" i="406"/>
  <c r="H7" i="406"/>
  <c r="K6" i="406"/>
  <c r="J6" i="406"/>
  <c r="I6" i="406"/>
  <c r="H6" i="406"/>
  <c r="P9" i="406"/>
  <c r="K31" i="392" s="1"/>
  <c r="P8" i="406"/>
  <c r="K25" i="392" s="1"/>
  <c r="P7" i="406"/>
  <c r="K19" i="392" s="1"/>
  <c r="S6" i="406"/>
  <c r="P6" i="406"/>
  <c r="N3" i="406"/>
  <c r="L3" i="406"/>
  <c r="B3" i="406"/>
  <c r="A3" i="406"/>
  <c r="B2" i="406"/>
  <c r="P6" i="137"/>
  <c r="Q42" i="147" l="1"/>
  <c r="N52" i="147"/>
  <c r="N368" i="176"/>
  <c r="N349" i="176"/>
  <c r="N15" i="147"/>
  <c r="O45" i="147"/>
  <c r="P45" i="147"/>
  <c r="Q45" i="147" s="1"/>
  <c r="L45" i="147"/>
  <c r="N45" i="147" s="1"/>
  <c r="P46" i="147"/>
  <c r="Q52" i="147"/>
  <c r="O53" i="147"/>
  <c r="L53" i="147"/>
  <c r="N53" i="147" s="1"/>
  <c r="P53" i="147"/>
  <c r="O54" i="147"/>
  <c r="L54" i="147"/>
  <c r="N54" i="147" s="1"/>
  <c r="P54" i="147"/>
  <c r="Q44" i="147"/>
  <c r="Q43" i="147"/>
  <c r="N42" i="147"/>
  <c r="N44" i="147"/>
  <c r="N46" i="147"/>
  <c r="O46" i="147"/>
  <c r="N309" i="176"/>
  <c r="N329" i="176"/>
  <c r="N289" i="176"/>
  <c r="N268" i="176"/>
  <c r="N53" i="392"/>
  <c r="N55" i="392" s="1"/>
  <c r="K12" i="406"/>
  <c r="P10" i="406"/>
  <c r="Q10" i="406"/>
  <c r="Q46" i="147" l="1"/>
  <c r="Q54" i="147"/>
  <c r="Q53" i="147"/>
  <c r="S9" i="406"/>
  <c r="L31" i="392" l="1"/>
  <c r="S8" i="406"/>
  <c r="L25" i="392" l="1"/>
  <c r="S7" i="406"/>
  <c r="I12" i="406"/>
  <c r="L19" i="392" l="1"/>
  <c r="S10" i="406"/>
  <c r="T10" i="406" s="1"/>
  <c r="N372" i="176" l="1"/>
  <c r="N333" i="176"/>
  <c r="N313" i="176"/>
  <c r="N293" i="176"/>
  <c r="C32" i="137"/>
  <c r="B32" i="137"/>
  <c r="H29" i="137" s="1"/>
  <c r="I29" i="137" s="1"/>
  <c r="J29" i="137" s="1"/>
  <c r="E282" i="176"/>
  <c r="N292" i="176" l="1"/>
  <c r="N312" i="176"/>
  <c r="N332" i="176"/>
  <c r="N371" i="176"/>
  <c r="N353" i="176"/>
  <c r="N273" i="176"/>
  <c r="N352" i="176" l="1"/>
  <c r="F50" i="395"/>
  <c r="L569" i="176" l="1"/>
  <c r="N569" i="176" s="1"/>
  <c r="F55" i="395"/>
  <c r="M1285" i="176"/>
  <c r="D31" i="387"/>
  <c r="F31" i="387" s="1"/>
  <c r="B15" i="392"/>
  <c r="B9" i="392"/>
  <c r="P7" i="212"/>
  <c r="P8" i="212"/>
  <c r="P9" i="212"/>
  <c r="P10" i="212"/>
  <c r="P12" i="212"/>
  <c r="P13" i="212"/>
  <c r="M7" i="212"/>
  <c r="K15" i="392" s="1"/>
  <c r="M8" i="212"/>
  <c r="K21" i="392" s="1"/>
  <c r="M9" i="212"/>
  <c r="K27" i="392" s="1"/>
  <c r="M10" i="212"/>
  <c r="K33" i="392" s="1"/>
  <c r="M12" i="212"/>
  <c r="K43" i="392" s="1"/>
  <c r="M13" i="212"/>
  <c r="K48" i="392" s="1"/>
  <c r="M1297" i="176" l="1"/>
  <c r="F32" i="387"/>
  <c r="N568" i="176"/>
  <c r="L43" i="392"/>
  <c r="L359" i="176"/>
  <c r="L48" i="392"/>
  <c r="L378" i="176"/>
  <c r="L27" i="392"/>
  <c r="L299" i="176"/>
  <c r="L33" i="392"/>
  <c r="L319" i="176"/>
  <c r="L21" i="392"/>
  <c r="L279" i="176"/>
  <c r="L588" i="176"/>
  <c r="L512" i="176"/>
  <c r="M1308" i="176"/>
  <c r="M1304" i="176"/>
  <c r="M1315" i="176"/>
  <c r="M1310" i="176"/>
  <c r="M1312" i="176"/>
  <c r="M1313" i="176"/>
  <c r="L15" i="392"/>
  <c r="L258" i="176"/>
  <c r="G16" i="344"/>
  <c r="H16" i="344" s="1"/>
  <c r="I16" i="344" s="1"/>
  <c r="G15" i="344"/>
  <c r="H15" i="344" s="1"/>
  <c r="I15" i="344" s="1"/>
  <c r="G14" i="344"/>
  <c r="H14" i="344" s="1"/>
  <c r="I14" i="344" s="1"/>
  <c r="G13" i="344"/>
  <c r="H13" i="344" s="1"/>
  <c r="I13" i="344" s="1"/>
  <c r="G12" i="344"/>
  <c r="H12" i="344" s="1"/>
  <c r="I12" i="344" s="1"/>
  <c r="G11" i="344"/>
  <c r="H11" i="344" s="1"/>
  <c r="I11" i="344" s="1"/>
  <c r="G10" i="344"/>
  <c r="H10" i="344" s="1"/>
  <c r="I10" i="344" s="1"/>
  <c r="G9" i="344"/>
  <c r="H9" i="344" s="1"/>
  <c r="I9" i="344" s="1"/>
  <c r="G24" i="344"/>
  <c r="H24" i="344" s="1"/>
  <c r="I24" i="344" s="1"/>
  <c r="G23" i="344"/>
  <c r="H23" i="344" s="1"/>
  <c r="I23" i="344" s="1"/>
  <c r="G22" i="344"/>
  <c r="H22" i="344" s="1"/>
  <c r="I22" i="344" s="1"/>
  <c r="G21" i="344"/>
  <c r="H21" i="344" s="1"/>
  <c r="I21" i="344" s="1"/>
  <c r="G20" i="344"/>
  <c r="H20" i="344" s="1"/>
  <c r="I20" i="344" s="1"/>
  <c r="G19" i="344"/>
  <c r="H19" i="344" s="1"/>
  <c r="I19" i="344" s="1"/>
  <c r="G18" i="344"/>
  <c r="H18" i="344" s="1"/>
  <c r="I18" i="344" s="1"/>
  <c r="G17" i="344"/>
  <c r="H17" i="344" s="1"/>
  <c r="I17" i="344" s="1"/>
  <c r="G32" i="344"/>
  <c r="H32" i="344" s="1"/>
  <c r="I32" i="344" s="1"/>
  <c r="G31" i="344"/>
  <c r="H31" i="344" s="1"/>
  <c r="I31" i="344" s="1"/>
  <c r="G30" i="344"/>
  <c r="H30" i="344" s="1"/>
  <c r="I30" i="344" s="1"/>
  <c r="G29" i="344"/>
  <c r="H29" i="344" s="1"/>
  <c r="I29" i="344" s="1"/>
  <c r="G28" i="344"/>
  <c r="H28" i="344" s="1"/>
  <c r="I28" i="344" s="1"/>
  <c r="G27" i="344"/>
  <c r="H27" i="344" s="1"/>
  <c r="I27" i="344" s="1"/>
  <c r="G26" i="344"/>
  <c r="H26" i="344" s="1"/>
  <c r="I26" i="344" s="1"/>
  <c r="G25" i="344"/>
  <c r="H25" i="344" s="1"/>
  <c r="I25" i="344" s="1"/>
  <c r="G40" i="344"/>
  <c r="H40" i="344" s="1"/>
  <c r="I40" i="344" s="1"/>
  <c r="G39" i="344"/>
  <c r="H39" i="344" s="1"/>
  <c r="I39" i="344" s="1"/>
  <c r="G38" i="344"/>
  <c r="H38" i="344" s="1"/>
  <c r="I38" i="344" s="1"/>
  <c r="G37" i="344"/>
  <c r="H37" i="344" s="1"/>
  <c r="I37" i="344" s="1"/>
  <c r="G36" i="344"/>
  <c r="H36" i="344" s="1"/>
  <c r="I36" i="344" s="1"/>
  <c r="G35" i="344"/>
  <c r="H35" i="344" s="1"/>
  <c r="I35" i="344" s="1"/>
  <c r="G34" i="344"/>
  <c r="H34" i="344" s="1"/>
  <c r="I34" i="344" s="1"/>
  <c r="G33" i="344"/>
  <c r="H33" i="344" s="1"/>
  <c r="I33" i="344" s="1"/>
  <c r="N561" i="176" l="1"/>
  <c r="J33" i="344"/>
  <c r="K33" i="344"/>
  <c r="M33" i="344" s="1"/>
  <c r="J17" i="344"/>
  <c r="K17" i="344"/>
  <c r="M17" i="344" s="1"/>
  <c r="J13" i="344"/>
  <c r="K13" i="344"/>
  <c r="M13" i="344" s="1"/>
  <c r="K34" i="344"/>
  <c r="M34" i="344" s="1"/>
  <c r="J34" i="344"/>
  <c r="K38" i="344"/>
  <c r="M38" i="344" s="1"/>
  <c r="J38" i="344"/>
  <c r="K26" i="344"/>
  <c r="M26" i="344" s="1"/>
  <c r="J26" i="344"/>
  <c r="K30" i="344"/>
  <c r="M30" i="344" s="1"/>
  <c r="J30" i="344"/>
  <c r="K18" i="344"/>
  <c r="M18" i="344" s="1"/>
  <c r="J18" i="344"/>
  <c r="K22" i="344"/>
  <c r="M22" i="344" s="1"/>
  <c r="J22" i="344"/>
  <c r="K10" i="344"/>
  <c r="M10" i="344" s="1"/>
  <c r="J10" i="344"/>
  <c r="K14" i="344"/>
  <c r="M14" i="344" s="1"/>
  <c r="J14" i="344"/>
  <c r="J25" i="344"/>
  <c r="K25" i="344"/>
  <c r="M25" i="344" s="1"/>
  <c r="J9" i="344"/>
  <c r="K9" i="344"/>
  <c r="M9" i="344" s="1"/>
  <c r="J35" i="344"/>
  <c r="K35" i="344"/>
  <c r="M35" i="344" s="1"/>
  <c r="J39" i="344"/>
  <c r="K39" i="344"/>
  <c r="M39" i="344" s="1"/>
  <c r="J27" i="344"/>
  <c r="K27" i="344"/>
  <c r="M27" i="344" s="1"/>
  <c r="J31" i="344"/>
  <c r="K31" i="344"/>
  <c r="M31" i="344" s="1"/>
  <c r="J19" i="344"/>
  <c r="K19" i="344"/>
  <c r="M19" i="344" s="1"/>
  <c r="J23" i="344"/>
  <c r="K23" i="344"/>
  <c r="M23" i="344" s="1"/>
  <c r="J11" i="344"/>
  <c r="K11" i="344"/>
  <c r="M11" i="344" s="1"/>
  <c r="J15" i="344"/>
  <c r="K15" i="344"/>
  <c r="M15" i="344" s="1"/>
  <c r="J37" i="344"/>
  <c r="K37" i="344"/>
  <c r="M37" i="344" s="1"/>
  <c r="J29" i="344"/>
  <c r="K29" i="344"/>
  <c r="M29" i="344" s="1"/>
  <c r="J21" i="344"/>
  <c r="K21" i="344"/>
  <c r="M21" i="344" s="1"/>
  <c r="K36" i="344"/>
  <c r="M36" i="344" s="1"/>
  <c r="J36" i="344"/>
  <c r="K40" i="344"/>
  <c r="M40" i="344" s="1"/>
  <c r="J40" i="344"/>
  <c r="K28" i="344"/>
  <c r="M28" i="344" s="1"/>
  <c r="J28" i="344"/>
  <c r="K32" i="344"/>
  <c r="M32" i="344" s="1"/>
  <c r="J32" i="344"/>
  <c r="K20" i="344"/>
  <c r="M20" i="344" s="1"/>
  <c r="J20" i="344"/>
  <c r="K24" i="344"/>
  <c r="M24" i="344" s="1"/>
  <c r="J24" i="344"/>
  <c r="K12" i="344"/>
  <c r="M12" i="344" s="1"/>
  <c r="J12" i="344"/>
  <c r="K16" i="344"/>
  <c r="M16" i="344" s="1"/>
  <c r="J16" i="344"/>
  <c r="N517" i="176" l="1"/>
  <c r="N609" i="176"/>
  <c r="E608" i="176"/>
  <c r="E609" i="176" s="1"/>
  <c r="N1204" i="176"/>
  <c r="N1203" i="176"/>
  <c r="N1196" i="176"/>
  <c r="D566" i="400"/>
  <c r="F42" i="395"/>
  <c r="M467" i="404"/>
  <c r="C3" i="404"/>
  <c r="C2" i="404"/>
  <c r="C1" i="404"/>
  <c r="N608" i="176" l="1"/>
  <c r="J163" i="397"/>
  <c r="H164" i="397"/>
  <c r="H163" i="397"/>
  <c r="I167" i="397" s="1"/>
  <c r="J164" i="397"/>
  <c r="B164" i="397"/>
  <c r="B163" i="397"/>
  <c r="E1178" i="176"/>
  <c r="E1179" i="176" s="1"/>
  <c r="N1190" i="176"/>
  <c r="E1189" i="176"/>
  <c r="E1190" i="176" s="1"/>
  <c r="N1285" i="176"/>
  <c r="N1287" i="176"/>
  <c r="E1286" i="176"/>
  <c r="E1287" i="176" s="1"/>
  <c r="N1284" i="176"/>
  <c r="E1283" i="176"/>
  <c r="E1284" i="176" s="1"/>
  <c r="E1285" i="176" s="1"/>
  <c r="M1177" i="176"/>
  <c r="M1175" i="176"/>
  <c r="M1176" i="176"/>
  <c r="N1176" i="176" s="1"/>
  <c r="I11" i="403"/>
  <c r="K11" i="403"/>
  <c r="E14" i="403"/>
  <c r="I13" i="403"/>
  <c r="J12" i="403" s="1"/>
  <c r="B13" i="403"/>
  <c r="I10" i="403"/>
  <c r="K10" i="403" s="1"/>
  <c r="I9" i="403"/>
  <c r="K9" i="403" s="1"/>
  <c r="B9" i="403"/>
  <c r="B10" i="403" s="1"/>
  <c r="B11" i="403" s="1"/>
  <c r="A9" i="403"/>
  <c r="A11" i="403" s="1"/>
  <c r="A13" i="403" s="1"/>
  <c r="A8" i="403"/>
  <c r="A10" i="403" s="1"/>
  <c r="A12" i="403" s="1"/>
  <c r="C2" i="403"/>
  <c r="C1" i="403"/>
  <c r="M1172" i="176"/>
  <c r="B40" i="398"/>
  <c r="B55" i="398"/>
  <c r="J24" i="398"/>
  <c r="K13" i="403" l="1"/>
  <c r="N1283" i="176"/>
  <c r="N1286" i="176"/>
  <c r="N1189" i="176"/>
  <c r="L1179" i="176"/>
  <c r="I168" i="397"/>
  <c r="M1179" i="176" s="1"/>
  <c r="J8" i="403"/>
  <c r="J7" i="403" s="1"/>
  <c r="J14" i="403" s="1"/>
  <c r="K12" i="403"/>
  <c r="K8" i="403"/>
  <c r="I12" i="403"/>
  <c r="I8" i="403"/>
  <c r="J34" i="398"/>
  <c r="J33" i="398" s="1"/>
  <c r="J32" i="398"/>
  <c r="J31" i="398"/>
  <c r="J30" i="398" s="1"/>
  <c r="J29" i="398" s="1"/>
  <c r="J28" i="398"/>
  <c r="J27" i="398" s="1"/>
  <c r="J26" i="398"/>
  <c r="J25" i="398"/>
  <c r="J23" i="398"/>
  <c r="J22" i="398"/>
  <c r="J21" i="398"/>
  <c r="J18" i="398"/>
  <c r="J17" i="398" s="1"/>
  <c r="J16" i="398" s="1"/>
  <c r="J15" i="398"/>
  <c r="J14" i="398" s="1"/>
  <c r="J13" i="398" s="1"/>
  <c r="J12" i="398"/>
  <c r="J11" i="398" s="1"/>
  <c r="J10" i="398" s="1"/>
  <c r="J9" i="398"/>
  <c r="J8" i="398"/>
  <c r="J7" i="398" s="1"/>
  <c r="F56" i="396"/>
  <c r="F53" i="396"/>
  <c r="F55" i="396"/>
  <c r="F54" i="396"/>
  <c r="B60" i="396"/>
  <c r="B61" i="396" s="1"/>
  <c r="A45" i="396"/>
  <c r="M1161" i="176"/>
  <c r="B149" i="397"/>
  <c r="B148" i="397"/>
  <c r="B157" i="397"/>
  <c r="I73" i="397"/>
  <c r="I74" i="397"/>
  <c r="I75" i="397"/>
  <c r="I76" i="397"/>
  <c r="L54" i="397"/>
  <c r="K54" i="397"/>
  <c r="J54" i="397"/>
  <c r="I54" i="397"/>
  <c r="L73" i="397"/>
  <c r="K73" i="397"/>
  <c r="J73" i="397"/>
  <c r="B73" i="397"/>
  <c r="L75" i="397"/>
  <c r="K75" i="397"/>
  <c r="J75" i="397"/>
  <c r="I52" i="397"/>
  <c r="F103" i="397"/>
  <c r="L69" i="397"/>
  <c r="K69" i="397"/>
  <c r="J69" i="397"/>
  <c r="I69" i="397"/>
  <c r="L70" i="397"/>
  <c r="K70" i="397"/>
  <c r="J70" i="397"/>
  <c r="I70" i="397"/>
  <c r="B70" i="397"/>
  <c r="A70" i="397"/>
  <c r="L71" i="397"/>
  <c r="K71" i="397"/>
  <c r="J71" i="397"/>
  <c r="I71" i="397"/>
  <c r="B71" i="397"/>
  <c r="L72" i="397"/>
  <c r="K72" i="397"/>
  <c r="J72" i="397"/>
  <c r="I72" i="397"/>
  <c r="L74" i="397"/>
  <c r="K74" i="397"/>
  <c r="J74" i="397"/>
  <c r="L76" i="397"/>
  <c r="K76" i="397"/>
  <c r="J76" i="397"/>
  <c r="L77" i="397"/>
  <c r="K77" i="397"/>
  <c r="J77" i="397"/>
  <c r="I77" i="397"/>
  <c r="I68" i="397"/>
  <c r="I67" i="397"/>
  <c r="I66" i="397"/>
  <c r="I65" i="397"/>
  <c r="L55" i="397"/>
  <c r="K55" i="397"/>
  <c r="J55" i="397"/>
  <c r="I55" i="397"/>
  <c r="B58" i="397"/>
  <c r="B59" i="397"/>
  <c r="L58" i="397"/>
  <c r="K58" i="397"/>
  <c r="J58" i="397"/>
  <c r="I58" i="397"/>
  <c r="L59" i="397"/>
  <c r="K59" i="397"/>
  <c r="J59" i="397"/>
  <c r="I59" i="397"/>
  <c r="L60" i="397"/>
  <c r="K60" i="397"/>
  <c r="J60" i="397"/>
  <c r="I60" i="397"/>
  <c r="L61" i="397"/>
  <c r="K61" i="397"/>
  <c r="J61" i="397"/>
  <c r="I61" i="397"/>
  <c r="L62" i="397"/>
  <c r="K62" i="397"/>
  <c r="J62" i="397"/>
  <c r="I62" i="397"/>
  <c r="B41" i="398"/>
  <c r="B42" i="398" s="1"/>
  <c r="B43" i="398" s="1"/>
  <c r="B44" i="398" s="1"/>
  <c r="B45" i="398" s="1"/>
  <c r="B46" i="398" s="1"/>
  <c r="B47" i="398" s="1"/>
  <c r="B123" i="397"/>
  <c r="B124" i="397" s="1"/>
  <c r="B125" i="397" s="1"/>
  <c r="B126" i="397" s="1"/>
  <c r="B127" i="397" s="1"/>
  <c r="B128" i="397" s="1"/>
  <c r="B129" i="397" s="1"/>
  <c r="B130" i="397" s="1"/>
  <c r="B131" i="397" s="1"/>
  <c r="B132" i="397" s="1"/>
  <c r="B133" i="397" s="1"/>
  <c r="B134" i="397" s="1"/>
  <c r="B135" i="397" s="1"/>
  <c r="B136" i="397" s="1"/>
  <c r="B137" i="397" s="1"/>
  <c r="B138" i="397" s="1"/>
  <c r="B139" i="397" s="1"/>
  <c r="B100" i="397"/>
  <c r="B101" i="397" s="1"/>
  <c r="B102" i="397" s="1"/>
  <c r="B103" i="397" s="1"/>
  <c r="B104" i="397" s="1"/>
  <c r="B105" i="397" s="1"/>
  <c r="B106" i="397" s="1"/>
  <c r="B107" i="397" s="1"/>
  <c r="B108" i="397" s="1"/>
  <c r="B109" i="397" s="1"/>
  <c r="B110" i="397" s="1"/>
  <c r="B111" i="397" s="1"/>
  <c r="B112" i="397" s="1"/>
  <c r="B113" i="397" s="1"/>
  <c r="B114" i="397" s="1"/>
  <c r="B115" i="397" s="1"/>
  <c r="B116" i="397" s="1"/>
  <c r="B117" i="397" s="1"/>
  <c r="B119" i="397" s="1"/>
  <c r="B53" i="396"/>
  <c r="B54" i="396" s="1"/>
  <c r="B55" i="396" s="1"/>
  <c r="B56" i="396" s="1"/>
  <c r="B57" i="396" s="1"/>
  <c r="L88" i="397"/>
  <c r="K88" i="397"/>
  <c r="J88" i="397"/>
  <c r="I88" i="397"/>
  <c r="L87" i="397"/>
  <c r="K87" i="397"/>
  <c r="J87" i="397"/>
  <c r="I87" i="397"/>
  <c r="I47" i="396"/>
  <c r="K47" i="396" s="1"/>
  <c r="I46" i="396"/>
  <c r="B46" i="396"/>
  <c r="B47" i="396" s="1"/>
  <c r="A46" i="396"/>
  <c r="A47" i="396" s="1"/>
  <c r="L92" i="397"/>
  <c r="L91" i="397" s="1"/>
  <c r="L90" i="397" s="1"/>
  <c r="K92" i="397"/>
  <c r="K91" i="397" s="1"/>
  <c r="J92" i="397"/>
  <c r="J91" i="397" s="1"/>
  <c r="J90" i="397" s="1"/>
  <c r="I92" i="397"/>
  <c r="B92" i="397"/>
  <c r="A91" i="397"/>
  <c r="A92" i="397" s="1"/>
  <c r="L89" i="397"/>
  <c r="K89" i="397"/>
  <c r="J89" i="397"/>
  <c r="I89" i="397"/>
  <c r="L86" i="397"/>
  <c r="L85" i="397" s="1"/>
  <c r="K86" i="397"/>
  <c r="K85" i="397" s="1"/>
  <c r="J86" i="397"/>
  <c r="J85" i="397" s="1"/>
  <c r="I86" i="397"/>
  <c r="L84" i="397"/>
  <c r="K84" i="397"/>
  <c r="J84" i="397"/>
  <c r="I84" i="397"/>
  <c r="L83" i="397"/>
  <c r="K83" i="397"/>
  <c r="J83" i="397"/>
  <c r="I83" i="397"/>
  <c r="B83" i="397"/>
  <c r="B84" i="397" s="1"/>
  <c r="A82" i="397"/>
  <c r="A83" i="397" s="1"/>
  <c r="A84" i="397" s="1"/>
  <c r="A85" i="397" s="1"/>
  <c r="A86" i="397" s="1"/>
  <c r="A87" i="397" s="1"/>
  <c r="A88" i="397" s="1"/>
  <c r="A89" i="397" s="1"/>
  <c r="G61" i="396" l="1"/>
  <c r="N1179" i="176"/>
  <c r="K7" i="403"/>
  <c r="K14" i="403" s="1"/>
  <c r="I7" i="403"/>
  <c r="I14" i="403" s="1"/>
  <c r="G60" i="396"/>
  <c r="J20" i="398"/>
  <c r="J19" i="398" s="1"/>
  <c r="J35" i="398"/>
  <c r="B118" i="397"/>
  <c r="I45" i="396"/>
  <c r="I44" i="396" s="1"/>
  <c r="J82" i="397"/>
  <c r="J81" i="397" s="1"/>
  <c r="L82" i="397"/>
  <c r="L81" i="397" s="1"/>
  <c r="K82" i="397"/>
  <c r="K46" i="396"/>
  <c r="K45" i="396" s="1"/>
  <c r="K44" i="396" s="1"/>
  <c r="J47" i="396"/>
  <c r="J46" i="396"/>
  <c r="N1178" i="176" l="1"/>
  <c r="L1157" i="176"/>
  <c r="L1182" i="176" s="1"/>
  <c r="N1174" i="176"/>
  <c r="J45" i="396"/>
  <c r="J44" i="396" s="1"/>
  <c r="L1156" i="176" l="1"/>
  <c r="L1181" i="176" s="1"/>
  <c r="E35" i="396"/>
  <c r="E34" i="396" s="1"/>
  <c r="I29" i="396"/>
  <c r="K29" i="396" s="1"/>
  <c r="I30" i="396"/>
  <c r="I33" i="396"/>
  <c r="K33" i="396" s="1"/>
  <c r="I32" i="396"/>
  <c r="B32" i="396"/>
  <c r="B33" i="396" s="1"/>
  <c r="J30" i="396"/>
  <c r="B29" i="396"/>
  <c r="B30" i="396" s="1"/>
  <c r="A29" i="396"/>
  <c r="A28" i="396"/>
  <c r="A30" i="396" s="1"/>
  <c r="A31" i="396" s="1"/>
  <c r="A32" i="396" s="1"/>
  <c r="A33" i="396" s="1"/>
  <c r="I18" i="398"/>
  <c r="K18" i="398" s="1"/>
  <c r="K17" i="398" s="1"/>
  <c r="K16" i="398" s="1"/>
  <c r="B18" i="398"/>
  <c r="A17" i="398"/>
  <c r="A18" i="398" s="1"/>
  <c r="I26" i="396"/>
  <c r="K26" i="396" s="1"/>
  <c r="I25" i="396"/>
  <c r="B25" i="396"/>
  <c r="B26" i="396" s="1"/>
  <c r="A24" i="396"/>
  <c r="A25" i="396" s="1"/>
  <c r="A26" i="396" s="1"/>
  <c r="I22" i="396"/>
  <c r="J22" i="396" s="1"/>
  <c r="I21" i="396"/>
  <c r="B21" i="396"/>
  <c r="B22" i="396" s="1"/>
  <c r="A20" i="396"/>
  <c r="A21" i="396" s="1"/>
  <c r="A22" i="396" s="1"/>
  <c r="I15" i="398"/>
  <c r="K15" i="398" s="1"/>
  <c r="K14" i="398" s="1"/>
  <c r="K13" i="398" s="1"/>
  <c r="B15" i="398"/>
  <c r="A14" i="398"/>
  <c r="A15" i="398" s="1"/>
  <c r="A16" i="396"/>
  <c r="A17" i="396" s="1"/>
  <c r="A18" i="396" s="1"/>
  <c r="I18" i="396"/>
  <c r="K18" i="396" s="1"/>
  <c r="I17" i="396"/>
  <c r="B17" i="396"/>
  <c r="B18" i="396" s="1"/>
  <c r="A11" i="398"/>
  <c r="A12" i="398" s="1"/>
  <c r="A8" i="398"/>
  <c r="I12" i="398"/>
  <c r="K12" i="398" s="1"/>
  <c r="K11" i="398" s="1"/>
  <c r="K10" i="398" s="1"/>
  <c r="B12" i="398"/>
  <c r="I14" i="396"/>
  <c r="I23" i="398"/>
  <c r="K23" i="398" s="1"/>
  <c r="I24" i="398"/>
  <c r="K24" i="398" s="1"/>
  <c r="I25" i="398"/>
  <c r="K25" i="398" s="1"/>
  <c r="I26" i="398"/>
  <c r="K26" i="398" s="1"/>
  <c r="I28" i="398"/>
  <c r="K28" i="398" s="1"/>
  <c r="B28" i="398"/>
  <c r="I22" i="398"/>
  <c r="K22" i="398" s="1"/>
  <c r="K21" i="398"/>
  <c r="B21" i="398"/>
  <c r="B22" i="398" s="1"/>
  <c r="B23" i="398" s="1"/>
  <c r="B24" i="398" s="1"/>
  <c r="B25" i="398" s="1"/>
  <c r="B26" i="398" s="1"/>
  <c r="A21" i="398"/>
  <c r="A23" i="398" s="1"/>
  <c r="A25" i="398" s="1"/>
  <c r="A28" i="398" s="1"/>
  <c r="A20" i="398"/>
  <c r="A22" i="398" s="1"/>
  <c r="A24" i="398" s="1"/>
  <c r="A26" i="398" s="1"/>
  <c r="A27" i="398" s="1"/>
  <c r="I41" i="396"/>
  <c r="I42" i="396"/>
  <c r="I40" i="396"/>
  <c r="I38" i="396"/>
  <c r="I14" i="398" l="1"/>
  <c r="I13" i="398" s="1"/>
  <c r="I17" i="398"/>
  <c r="I16" i="398" s="1"/>
  <c r="I11" i="398"/>
  <c r="I10" i="398" s="1"/>
  <c r="I31" i="396"/>
  <c r="K30" i="396"/>
  <c r="K28" i="396" s="1"/>
  <c r="I28" i="396"/>
  <c r="I27" i="396" s="1"/>
  <c r="J29" i="396"/>
  <c r="J28" i="396" s="1"/>
  <c r="K32" i="396"/>
  <c r="K31" i="396" s="1"/>
  <c r="J33" i="396"/>
  <c r="J32" i="396"/>
  <c r="I24" i="396"/>
  <c r="I23" i="396" s="1"/>
  <c r="K22" i="396"/>
  <c r="I20" i="396"/>
  <c r="I19" i="396" s="1"/>
  <c r="I16" i="396"/>
  <c r="I15" i="396" s="1"/>
  <c r="J25" i="396"/>
  <c r="K25" i="396"/>
  <c r="K24" i="396" s="1"/>
  <c r="K23" i="396" s="1"/>
  <c r="J26" i="396"/>
  <c r="J21" i="396"/>
  <c r="J20" i="396" s="1"/>
  <c r="J19" i="396" s="1"/>
  <c r="K21" i="396"/>
  <c r="J17" i="396"/>
  <c r="K17" i="396"/>
  <c r="K16" i="396" s="1"/>
  <c r="K15" i="396" s="1"/>
  <c r="J18" i="396"/>
  <c r="K27" i="398"/>
  <c r="I27" i="398"/>
  <c r="I20" i="398"/>
  <c r="K20" i="398"/>
  <c r="L35" i="397"/>
  <c r="K35" i="397"/>
  <c r="J35" i="397"/>
  <c r="I35" i="397"/>
  <c r="K65" i="397"/>
  <c r="L79" i="397"/>
  <c r="L78" i="397" s="1"/>
  <c r="K79" i="397"/>
  <c r="K78" i="397" s="1"/>
  <c r="J79" i="397"/>
  <c r="J78" i="397" s="1"/>
  <c r="I79" i="397"/>
  <c r="L68" i="397"/>
  <c r="K68" i="397"/>
  <c r="J68" i="397"/>
  <c r="L67" i="397"/>
  <c r="K67" i="397"/>
  <c r="J67" i="397"/>
  <c r="L66" i="397"/>
  <c r="K66" i="397"/>
  <c r="J66" i="397"/>
  <c r="L65" i="397"/>
  <c r="J65" i="397"/>
  <c r="B65" i="397"/>
  <c r="B72" i="397" s="1"/>
  <c r="A64" i="397"/>
  <c r="A73" i="397" s="1"/>
  <c r="L57" i="397"/>
  <c r="L56" i="397" s="1"/>
  <c r="K57" i="397"/>
  <c r="K56" i="397" s="1"/>
  <c r="J57" i="397"/>
  <c r="J56" i="397" s="1"/>
  <c r="I57" i="397"/>
  <c r="L53" i="397"/>
  <c r="K53" i="397"/>
  <c r="J53" i="397"/>
  <c r="I53" i="397"/>
  <c r="L52" i="397"/>
  <c r="K52" i="397"/>
  <c r="J52" i="397"/>
  <c r="L51" i="397"/>
  <c r="K51" i="397"/>
  <c r="J51" i="397"/>
  <c r="I51" i="397"/>
  <c r="L50" i="397"/>
  <c r="K50" i="397"/>
  <c r="J50" i="397"/>
  <c r="I50" i="397"/>
  <c r="B50" i="397"/>
  <c r="B60" i="397" s="1"/>
  <c r="A49" i="397"/>
  <c r="L47" i="397"/>
  <c r="L46" i="397" s="1"/>
  <c r="K47" i="397"/>
  <c r="K46" i="397" s="1"/>
  <c r="J47" i="397"/>
  <c r="J46" i="397" s="1"/>
  <c r="I47" i="397"/>
  <c r="L45" i="397"/>
  <c r="K45" i="397"/>
  <c r="J45" i="397"/>
  <c r="I45" i="397"/>
  <c r="L44" i="397"/>
  <c r="K44" i="397"/>
  <c r="J44" i="397"/>
  <c r="I44" i="397"/>
  <c r="L43" i="397"/>
  <c r="K43" i="397"/>
  <c r="J43" i="397"/>
  <c r="I43" i="397"/>
  <c r="L42" i="397"/>
  <c r="K42" i="397"/>
  <c r="J42" i="397"/>
  <c r="I42" i="397"/>
  <c r="B42" i="397"/>
  <c r="A41" i="397"/>
  <c r="A42" i="397" s="1"/>
  <c r="A43" i="397" s="1"/>
  <c r="A44" i="397" s="1"/>
  <c r="A45" i="397" s="1"/>
  <c r="L39" i="397"/>
  <c r="L38" i="397" s="1"/>
  <c r="K39" i="397"/>
  <c r="K38" i="397" s="1"/>
  <c r="J39" i="397"/>
  <c r="J38" i="397" s="1"/>
  <c r="I39" i="397"/>
  <c r="L37" i="397"/>
  <c r="K37" i="397"/>
  <c r="J37" i="397"/>
  <c r="I37" i="397"/>
  <c r="L36" i="397"/>
  <c r="K36" i="397"/>
  <c r="J36" i="397"/>
  <c r="I36" i="397"/>
  <c r="L34" i="397"/>
  <c r="K34" i="397"/>
  <c r="J34" i="397"/>
  <c r="I34" i="397"/>
  <c r="L33" i="397"/>
  <c r="K33" i="397"/>
  <c r="J33" i="397"/>
  <c r="I33" i="397"/>
  <c r="B33" i="397"/>
  <c r="A32" i="397"/>
  <c r="A33" i="397" s="1"/>
  <c r="A34" i="397" s="1"/>
  <c r="A36" i="397" s="1"/>
  <c r="A37" i="397" s="1"/>
  <c r="A38" i="397" s="1"/>
  <c r="A39" i="397" s="1"/>
  <c r="K25" i="397"/>
  <c r="A24" i="397"/>
  <c r="A25" i="397" s="1"/>
  <c r="A26" i="397" s="1"/>
  <c r="A27" i="397" s="1"/>
  <c r="A28" i="397" s="1"/>
  <c r="A29" i="397" s="1"/>
  <c r="A30" i="397" s="1"/>
  <c r="A9" i="397"/>
  <c r="A12" i="397" s="1"/>
  <c r="A14" i="397" s="1"/>
  <c r="A16" i="397" s="1"/>
  <c r="A18" i="397" s="1"/>
  <c r="A20" i="397" s="1"/>
  <c r="A22" i="397" s="1"/>
  <c r="I12" i="397"/>
  <c r="L30" i="397"/>
  <c r="L29" i="397" s="1"/>
  <c r="K30" i="397"/>
  <c r="K29" i="397" s="1"/>
  <c r="J30" i="397"/>
  <c r="J29" i="397" s="1"/>
  <c r="I30" i="397"/>
  <c r="L22" i="397"/>
  <c r="K22" i="397"/>
  <c r="J22" i="397"/>
  <c r="I22" i="397"/>
  <c r="L21" i="397"/>
  <c r="K21" i="397"/>
  <c r="J21" i="397"/>
  <c r="I21" i="397"/>
  <c r="L20" i="397"/>
  <c r="K20" i="397"/>
  <c r="J20" i="397"/>
  <c r="I20" i="397"/>
  <c r="L19" i="397"/>
  <c r="K19" i="397"/>
  <c r="J19" i="397"/>
  <c r="I19" i="397"/>
  <c r="L18" i="397"/>
  <c r="K18" i="397"/>
  <c r="J18" i="397"/>
  <c r="I18" i="397"/>
  <c r="L17" i="397"/>
  <c r="K17" i="397"/>
  <c r="J17" i="397"/>
  <c r="I17" i="397"/>
  <c r="L16" i="397"/>
  <c r="K16" i="397"/>
  <c r="J16" i="397"/>
  <c r="I16" i="397"/>
  <c r="L15" i="397"/>
  <c r="K15" i="397"/>
  <c r="J15" i="397"/>
  <c r="I15" i="397"/>
  <c r="L14" i="397"/>
  <c r="K14" i="397"/>
  <c r="J14" i="397"/>
  <c r="I14" i="397"/>
  <c r="L13" i="397"/>
  <c r="K13" i="397"/>
  <c r="J13" i="397"/>
  <c r="I13" i="397"/>
  <c r="L28" i="397"/>
  <c r="K28" i="397"/>
  <c r="J28" i="397"/>
  <c r="I28" i="397"/>
  <c r="L27" i="397"/>
  <c r="K27" i="397"/>
  <c r="J27" i="397"/>
  <c r="I27" i="397"/>
  <c r="L26" i="397"/>
  <c r="K26" i="397"/>
  <c r="J26" i="397"/>
  <c r="I26" i="397"/>
  <c r="L10" i="397"/>
  <c r="K10" i="397"/>
  <c r="J10" i="397"/>
  <c r="I10" i="397"/>
  <c r="K24" i="397" l="1"/>
  <c r="A46" i="397"/>
  <c r="A47" i="397" s="1"/>
  <c r="A54" i="397"/>
  <c r="A65" i="397"/>
  <c r="A66" i="397" s="1"/>
  <c r="A71" i="397"/>
  <c r="L64" i="397"/>
  <c r="A50" i="397"/>
  <c r="A51" i="397" s="1"/>
  <c r="J49" i="397"/>
  <c r="J48" i="397" s="1"/>
  <c r="I19" i="398"/>
  <c r="K32" i="397"/>
  <c r="K64" i="397"/>
  <c r="J64" i="397"/>
  <c r="J63" i="397" s="1"/>
  <c r="L41" i="397"/>
  <c r="J24" i="396"/>
  <c r="J23" i="396" s="1"/>
  <c r="J16" i="396"/>
  <c r="J15" i="396" s="1"/>
  <c r="K27" i="396"/>
  <c r="J31" i="396"/>
  <c r="J27" i="396" s="1"/>
  <c r="K20" i="396"/>
  <c r="K19" i="396" s="1"/>
  <c r="K19" i="398"/>
  <c r="J41" i="397"/>
  <c r="J40" i="397" s="1"/>
  <c r="K41" i="397"/>
  <c r="L32" i="397"/>
  <c r="J32" i="397"/>
  <c r="A35" i="397"/>
  <c r="A67" i="397" l="1"/>
  <c r="A68" i="397" s="1"/>
  <c r="A78" i="397" s="1"/>
  <c r="A79" i="397" s="1"/>
  <c r="A80" i="397" s="1"/>
  <c r="A75" i="397"/>
  <c r="A72" i="397"/>
  <c r="A74" i="397"/>
  <c r="A52" i="397"/>
  <c r="A53" i="397" s="1"/>
  <c r="A76" i="397" l="1"/>
  <c r="A77" i="397"/>
  <c r="A56" i="397"/>
  <c r="A57" i="397" s="1"/>
  <c r="A58" i="397" s="1"/>
  <c r="A59" i="397" s="1"/>
  <c r="A60" i="397" s="1"/>
  <c r="A61" i="397" s="1"/>
  <c r="A62" i="397" s="1"/>
  <c r="A69" i="397" s="1"/>
  <c r="A55" i="397"/>
  <c r="L1188" i="176" l="1"/>
  <c r="N1157" i="176"/>
  <c r="L1135" i="176"/>
  <c r="N1135" i="176" s="1"/>
  <c r="L1137" i="176"/>
  <c r="L1128" i="176"/>
  <c r="L1139" i="176" s="1"/>
  <c r="L1105" i="176"/>
  <c r="L1096" i="176"/>
  <c r="L1107" i="176" s="1"/>
  <c r="L1087" i="176"/>
  <c r="L1058" i="176"/>
  <c r="L1069" i="176" s="1"/>
  <c r="L1067" i="176"/>
  <c r="L1038" i="176"/>
  <c r="L1049" i="176" s="1"/>
  <c r="L1047" i="176"/>
  <c r="L1027" i="176"/>
  <c r="L1136" i="176" l="1"/>
  <c r="L1140" i="176"/>
  <c r="N1136" i="176"/>
  <c r="N1137" i="176"/>
  <c r="N1031" i="176"/>
  <c r="N1023" i="176"/>
  <c r="N1130" i="176"/>
  <c r="L1018" i="176"/>
  <c r="L1029" i="176" s="1"/>
  <c r="E1150" i="176"/>
  <c r="E1146" i="176"/>
  <c r="E1147" i="176" s="1"/>
  <c r="E1148" i="176" s="1"/>
  <c r="E1149" i="176" s="1"/>
  <c r="E1143" i="176"/>
  <c r="E1144" i="176" s="1"/>
  <c r="D1142" i="176"/>
  <c r="D1143" i="176" s="1"/>
  <c r="D1144" i="176" s="1"/>
  <c r="N1070" i="176"/>
  <c r="N1069" i="176"/>
  <c r="E1068" i="176"/>
  <c r="E1069" i="176" s="1"/>
  <c r="E1070" i="176" s="1"/>
  <c r="E1071" i="176" s="1"/>
  <c r="N1067" i="176"/>
  <c r="E1064" i="176"/>
  <c r="E1065" i="176" s="1"/>
  <c r="E1066" i="176" s="1"/>
  <c r="E1067" i="176" s="1"/>
  <c r="N1063" i="176"/>
  <c r="E1059" i="176"/>
  <c r="E1060" i="176" s="1"/>
  <c r="E1061" i="176" s="1"/>
  <c r="E1062" i="176" s="1"/>
  <c r="E1063" i="176" s="1"/>
  <c r="N1058" i="176"/>
  <c r="N1056" i="176"/>
  <c r="E1055" i="176"/>
  <c r="E1056" i="176" s="1"/>
  <c r="D1054" i="176"/>
  <c r="D1055" i="176" s="1"/>
  <c r="D1056" i="176" s="1"/>
  <c r="N1050" i="176"/>
  <c r="N1049" i="176"/>
  <c r="E1048" i="176"/>
  <c r="E1049" i="176" s="1"/>
  <c r="E1050" i="176" s="1"/>
  <c r="E1051" i="176" s="1"/>
  <c r="N1047" i="176"/>
  <c r="E1044" i="176"/>
  <c r="E1045" i="176" s="1"/>
  <c r="E1046" i="176" s="1"/>
  <c r="E1047" i="176" s="1"/>
  <c r="N1043" i="176"/>
  <c r="E1039" i="176"/>
  <c r="E1040" i="176" s="1"/>
  <c r="E1041" i="176" s="1"/>
  <c r="E1042" i="176" s="1"/>
  <c r="E1043" i="176" s="1"/>
  <c r="N1038" i="176"/>
  <c r="N1036" i="176"/>
  <c r="E1035" i="176"/>
  <c r="E1036" i="176" s="1"/>
  <c r="D1034" i="176"/>
  <c r="D1035" i="176" s="1"/>
  <c r="D1036" i="176" s="1"/>
  <c r="N1090" i="176"/>
  <c r="N1089" i="176"/>
  <c r="E1088" i="176"/>
  <c r="E1089" i="176" s="1"/>
  <c r="E1090" i="176" s="1"/>
  <c r="E1091" i="176" s="1"/>
  <c r="N1087" i="176"/>
  <c r="E1084" i="176"/>
  <c r="E1085" i="176" s="1"/>
  <c r="E1086" i="176" s="1"/>
  <c r="E1087" i="176" s="1"/>
  <c r="N1083" i="176"/>
  <c r="E1079" i="176"/>
  <c r="E1080" i="176" s="1"/>
  <c r="E1081" i="176" s="1"/>
  <c r="E1082" i="176" s="1"/>
  <c r="E1083" i="176" s="1"/>
  <c r="N1078" i="176"/>
  <c r="N1076" i="176"/>
  <c r="E1075" i="176"/>
  <c r="E1076" i="176" s="1"/>
  <c r="D1074" i="176"/>
  <c r="D1075" i="176" s="1"/>
  <c r="D1076" i="176" s="1"/>
  <c r="E1106" i="176"/>
  <c r="E1107" i="176" s="1"/>
  <c r="E1108" i="176" s="1"/>
  <c r="N1105" i="176"/>
  <c r="E1102" i="176"/>
  <c r="E1103" i="176" s="1"/>
  <c r="E1104" i="176" s="1"/>
  <c r="E1105" i="176" s="1"/>
  <c r="N1101" i="176"/>
  <c r="E1097" i="176"/>
  <c r="E1098" i="176" s="1"/>
  <c r="E1099" i="176" s="1"/>
  <c r="E1100" i="176" s="1"/>
  <c r="E1101" i="176" s="1"/>
  <c r="N1096" i="176"/>
  <c r="E1095" i="176"/>
  <c r="E1096" i="176" s="1"/>
  <c r="D1094" i="176"/>
  <c r="D1095" i="176" s="1"/>
  <c r="D1096" i="176" s="1"/>
  <c r="D1097" i="176" s="1"/>
  <c r="D1098" i="176" s="1"/>
  <c r="D1099" i="176" s="1"/>
  <c r="D1100" i="176" s="1"/>
  <c r="D1101" i="176" s="1"/>
  <c r="D1102" i="176" s="1"/>
  <c r="D1103" i="176" s="1"/>
  <c r="D1104" i="176" s="1"/>
  <c r="D1105" i="176" s="1"/>
  <c r="D1106" i="176" s="1"/>
  <c r="D1107" i="176" s="1"/>
  <c r="D1108" i="176" s="1"/>
  <c r="E1122" i="176"/>
  <c r="E1123" i="176" s="1"/>
  <c r="E1124" i="176" s="1"/>
  <c r="E1125" i="176" s="1"/>
  <c r="E1118" i="176"/>
  <c r="E1119" i="176" s="1"/>
  <c r="E1120" i="176" s="1"/>
  <c r="E1121" i="176" s="1"/>
  <c r="E1114" i="176"/>
  <c r="E1115" i="176" s="1"/>
  <c r="E1116" i="176" s="1"/>
  <c r="E1117" i="176" s="1"/>
  <c r="E1112" i="176"/>
  <c r="E1113" i="176" s="1"/>
  <c r="D1111" i="176"/>
  <c r="D1112" i="176" s="1"/>
  <c r="D1113" i="176" s="1"/>
  <c r="D1114" i="176" s="1"/>
  <c r="D1115" i="176" s="1"/>
  <c r="D1116" i="176" s="1"/>
  <c r="D1117" i="176" s="1"/>
  <c r="D1118" i="176" s="1"/>
  <c r="D1119" i="176" s="1"/>
  <c r="D1120" i="176" s="1"/>
  <c r="D1121" i="176" s="1"/>
  <c r="D1122" i="176" s="1"/>
  <c r="D1123" i="176" s="1"/>
  <c r="D1124" i="176" s="1"/>
  <c r="D1125" i="176" s="1"/>
  <c r="N1139" i="176"/>
  <c r="E1138" i="176"/>
  <c r="E1139" i="176" s="1"/>
  <c r="E1140" i="176" s="1"/>
  <c r="E1134" i="176"/>
  <c r="E1135" i="176" s="1"/>
  <c r="E1136" i="176" s="1"/>
  <c r="E1137" i="176" s="1"/>
  <c r="N1133" i="176"/>
  <c r="N1132" i="176"/>
  <c r="N1131" i="176"/>
  <c r="E1129" i="176"/>
  <c r="E1130" i="176" s="1"/>
  <c r="E1131" i="176" s="1"/>
  <c r="E1132" i="176" s="1"/>
  <c r="E1133" i="176" s="1"/>
  <c r="N1128" i="176"/>
  <c r="E1127" i="176"/>
  <c r="E1128" i="176" s="1"/>
  <c r="D1126" i="176"/>
  <c r="D1127" i="176" s="1"/>
  <c r="D1128" i="176" s="1"/>
  <c r="D1129" i="176" s="1"/>
  <c r="D1130" i="176" s="1"/>
  <c r="D1131" i="176" s="1"/>
  <c r="D1132" i="176" s="1"/>
  <c r="D1133" i="176" s="1"/>
  <c r="D1134" i="176" s="1"/>
  <c r="D1135" i="176" s="1"/>
  <c r="D1136" i="176" s="1"/>
  <c r="D1137" i="176" s="1"/>
  <c r="D1138" i="176" s="1"/>
  <c r="D1139" i="176" s="1"/>
  <c r="D1140" i="176" s="1"/>
  <c r="N1127" i="176" l="1"/>
  <c r="N1095" i="176"/>
  <c r="N1134" i="176"/>
  <c r="N1075" i="176"/>
  <c r="N1035" i="176"/>
  <c r="N1129" i="176"/>
  <c r="N1055" i="176"/>
  <c r="D1145" i="176"/>
  <c r="D1146" i="176" s="1"/>
  <c r="D1147" i="176" s="1"/>
  <c r="D1148" i="176" s="1"/>
  <c r="D1149" i="176" s="1"/>
  <c r="D1150" i="176" s="1"/>
  <c r="D1151" i="176" s="1"/>
  <c r="D1152" i="176" s="1"/>
  <c r="E1145" i="176"/>
  <c r="D1077" i="176"/>
  <c r="D1078" i="176" s="1"/>
  <c r="D1079" i="176" s="1"/>
  <c r="D1080" i="176" s="1"/>
  <c r="D1081" i="176" s="1"/>
  <c r="D1082" i="176" s="1"/>
  <c r="D1083" i="176" s="1"/>
  <c r="D1084" i="176" s="1"/>
  <c r="D1085" i="176" s="1"/>
  <c r="D1086" i="176" s="1"/>
  <c r="D1087" i="176" s="1"/>
  <c r="D1088" i="176" s="1"/>
  <c r="D1089" i="176" s="1"/>
  <c r="D1090" i="176" s="1"/>
  <c r="D1091" i="176" s="1"/>
  <c r="D1092" i="176" s="1"/>
  <c r="D1093" i="176" s="1"/>
  <c r="E1077" i="176"/>
  <c r="E1078" i="176" s="1"/>
  <c r="D1057" i="176"/>
  <c r="D1058" i="176" s="1"/>
  <c r="D1059" i="176" s="1"/>
  <c r="D1060" i="176" s="1"/>
  <c r="D1061" i="176" s="1"/>
  <c r="D1062" i="176" s="1"/>
  <c r="D1063" i="176" s="1"/>
  <c r="D1064" i="176" s="1"/>
  <c r="D1065" i="176" s="1"/>
  <c r="D1066" i="176" s="1"/>
  <c r="D1067" i="176" s="1"/>
  <c r="D1068" i="176" s="1"/>
  <c r="D1069" i="176" s="1"/>
  <c r="D1070" i="176" s="1"/>
  <c r="D1071" i="176" s="1"/>
  <c r="D1072" i="176" s="1"/>
  <c r="D1073" i="176" s="1"/>
  <c r="E1057" i="176"/>
  <c r="E1058" i="176" s="1"/>
  <c r="E1037" i="176"/>
  <c r="E1038" i="176" s="1"/>
  <c r="D1037" i="176"/>
  <c r="D1038" i="176" s="1"/>
  <c r="D1039" i="176" s="1"/>
  <c r="D1040" i="176" s="1"/>
  <c r="D1041" i="176" s="1"/>
  <c r="D1042" i="176" s="1"/>
  <c r="D1043" i="176" s="1"/>
  <c r="D1044" i="176" s="1"/>
  <c r="D1045" i="176" s="1"/>
  <c r="D1046" i="176" s="1"/>
  <c r="D1047" i="176" s="1"/>
  <c r="D1048" i="176" s="1"/>
  <c r="D1049" i="176" s="1"/>
  <c r="D1050" i="176" s="1"/>
  <c r="D1051" i="176" s="1"/>
  <c r="D1052" i="176" s="1"/>
  <c r="D1053" i="176" s="1"/>
  <c r="E1092" i="176"/>
  <c r="E1093" i="176" s="1"/>
  <c r="E1072" i="176"/>
  <c r="E1073" i="176" s="1"/>
  <c r="E1052" i="176"/>
  <c r="E1053" i="176" s="1"/>
  <c r="E1054" i="176" s="1"/>
  <c r="E1109" i="176"/>
  <c r="E1110" i="176" s="1"/>
  <c r="D1109" i="176"/>
  <c r="D1110" i="176" s="1"/>
  <c r="E1141" i="176"/>
  <c r="D1141" i="176"/>
  <c r="E1151" i="176"/>
  <c r="E1152" i="176" s="1"/>
  <c r="L972" i="176"/>
  <c r="L984" i="176" s="1"/>
  <c r="L970" i="176"/>
  <c r="N970" i="176" s="1"/>
  <c r="L968" i="176"/>
  <c r="N968" i="176" s="1"/>
  <c r="L966" i="176"/>
  <c r="L978" i="176" s="1"/>
  <c r="L965" i="176"/>
  <c r="N965" i="176" s="1"/>
  <c r="L959" i="176"/>
  <c r="N959" i="176" s="1"/>
  <c r="N961" i="176"/>
  <c r="L954" i="176"/>
  <c r="L956" i="176"/>
  <c r="L957" i="176"/>
  <c r="N957" i="176" s="1"/>
  <c r="L955" i="176"/>
  <c r="N955" i="176" s="1"/>
  <c r="L963" i="176"/>
  <c r="L947" i="176"/>
  <c r="N947" i="176" s="1"/>
  <c r="L945" i="176"/>
  <c r="L937" i="176"/>
  <c r="N937" i="176" s="1"/>
  <c r="L935" i="176"/>
  <c r="L934" i="176"/>
  <c r="N934" i="176" s="1"/>
  <c r="L926" i="176"/>
  <c r="N926" i="176" s="1"/>
  <c r="L924" i="176"/>
  <c r="L929" i="176" s="1"/>
  <c r="L923" i="176"/>
  <c r="L928" i="176" s="1"/>
  <c r="E930" i="176"/>
  <c r="E931" i="176" s="1"/>
  <c r="E927" i="176"/>
  <c r="E928" i="176" s="1"/>
  <c r="E929" i="176" s="1"/>
  <c r="E925" i="176"/>
  <c r="E926" i="176" s="1"/>
  <c r="E922" i="176"/>
  <c r="E923" i="176" s="1"/>
  <c r="E924" i="176" s="1"/>
  <c r="D921" i="176"/>
  <c r="D922" i="176" s="1"/>
  <c r="D923" i="176" s="1"/>
  <c r="D924" i="176" s="1"/>
  <c r="D925" i="176" s="1"/>
  <c r="D926" i="176" s="1"/>
  <c r="D927" i="176" s="1"/>
  <c r="D928" i="176" s="1"/>
  <c r="D929" i="176" s="1"/>
  <c r="D930" i="176" s="1"/>
  <c r="D931" i="176" s="1"/>
  <c r="E941" i="176"/>
  <c r="E942" i="176" s="1"/>
  <c r="E938" i="176"/>
  <c r="E939" i="176" s="1"/>
  <c r="E940" i="176" s="1"/>
  <c r="E936" i="176"/>
  <c r="E937" i="176" s="1"/>
  <c r="E933" i="176"/>
  <c r="E934" i="176" s="1"/>
  <c r="E935" i="176" s="1"/>
  <c r="D932" i="176"/>
  <c r="D933" i="176" s="1"/>
  <c r="D934" i="176" s="1"/>
  <c r="D935" i="176" s="1"/>
  <c r="D936" i="176" s="1"/>
  <c r="D937" i="176" s="1"/>
  <c r="D938" i="176" s="1"/>
  <c r="D939" i="176" s="1"/>
  <c r="D940" i="176" s="1"/>
  <c r="D941" i="176" s="1"/>
  <c r="D942" i="176" s="1"/>
  <c r="E950" i="176"/>
  <c r="E951" i="176" s="1"/>
  <c r="E948" i="176"/>
  <c r="E949" i="176" s="1"/>
  <c r="E946" i="176"/>
  <c r="E947" i="176" s="1"/>
  <c r="E944" i="176"/>
  <c r="E945" i="176" s="1"/>
  <c r="D943" i="176"/>
  <c r="D944" i="176" s="1"/>
  <c r="D945" i="176" s="1"/>
  <c r="D946" i="176" s="1"/>
  <c r="D947" i="176" s="1"/>
  <c r="D948" i="176" s="1"/>
  <c r="D949" i="176" s="1"/>
  <c r="D950" i="176" s="1"/>
  <c r="D951" i="176" s="1"/>
  <c r="E983" i="176"/>
  <c r="E984" i="176" s="1"/>
  <c r="E981" i="176"/>
  <c r="E982" i="176" s="1"/>
  <c r="E979" i="176"/>
  <c r="E980" i="176" s="1"/>
  <c r="E976" i="176"/>
  <c r="E977" i="176" s="1"/>
  <c r="E978" i="176" s="1"/>
  <c r="E973" i="176"/>
  <c r="E974" i="176" s="1"/>
  <c r="E975" i="176" s="1"/>
  <c r="E971" i="176"/>
  <c r="E972" i="176" s="1"/>
  <c r="E969" i="176"/>
  <c r="E970" i="176" s="1"/>
  <c r="E967" i="176"/>
  <c r="E968" i="176" s="1"/>
  <c r="E964" i="176"/>
  <c r="E965" i="176" s="1"/>
  <c r="E966" i="176" s="1"/>
  <c r="E962" i="176"/>
  <c r="E963" i="176" s="1"/>
  <c r="E960" i="176"/>
  <c r="E961" i="176" s="1"/>
  <c r="E958" i="176"/>
  <c r="E959" i="176" s="1"/>
  <c r="E953" i="176"/>
  <c r="E954" i="176" s="1"/>
  <c r="E955" i="176" s="1"/>
  <c r="E956" i="176" s="1"/>
  <c r="E957" i="176" s="1"/>
  <c r="D952" i="176"/>
  <c r="D953" i="176" s="1"/>
  <c r="D954" i="176" s="1"/>
  <c r="D955" i="176" s="1"/>
  <c r="D956" i="176" s="1"/>
  <c r="D957" i="176" s="1"/>
  <c r="D958" i="176" s="1"/>
  <c r="D959" i="176" s="1"/>
  <c r="D960" i="176" s="1"/>
  <c r="D961" i="176" s="1"/>
  <c r="D962" i="176" s="1"/>
  <c r="D963" i="176" s="1"/>
  <c r="D964" i="176" s="1"/>
  <c r="D965" i="176" s="1"/>
  <c r="D966" i="176" s="1"/>
  <c r="D967" i="176" s="1"/>
  <c r="D968" i="176" s="1"/>
  <c r="D969" i="176" s="1"/>
  <c r="D970" i="176" s="1"/>
  <c r="D971" i="176" s="1"/>
  <c r="D972" i="176" s="1"/>
  <c r="D973" i="176" s="1"/>
  <c r="D974" i="176" s="1"/>
  <c r="D975" i="176" s="1"/>
  <c r="D976" i="176" s="1"/>
  <c r="D977" i="176" s="1"/>
  <c r="D978" i="176" s="1"/>
  <c r="D979" i="176" s="1"/>
  <c r="D980" i="176" s="1"/>
  <c r="D981" i="176" s="1"/>
  <c r="D982" i="176" s="1"/>
  <c r="D983" i="176" s="1"/>
  <c r="D984" i="176" s="1"/>
  <c r="E1011" i="176"/>
  <c r="E1012" i="176" s="1"/>
  <c r="E1009" i="176"/>
  <c r="E1010" i="176" s="1"/>
  <c r="E1007" i="176"/>
  <c r="E1008" i="176" s="1"/>
  <c r="E1005" i="176"/>
  <c r="E1006" i="176" s="1"/>
  <c r="E1003" i="176"/>
  <c r="E1004" i="176" s="1"/>
  <c r="E1001" i="176"/>
  <c r="E1002" i="176" s="1"/>
  <c r="E998" i="176"/>
  <c r="E996" i="176"/>
  <c r="E997" i="176" s="1"/>
  <c r="E994" i="176"/>
  <c r="E995" i="176" s="1"/>
  <c r="E992" i="176"/>
  <c r="E993" i="176" s="1"/>
  <c r="E990" i="176"/>
  <c r="E991" i="176" s="1"/>
  <c r="E986" i="176"/>
  <c r="E987" i="176" s="1"/>
  <c r="E988" i="176" s="1"/>
  <c r="E989" i="176" s="1"/>
  <c r="D985" i="176"/>
  <c r="D986" i="176" s="1"/>
  <c r="D987" i="176" s="1"/>
  <c r="D988" i="176" s="1"/>
  <c r="D989" i="176" s="1"/>
  <c r="D990" i="176" s="1"/>
  <c r="D991" i="176" s="1"/>
  <c r="D992" i="176" s="1"/>
  <c r="D993" i="176" s="1"/>
  <c r="D994" i="176" s="1"/>
  <c r="D995" i="176" s="1"/>
  <c r="D996" i="176" s="1"/>
  <c r="D997" i="176" s="1"/>
  <c r="D998" i="176" s="1"/>
  <c r="E1142" i="176" l="1"/>
  <c r="N936" i="176"/>
  <c r="N960" i="176"/>
  <c r="N967" i="176"/>
  <c r="N925" i="176"/>
  <c r="N958" i="176"/>
  <c r="N969" i="176"/>
  <c r="N946" i="176"/>
  <c r="L982" i="176"/>
  <c r="N982" i="176" s="1"/>
  <c r="L974" i="176"/>
  <c r="N974" i="176" s="1"/>
  <c r="N963" i="176"/>
  <c r="L975" i="176"/>
  <c r="N975" i="176" s="1"/>
  <c r="N956" i="176"/>
  <c r="L939" i="176"/>
  <c r="N923" i="176"/>
  <c r="N929" i="176"/>
  <c r="N924" i="176"/>
  <c r="L931" i="176"/>
  <c r="N931" i="176" s="1"/>
  <c r="L940" i="176"/>
  <c r="N940" i="176" s="1"/>
  <c r="N935" i="176"/>
  <c r="L977" i="176"/>
  <c r="N977" i="176" s="1"/>
  <c r="L942" i="176"/>
  <c r="N942" i="176" s="1"/>
  <c r="N966" i="176"/>
  <c r="N978" i="176"/>
  <c r="L949" i="176"/>
  <c r="N949" i="176" s="1"/>
  <c r="N945" i="176"/>
  <c r="L951" i="176"/>
  <c r="N951" i="176" s="1"/>
  <c r="N984" i="176"/>
  <c r="N972" i="176"/>
  <c r="N954" i="176"/>
  <c r="L980" i="176"/>
  <c r="N980" i="176" s="1"/>
  <c r="N953" i="176" l="1"/>
  <c r="N944" i="176"/>
  <c r="N941" i="176"/>
  <c r="N930" i="176"/>
  <c r="N971" i="176"/>
  <c r="N948" i="176"/>
  <c r="N981" i="176"/>
  <c r="N979" i="176"/>
  <c r="N964" i="176"/>
  <c r="N983" i="176"/>
  <c r="N933" i="176"/>
  <c r="N950" i="176"/>
  <c r="N962" i="176"/>
  <c r="N976" i="176"/>
  <c r="N973" i="176"/>
  <c r="N922" i="176"/>
  <c r="N928" i="176"/>
  <c r="N939" i="176"/>
  <c r="N943" i="176" l="1"/>
  <c r="N938" i="176"/>
  <c r="N927" i="176"/>
  <c r="N952" i="176"/>
  <c r="L909" i="176"/>
  <c r="L920" i="176" s="1"/>
  <c r="L905" i="176"/>
  <c r="N905" i="176" s="1"/>
  <c r="L902" i="176"/>
  <c r="L903" i="176"/>
  <c r="N903" i="176" s="1"/>
  <c r="L904" i="176"/>
  <c r="L901" i="176"/>
  <c r="E900" i="176"/>
  <c r="E901" i="176" s="1"/>
  <c r="L907" i="176"/>
  <c r="L918" i="176" s="1"/>
  <c r="N918" i="176" s="1"/>
  <c r="L1301" i="176"/>
  <c r="L899" i="176"/>
  <c r="L896" i="176"/>
  <c r="L897" i="176"/>
  <c r="L898" i="176"/>
  <c r="L895" i="176"/>
  <c r="L1302" i="176" l="1"/>
  <c r="N1302" i="176" s="1"/>
  <c r="N921" i="176"/>
  <c r="N917" i="176"/>
  <c r="N932" i="176"/>
  <c r="L912" i="176"/>
  <c r="N912" i="176" s="1"/>
  <c r="N920" i="176"/>
  <c r="N904" i="176"/>
  <c r="L916" i="176"/>
  <c r="N916" i="176" s="1"/>
  <c r="N901" i="176"/>
  <c r="L914" i="176"/>
  <c r="N902" i="176"/>
  <c r="L915" i="176"/>
  <c r="N915" i="176" s="1"/>
  <c r="L911" i="176"/>
  <c r="N898" i="176"/>
  <c r="N897" i="176"/>
  <c r="N895" i="176"/>
  <c r="N896" i="176"/>
  <c r="E902" i="176"/>
  <c r="E903" i="176" s="1"/>
  <c r="E904" i="176" s="1"/>
  <c r="E905" i="176" s="1"/>
  <c r="L884" i="176"/>
  <c r="L870" i="176"/>
  <c r="L868" i="176"/>
  <c r="L862" i="176"/>
  <c r="L860" i="176"/>
  <c r="L854" i="176"/>
  <c r="L852" i="176"/>
  <c r="L846" i="176"/>
  <c r="L844" i="176"/>
  <c r="E848" i="176"/>
  <c r="E849" i="176" s="1"/>
  <c r="N847" i="176"/>
  <c r="E845" i="176"/>
  <c r="E846" i="176" s="1"/>
  <c r="E847" i="176" s="1"/>
  <c r="E843" i="176"/>
  <c r="E844" i="176" s="1"/>
  <c r="D842" i="176"/>
  <c r="D843" i="176" s="1"/>
  <c r="D844" i="176" s="1"/>
  <c r="D845" i="176" s="1"/>
  <c r="D846" i="176" s="1"/>
  <c r="D847" i="176" s="1"/>
  <c r="D848" i="176" s="1"/>
  <c r="D849" i="176" s="1"/>
  <c r="E856" i="176"/>
  <c r="E857" i="176" s="1"/>
  <c r="N855" i="176"/>
  <c r="E853" i="176"/>
  <c r="E854" i="176" s="1"/>
  <c r="E855" i="176" s="1"/>
  <c r="E851" i="176"/>
  <c r="E852" i="176" s="1"/>
  <c r="D850" i="176"/>
  <c r="D851" i="176" s="1"/>
  <c r="D852" i="176" s="1"/>
  <c r="D853" i="176" s="1"/>
  <c r="D854" i="176" s="1"/>
  <c r="D855" i="176" s="1"/>
  <c r="D856" i="176" s="1"/>
  <c r="D857" i="176" s="1"/>
  <c r="E864" i="176"/>
  <c r="E865" i="176" s="1"/>
  <c r="N863" i="176"/>
  <c r="E861" i="176"/>
  <c r="E862" i="176" s="1"/>
  <c r="E863" i="176" s="1"/>
  <c r="E859" i="176"/>
  <c r="E860" i="176" s="1"/>
  <c r="D858" i="176"/>
  <c r="D859" i="176" s="1"/>
  <c r="D860" i="176" s="1"/>
  <c r="D861" i="176" s="1"/>
  <c r="D862" i="176" s="1"/>
  <c r="D863" i="176" s="1"/>
  <c r="D864" i="176" s="1"/>
  <c r="D865" i="176" s="1"/>
  <c r="E872" i="176"/>
  <c r="E873" i="176" s="1"/>
  <c r="N871" i="176"/>
  <c r="E869" i="176"/>
  <c r="E870" i="176" s="1"/>
  <c r="E871" i="176" s="1"/>
  <c r="E867" i="176"/>
  <c r="E868" i="176" s="1"/>
  <c r="D866" i="176"/>
  <c r="D867" i="176" s="1"/>
  <c r="D868" i="176" s="1"/>
  <c r="D869" i="176" s="1"/>
  <c r="D870" i="176" s="1"/>
  <c r="D871" i="176" s="1"/>
  <c r="D872" i="176" s="1"/>
  <c r="D873" i="176" s="1"/>
  <c r="E880" i="176"/>
  <c r="E881" i="176" s="1"/>
  <c r="N879" i="176"/>
  <c r="E877" i="176"/>
  <c r="E878" i="176" s="1"/>
  <c r="E879" i="176" s="1"/>
  <c r="E875" i="176"/>
  <c r="E876" i="176" s="1"/>
  <c r="D874" i="176"/>
  <c r="D875" i="176" s="1"/>
  <c r="D876" i="176" s="1"/>
  <c r="D877" i="176" s="1"/>
  <c r="D878" i="176" s="1"/>
  <c r="D879" i="176" s="1"/>
  <c r="D880" i="176" s="1"/>
  <c r="D881" i="176" s="1"/>
  <c r="E885" i="176"/>
  <c r="E886" i="176" s="1"/>
  <c r="E883" i="176"/>
  <c r="E884" i="176" s="1"/>
  <c r="D882" i="176"/>
  <c r="D883" i="176" s="1"/>
  <c r="D884" i="176" s="1"/>
  <c r="D885" i="176" s="1"/>
  <c r="D886" i="176" s="1"/>
  <c r="E890" i="176"/>
  <c r="E891" i="176" s="1"/>
  <c r="E888" i="176"/>
  <c r="E889" i="176" s="1"/>
  <c r="D887" i="176"/>
  <c r="D888" i="176" s="1"/>
  <c r="D889" i="176" s="1"/>
  <c r="D890" i="176" s="1"/>
  <c r="D891" i="176" s="1"/>
  <c r="L838" i="176"/>
  <c r="L836" i="176"/>
  <c r="L841" i="176" s="1"/>
  <c r="E828" i="176"/>
  <c r="E829" i="176" s="1"/>
  <c r="E821" i="176"/>
  <c r="E822" i="176" s="1"/>
  <c r="F2701" i="400"/>
  <c r="F2699" i="400"/>
  <c r="F2698" i="400"/>
  <c r="F2696" i="400"/>
  <c r="F2694" i="400"/>
  <c r="F2692" i="400"/>
  <c r="N1145" i="176" s="1"/>
  <c r="F2690" i="400"/>
  <c r="F2688" i="400"/>
  <c r="L827" i="176" s="1"/>
  <c r="L832" i="176" s="1"/>
  <c r="N832" i="176" s="1"/>
  <c r="F2686" i="400"/>
  <c r="L826" i="176" s="1"/>
  <c r="F2684" i="400"/>
  <c r="L825" i="176" s="1"/>
  <c r="N825" i="176" s="1"/>
  <c r="F2683" i="400"/>
  <c r="L824" i="176" s="1"/>
  <c r="F2681" i="400"/>
  <c r="L822" i="176" s="1"/>
  <c r="N822" i="176" s="1"/>
  <c r="F2679" i="400"/>
  <c r="E2679" i="400"/>
  <c r="F2678" i="400"/>
  <c r="E2678" i="400"/>
  <c r="F2676" i="400"/>
  <c r="F2675" i="400"/>
  <c r="F2668" i="400"/>
  <c r="L710" i="176"/>
  <c r="N710" i="176" s="1"/>
  <c r="E739" i="176"/>
  <c r="E740" i="176" s="1"/>
  <c r="E741" i="176" s="1"/>
  <c r="E736" i="176"/>
  <c r="E737" i="176" s="1"/>
  <c r="E738" i="176" s="1"/>
  <c r="E41" i="400"/>
  <c r="L713" i="176" s="1"/>
  <c r="E830" i="176"/>
  <c r="E831" i="176" s="1"/>
  <c r="E832" i="176" s="1"/>
  <c r="E823" i="176"/>
  <c r="E824" i="176" s="1"/>
  <c r="E825" i="176" s="1"/>
  <c r="E826" i="176" s="1"/>
  <c r="E827" i="176" s="1"/>
  <c r="D820" i="176"/>
  <c r="D821" i="176" s="1"/>
  <c r="D822" i="176" s="1"/>
  <c r="L815" i="176"/>
  <c r="L814" i="176"/>
  <c r="N814" i="176" s="1"/>
  <c r="L813" i="176"/>
  <c r="N813" i="176" s="1"/>
  <c r="L811" i="176"/>
  <c r="N811" i="176" s="1"/>
  <c r="L810" i="176"/>
  <c r="N810" i="176" s="1"/>
  <c r="E805" i="176"/>
  <c r="E806" i="176" s="1"/>
  <c r="L787" i="176"/>
  <c r="L792" i="176" s="1"/>
  <c r="N792" i="176" s="1"/>
  <c r="L786" i="176"/>
  <c r="L785" i="176"/>
  <c r="N785" i="176" s="1"/>
  <c r="L784" i="176"/>
  <c r="N784" i="176" s="1"/>
  <c r="L782" i="176"/>
  <c r="N782" i="176" s="1"/>
  <c r="L781" i="176"/>
  <c r="N781" i="176" s="1"/>
  <c r="L780" i="176"/>
  <c r="N780" i="176" s="1"/>
  <c r="L779" i="176"/>
  <c r="N779" i="176" s="1"/>
  <c r="L778" i="176"/>
  <c r="N778" i="176" s="1"/>
  <c r="L769" i="176"/>
  <c r="L768" i="176"/>
  <c r="L774" i="176" s="1"/>
  <c r="L767" i="176"/>
  <c r="L766" i="176"/>
  <c r="N766" i="176" s="1"/>
  <c r="L764" i="176"/>
  <c r="L772" i="176" s="1"/>
  <c r="L763" i="176"/>
  <c r="N763" i="176" s="1"/>
  <c r="L762" i="176"/>
  <c r="N762" i="176" s="1"/>
  <c r="L761" i="176"/>
  <c r="L752" i="176"/>
  <c r="L758" i="176" s="1"/>
  <c r="N758" i="176" s="1"/>
  <c r="L751" i="176"/>
  <c r="L757" i="176" s="1"/>
  <c r="L750" i="176"/>
  <c r="N750" i="176" s="1"/>
  <c r="L749" i="176"/>
  <c r="N749" i="176" s="1"/>
  <c r="L747" i="176"/>
  <c r="N747" i="176" s="1"/>
  <c r="L746" i="176"/>
  <c r="N746" i="176" s="1"/>
  <c r="L745" i="176"/>
  <c r="N745" i="176" s="1"/>
  <c r="L744" i="176"/>
  <c r="N744" i="176" s="1"/>
  <c r="L735" i="176"/>
  <c r="L734" i="176"/>
  <c r="L740" i="176" s="1"/>
  <c r="L733" i="176"/>
  <c r="N733" i="176" s="1"/>
  <c r="L732" i="176"/>
  <c r="N732" i="176" s="1"/>
  <c r="L730" i="176"/>
  <c r="N730" i="176" s="1"/>
  <c r="L729" i="176"/>
  <c r="N729" i="176" s="1"/>
  <c r="L728" i="176"/>
  <c r="N728" i="176" s="1"/>
  <c r="L727" i="176"/>
  <c r="N727" i="176" s="1"/>
  <c r="L718" i="176"/>
  <c r="L724" i="176" s="1"/>
  <c r="N724" i="176" s="1"/>
  <c r="L717" i="176"/>
  <c r="L723" i="176" s="1"/>
  <c r="L715" i="176"/>
  <c r="L716" i="176"/>
  <c r="L712" i="176"/>
  <c r="N712" i="176" s="1"/>
  <c r="L711" i="176"/>
  <c r="N711" i="176" s="1"/>
  <c r="L707" i="176"/>
  <c r="L708" i="176"/>
  <c r="N708" i="176" s="1"/>
  <c r="L709" i="176"/>
  <c r="N709" i="176" s="1"/>
  <c r="L706" i="176"/>
  <c r="E726" i="176"/>
  <c r="E727" i="176" s="1"/>
  <c r="E728" i="176" s="1"/>
  <c r="E729" i="176" s="1"/>
  <c r="E730" i="176" s="1"/>
  <c r="E731" i="176" s="1"/>
  <c r="E732" i="176" s="1"/>
  <c r="E733" i="176" s="1"/>
  <c r="E734" i="176" s="1"/>
  <c r="E735" i="176" s="1"/>
  <c r="D725" i="176"/>
  <c r="D726" i="176" s="1"/>
  <c r="D727" i="176" s="1"/>
  <c r="D728" i="176" s="1"/>
  <c r="D729" i="176" s="1"/>
  <c r="D730" i="176" s="1"/>
  <c r="D731" i="176" s="1"/>
  <c r="D732" i="176" s="1"/>
  <c r="D733" i="176" s="1"/>
  <c r="D734" i="176" s="1"/>
  <c r="D735" i="176" s="1"/>
  <c r="D736" i="176" s="1"/>
  <c r="D737" i="176" s="1"/>
  <c r="E756" i="176"/>
  <c r="E757" i="176" s="1"/>
  <c r="E758" i="176" s="1"/>
  <c r="E753" i="176"/>
  <c r="E754" i="176" s="1"/>
  <c r="E755" i="176" s="1"/>
  <c r="E748" i="176"/>
  <c r="E749" i="176" s="1"/>
  <c r="E750" i="176" s="1"/>
  <c r="E751" i="176" s="1"/>
  <c r="E752" i="176" s="1"/>
  <c r="E743" i="176"/>
  <c r="E744" i="176" s="1"/>
  <c r="E745" i="176" s="1"/>
  <c r="E746" i="176" s="1"/>
  <c r="E747" i="176" s="1"/>
  <c r="D742" i="176"/>
  <c r="D743" i="176" s="1"/>
  <c r="D744" i="176" s="1"/>
  <c r="D745" i="176" s="1"/>
  <c r="D746" i="176" s="1"/>
  <c r="D747" i="176" s="1"/>
  <c r="D748" i="176" s="1"/>
  <c r="D749" i="176" s="1"/>
  <c r="D750" i="176" s="1"/>
  <c r="D751" i="176" s="1"/>
  <c r="D752" i="176" s="1"/>
  <c r="D753" i="176" s="1"/>
  <c r="D754" i="176" s="1"/>
  <c r="E773" i="176"/>
  <c r="E774" i="176" s="1"/>
  <c r="E775" i="176" s="1"/>
  <c r="E770" i="176"/>
  <c r="E771" i="176" s="1"/>
  <c r="E772" i="176" s="1"/>
  <c r="E765" i="176"/>
  <c r="E766" i="176" s="1"/>
  <c r="E767" i="176" s="1"/>
  <c r="E768" i="176" s="1"/>
  <c r="E769" i="176" s="1"/>
  <c r="E760" i="176"/>
  <c r="D759" i="176"/>
  <c r="D760" i="176" s="1"/>
  <c r="E790" i="176"/>
  <c r="E791" i="176" s="1"/>
  <c r="E792" i="176" s="1"/>
  <c r="E788" i="176"/>
  <c r="E789" i="176" s="1"/>
  <c r="E783" i="176"/>
  <c r="E784" i="176" s="1"/>
  <c r="E785" i="176" s="1"/>
  <c r="E786" i="176" s="1"/>
  <c r="E787" i="176" s="1"/>
  <c r="E777" i="176"/>
  <c r="E778" i="176" s="1"/>
  <c r="D776" i="176"/>
  <c r="D777" i="176" s="1"/>
  <c r="D793" i="176"/>
  <c r="D794" i="176" s="1"/>
  <c r="D795" i="176" s="1"/>
  <c r="D796" i="176" s="1"/>
  <c r="D797" i="176" s="1"/>
  <c r="D798" i="176" s="1"/>
  <c r="D799" i="176" s="1"/>
  <c r="D800" i="176" s="1"/>
  <c r="D801" i="176" s="1"/>
  <c r="D802" i="176" s="1"/>
  <c r="D803" i="176" s="1"/>
  <c r="D804" i="176" s="1"/>
  <c r="D808" i="176" s="1"/>
  <c r="D809" i="176" s="1"/>
  <c r="D810" i="176" s="1"/>
  <c r="D811" i="176" s="1"/>
  <c r="D812" i="176" s="1"/>
  <c r="D813" i="176" s="1"/>
  <c r="D814" i="176" s="1"/>
  <c r="D815" i="176" s="1"/>
  <c r="D816" i="176" s="1"/>
  <c r="D817" i="176" s="1"/>
  <c r="D818" i="176" s="1"/>
  <c r="D819" i="176" s="1"/>
  <c r="E818" i="176"/>
  <c r="E819" i="176" s="1"/>
  <c r="E809" i="176"/>
  <c r="E810" i="176" s="1"/>
  <c r="E811" i="176" s="1"/>
  <c r="E812" i="176" s="1"/>
  <c r="E813" i="176" s="1"/>
  <c r="E814" i="176" s="1"/>
  <c r="E815" i="176" s="1"/>
  <c r="E816" i="176" s="1"/>
  <c r="E817" i="176" s="1"/>
  <c r="E910" i="176"/>
  <c r="E911" i="176" s="1"/>
  <c r="E912" i="176" s="1"/>
  <c r="E919" i="176"/>
  <c r="E920" i="176" s="1"/>
  <c r="E917" i="176"/>
  <c r="E918" i="176" s="1"/>
  <c r="E913" i="176"/>
  <c r="E914" i="176" s="1"/>
  <c r="E915" i="176" s="1"/>
  <c r="E916" i="176" s="1"/>
  <c r="N1301" i="176"/>
  <c r="N899" i="176"/>
  <c r="N907" i="176"/>
  <c r="E906" i="176"/>
  <c r="E907" i="176" s="1"/>
  <c r="E894" i="176"/>
  <c r="E895" i="176" s="1"/>
  <c r="E896" i="176" s="1"/>
  <c r="D893" i="176"/>
  <c r="D894" i="176" s="1"/>
  <c r="D895" i="176" s="1"/>
  <c r="D896" i="176" s="1"/>
  <c r="C892" i="176"/>
  <c r="C893" i="176" s="1"/>
  <c r="C894" i="176" s="1"/>
  <c r="C895" i="176" s="1"/>
  <c r="C896" i="176" s="1"/>
  <c r="E722" i="176"/>
  <c r="E723" i="176" s="1"/>
  <c r="E719" i="176"/>
  <c r="E720" i="176" s="1"/>
  <c r="E721" i="176" s="1"/>
  <c r="N1300" i="176" l="1"/>
  <c r="L720" i="176"/>
  <c r="N720" i="176" s="1"/>
  <c r="N713" i="176"/>
  <c r="L721" i="176"/>
  <c r="L831" i="176"/>
  <c r="N831" i="176" s="1"/>
  <c r="N1152" i="176"/>
  <c r="N743" i="176"/>
  <c r="N906" i="176"/>
  <c r="N821" i="176"/>
  <c r="N919" i="176"/>
  <c r="N726" i="176"/>
  <c r="N777" i="176"/>
  <c r="N809" i="176"/>
  <c r="N900" i="176"/>
  <c r="N894" i="176"/>
  <c r="E724" i="176"/>
  <c r="E725" i="176" s="1"/>
  <c r="N735" i="176"/>
  <c r="L741" i="176"/>
  <c r="N741" i="176" s="1"/>
  <c r="N769" i="176"/>
  <c r="L775" i="176"/>
  <c r="N775" i="176" s="1"/>
  <c r="L819" i="176"/>
  <c r="N819" i="176" s="1"/>
  <c r="E820" i="176"/>
  <c r="E807" i="176"/>
  <c r="N786" i="176"/>
  <c r="L791" i="176"/>
  <c r="N791" i="176" s="1"/>
  <c r="N815" i="176"/>
  <c r="N1141" i="176"/>
  <c r="N826" i="176"/>
  <c r="L886" i="176"/>
  <c r="N886" i="176" s="1"/>
  <c r="N1140" i="176"/>
  <c r="L1026" i="176"/>
  <c r="N846" i="176"/>
  <c r="N827" i="176"/>
  <c r="N1144" i="176"/>
  <c r="N734" i="176"/>
  <c r="N1041" i="176"/>
  <c r="N751" i="176"/>
  <c r="N1061" i="176"/>
  <c r="N768" i="176"/>
  <c r="N1081" i="176"/>
  <c r="N752" i="176"/>
  <c r="N787" i="176"/>
  <c r="L857" i="176"/>
  <c r="N857" i="176" s="1"/>
  <c r="L1065" i="176"/>
  <c r="N1065" i="176" s="1"/>
  <c r="L873" i="176"/>
  <c r="N873" i="176" s="1"/>
  <c r="L1103" i="176"/>
  <c r="N1103" i="176" s="1"/>
  <c r="L1025" i="176"/>
  <c r="N854" i="176"/>
  <c r="L1066" i="176"/>
  <c r="L1046" i="176"/>
  <c r="L1052" i="176" s="1"/>
  <c r="N870" i="176"/>
  <c r="L1104" i="176"/>
  <c r="L849" i="176"/>
  <c r="N849" i="176" s="1"/>
  <c r="L1045" i="176"/>
  <c r="N1045" i="176" s="1"/>
  <c r="L865" i="176"/>
  <c r="L1085" i="176"/>
  <c r="N1085" i="176" s="1"/>
  <c r="N862" i="176"/>
  <c r="L1086" i="176"/>
  <c r="L889" i="176"/>
  <c r="N1147" i="176"/>
  <c r="N1149" i="176"/>
  <c r="E932" i="176"/>
  <c r="E921" i="176"/>
  <c r="E952" i="176"/>
  <c r="E943" i="176"/>
  <c r="E985" i="176"/>
  <c r="N911" i="176"/>
  <c r="N914" i="176"/>
  <c r="C897" i="176"/>
  <c r="C898" i="176" s="1"/>
  <c r="C899" i="176" s="1"/>
  <c r="D897" i="176"/>
  <c r="D898" i="176" s="1"/>
  <c r="D899" i="176" s="1"/>
  <c r="E897" i="176"/>
  <c r="E898" i="176" s="1"/>
  <c r="E899" i="176" s="1"/>
  <c r="N844" i="176"/>
  <c r="N764" i="176"/>
  <c r="N852" i="176"/>
  <c r="N860" i="176"/>
  <c r="N868" i="176"/>
  <c r="N884" i="176"/>
  <c r="L829" i="176"/>
  <c r="N829" i="176" s="1"/>
  <c r="L771" i="176"/>
  <c r="N771" i="176" s="1"/>
  <c r="D823" i="176"/>
  <c r="D824" i="176" s="1"/>
  <c r="D825" i="176" s="1"/>
  <c r="D826" i="176" s="1"/>
  <c r="D827" i="176" s="1"/>
  <c r="N721" i="176"/>
  <c r="L754" i="176"/>
  <c r="N754" i="176" s="1"/>
  <c r="L738" i="176"/>
  <c r="N738" i="176" s="1"/>
  <c r="L737" i="176"/>
  <c r="N737" i="176" s="1"/>
  <c r="D738" i="176"/>
  <c r="D739" i="176" s="1"/>
  <c r="D740" i="176" s="1"/>
  <c r="D741" i="176" s="1"/>
  <c r="L755" i="176"/>
  <c r="N755" i="176" s="1"/>
  <c r="D755" i="176"/>
  <c r="D756" i="176" s="1"/>
  <c r="D757" i="176" s="1"/>
  <c r="D758" i="176" s="1"/>
  <c r="N772" i="176"/>
  <c r="L789" i="176"/>
  <c r="L817" i="176"/>
  <c r="N817" i="176" s="1"/>
  <c r="N723" i="176"/>
  <c r="N824" i="176"/>
  <c r="D805" i="176"/>
  <c r="D806" i="176" s="1"/>
  <c r="D807" i="176" s="1"/>
  <c r="E779" i="176"/>
  <c r="E780" i="176" s="1"/>
  <c r="D778" i="176"/>
  <c r="D779" i="176" s="1"/>
  <c r="D780" i="176" s="1"/>
  <c r="N761" i="176"/>
  <c r="N757" i="176"/>
  <c r="E761" i="176"/>
  <c r="E762" i="176" s="1"/>
  <c r="E763" i="176" s="1"/>
  <c r="E764" i="176" s="1"/>
  <c r="N767" i="176"/>
  <c r="D761" i="176"/>
  <c r="D762" i="176" s="1"/>
  <c r="D763" i="176" s="1"/>
  <c r="D764" i="176" s="1"/>
  <c r="D765" i="176" s="1"/>
  <c r="D766" i="176" s="1"/>
  <c r="D767" i="176" s="1"/>
  <c r="D768" i="176" s="1"/>
  <c r="D769" i="176" s="1"/>
  <c r="D770" i="176" s="1"/>
  <c r="D771" i="176" s="1"/>
  <c r="E742" i="176"/>
  <c r="E776" i="176"/>
  <c r="E759" i="176"/>
  <c r="E793" i="176"/>
  <c r="E794" i="176" s="1"/>
  <c r="E795" i="176" s="1"/>
  <c r="E796" i="176" s="1"/>
  <c r="E797" i="176" s="1"/>
  <c r="E798" i="176" s="1"/>
  <c r="E799" i="176" s="1"/>
  <c r="E800" i="176" s="1"/>
  <c r="E801" i="176" s="1"/>
  <c r="E802" i="176" s="1"/>
  <c r="E803" i="176" s="1"/>
  <c r="E804" i="176" s="1"/>
  <c r="L600" i="176"/>
  <c r="L616" i="176"/>
  <c r="L615" i="176"/>
  <c r="E527" i="176"/>
  <c r="E528" i="176" s="1"/>
  <c r="F2673" i="400"/>
  <c r="L494" i="176" s="1"/>
  <c r="N494" i="176" s="1"/>
  <c r="F2672" i="400"/>
  <c r="L493" i="176" s="1"/>
  <c r="N493" i="176" s="1"/>
  <c r="F2671" i="400"/>
  <c r="L492" i="176" s="1"/>
  <c r="N492" i="176" s="1"/>
  <c r="F2669" i="400"/>
  <c r="L490" i="176" s="1"/>
  <c r="E2669" i="400"/>
  <c r="E2668" i="400"/>
  <c r="L489" i="176"/>
  <c r="N489" i="176" s="1"/>
  <c r="L482" i="176"/>
  <c r="N482" i="176" s="1"/>
  <c r="L483" i="176"/>
  <c r="N483" i="176" s="1"/>
  <c r="L481" i="176"/>
  <c r="L479" i="176"/>
  <c r="L486" i="176" s="1"/>
  <c r="L477" i="176"/>
  <c r="N477" i="176" s="1"/>
  <c r="L476" i="176"/>
  <c r="N476" i="176" s="1"/>
  <c r="D574" i="400"/>
  <c r="D573" i="400"/>
  <c r="D572" i="400"/>
  <c r="D571" i="400"/>
  <c r="D569" i="400"/>
  <c r="D567" i="400"/>
  <c r="D564" i="400"/>
  <c r="D563" i="400"/>
  <c r="D562" i="400"/>
  <c r="D560" i="400"/>
  <c r="D559" i="400"/>
  <c r="D558" i="400"/>
  <c r="D557" i="400"/>
  <c r="D555" i="400"/>
  <c r="D554" i="400"/>
  <c r="D553" i="400"/>
  <c r="D552" i="400"/>
  <c r="D551" i="400"/>
  <c r="D550" i="400"/>
  <c r="D549" i="400"/>
  <c r="D548" i="400"/>
  <c r="D547" i="400"/>
  <c r="D546" i="400"/>
  <c r="D545" i="400"/>
  <c r="D544" i="400"/>
  <c r="D543" i="400"/>
  <c r="D542" i="400"/>
  <c r="D540" i="400"/>
  <c r="D538" i="400"/>
  <c r="D536" i="400"/>
  <c r="D535" i="400"/>
  <c r="D534" i="400"/>
  <c r="D532" i="400"/>
  <c r="D531" i="400"/>
  <c r="D530" i="400"/>
  <c r="D528" i="400"/>
  <c r="D527" i="400"/>
  <c r="D525" i="400"/>
  <c r="D523" i="400"/>
  <c r="D521" i="400"/>
  <c r="D519" i="400"/>
  <c r="D517" i="400"/>
  <c r="D516" i="400"/>
  <c r="D515" i="400"/>
  <c r="D513" i="400"/>
  <c r="D511" i="400"/>
  <c r="D509" i="400"/>
  <c r="D507" i="400"/>
  <c r="D505" i="400"/>
  <c r="D504" i="400"/>
  <c r="D502" i="400"/>
  <c r="D500" i="400"/>
  <c r="D499" i="400"/>
  <c r="D498" i="400"/>
  <c r="D496" i="400"/>
  <c r="D495" i="400"/>
  <c r="D494" i="400"/>
  <c r="D493" i="400"/>
  <c r="D492" i="400"/>
  <c r="D491" i="400"/>
  <c r="D490" i="400"/>
  <c r="D489" i="400"/>
  <c r="D488" i="400"/>
  <c r="D487" i="400"/>
  <c r="D486" i="400"/>
  <c r="D485" i="400"/>
  <c r="D483" i="400"/>
  <c r="D481" i="400"/>
  <c r="L469" i="176"/>
  <c r="N469" i="176" s="1"/>
  <c r="L468" i="176"/>
  <c r="N468" i="176" s="1"/>
  <c r="D477" i="400"/>
  <c r="D475" i="400"/>
  <c r="D472" i="400"/>
  <c r="D473" i="400"/>
  <c r="D471" i="400"/>
  <c r="L454" i="176"/>
  <c r="N454" i="176" s="1"/>
  <c r="L455" i="176"/>
  <c r="N455" i="176" s="1"/>
  <c r="L453" i="176"/>
  <c r="N453" i="176" s="1"/>
  <c r="L451" i="176"/>
  <c r="N451" i="176" s="1"/>
  <c r="L449" i="176"/>
  <c r="N449" i="176" s="1"/>
  <c r="L448" i="176"/>
  <c r="N448" i="176" s="1"/>
  <c r="L441" i="176"/>
  <c r="N441" i="176" s="1"/>
  <c r="L442" i="176"/>
  <c r="N442" i="176" s="1"/>
  <c r="L440" i="176"/>
  <c r="N440" i="176" s="1"/>
  <c r="L438" i="176"/>
  <c r="N438" i="176" s="1"/>
  <c r="L435" i="176"/>
  <c r="N435" i="176" s="1"/>
  <c r="L436" i="176"/>
  <c r="N436" i="176" s="1"/>
  <c r="L434" i="176"/>
  <c r="N434" i="176" s="1"/>
  <c r="L427" i="176"/>
  <c r="N427" i="176" s="1"/>
  <c r="L428" i="176"/>
  <c r="N428" i="176" s="1"/>
  <c r="L426" i="176"/>
  <c r="N426" i="176" s="1"/>
  <c r="L424" i="176"/>
  <c r="L431" i="176" s="1"/>
  <c r="N431" i="176" s="1"/>
  <c r="L421" i="176"/>
  <c r="N421" i="176" s="1"/>
  <c r="L422" i="176"/>
  <c r="N422" i="176" s="1"/>
  <c r="L420" i="176"/>
  <c r="N420" i="176" s="1"/>
  <c r="L413" i="176"/>
  <c r="N413" i="176" s="1"/>
  <c r="L414" i="176"/>
  <c r="N414" i="176" s="1"/>
  <c r="L412" i="176"/>
  <c r="N412" i="176" s="1"/>
  <c r="L410" i="176"/>
  <c r="N410" i="176" s="1"/>
  <c r="L407" i="176"/>
  <c r="N407" i="176" s="1"/>
  <c r="L408" i="176"/>
  <c r="N408" i="176" s="1"/>
  <c r="L406" i="176"/>
  <c r="N406" i="176" s="1"/>
  <c r="L400" i="176"/>
  <c r="N400" i="176" s="1"/>
  <c r="L398" i="176"/>
  <c r="N398" i="176" s="1"/>
  <c r="N399" i="176"/>
  <c r="L396" i="176"/>
  <c r="N396" i="176" s="1"/>
  <c r="L394" i="176"/>
  <c r="N394" i="176" s="1"/>
  <c r="L393" i="176"/>
  <c r="E415" i="176"/>
  <c r="E416" i="176" s="1"/>
  <c r="E417" i="176" s="1"/>
  <c r="E411" i="176"/>
  <c r="E412" i="176" s="1"/>
  <c r="E413" i="176" s="1"/>
  <c r="E414" i="176" s="1"/>
  <c r="E409" i="176"/>
  <c r="E410" i="176" s="1"/>
  <c r="E405" i="176"/>
  <c r="E406" i="176" s="1"/>
  <c r="E407" i="176" s="1"/>
  <c r="E408" i="176" s="1"/>
  <c r="D404" i="176"/>
  <c r="D405" i="176" s="1"/>
  <c r="D406" i="176" s="1"/>
  <c r="D407" i="176" s="1"/>
  <c r="D408" i="176" s="1"/>
  <c r="D409" i="176" s="1"/>
  <c r="D410" i="176" s="1"/>
  <c r="D411" i="176" s="1"/>
  <c r="D412" i="176" s="1"/>
  <c r="D413" i="176" s="1"/>
  <c r="D414" i="176" s="1"/>
  <c r="D415" i="176" s="1"/>
  <c r="D416" i="176" s="1"/>
  <c r="D417" i="176" s="1"/>
  <c r="E429" i="176"/>
  <c r="E430" i="176" s="1"/>
  <c r="E431" i="176" s="1"/>
  <c r="E425" i="176"/>
  <c r="E426" i="176" s="1"/>
  <c r="E427" i="176" s="1"/>
  <c r="E428" i="176" s="1"/>
  <c r="E423" i="176"/>
  <c r="E424" i="176" s="1"/>
  <c r="E419" i="176"/>
  <c r="E420" i="176" s="1"/>
  <c r="E421" i="176" s="1"/>
  <c r="E422" i="176" s="1"/>
  <c r="D418" i="176"/>
  <c r="D419" i="176" s="1"/>
  <c r="D420" i="176" s="1"/>
  <c r="D421" i="176" s="1"/>
  <c r="D422" i="176" s="1"/>
  <c r="D423" i="176" s="1"/>
  <c r="D424" i="176" s="1"/>
  <c r="D425" i="176" s="1"/>
  <c r="D426" i="176" s="1"/>
  <c r="D427" i="176" s="1"/>
  <c r="D428" i="176" s="1"/>
  <c r="D429" i="176" s="1"/>
  <c r="D430" i="176" s="1"/>
  <c r="D431" i="176" s="1"/>
  <c r="E443" i="176"/>
  <c r="E444" i="176" s="1"/>
  <c r="E445" i="176" s="1"/>
  <c r="E439" i="176"/>
  <c r="E440" i="176" s="1"/>
  <c r="E441" i="176" s="1"/>
  <c r="E442" i="176" s="1"/>
  <c r="E437" i="176"/>
  <c r="E438" i="176" s="1"/>
  <c r="E433" i="176"/>
  <c r="E434" i="176" s="1"/>
  <c r="E435" i="176" s="1"/>
  <c r="E436" i="176" s="1"/>
  <c r="D432" i="176"/>
  <c r="D433" i="176" s="1"/>
  <c r="D434" i="176" s="1"/>
  <c r="D435" i="176" s="1"/>
  <c r="D436" i="176" s="1"/>
  <c r="D437" i="176" s="1"/>
  <c r="D438" i="176" s="1"/>
  <c r="D439" i="176" s="1"/>
  <c r="D440" i="176" s="1"/>
  <c r="D441" i="176" s="1"/>
  <c r="D442" i="176" s="1"/>
  <c r="D443" i="176" s="1"/>
  <c r="D444" i="176" s="1"/>
  <c r="D445" i="176" s="1"/>
  <c r="E456" i="176"/>
  <c r="E457" i="176" s="1"/>
  <c r="E458" i="176" s="1"/>
  <c r="E452" i="176"/>
  <c r="E453" i="176" s="1"/>
  <c r="E454" i="176" s="1"/>
  <c r="E455" i="176" s="1"/>
  <c r="E450" i="176"/>
  <c r="E451" i="176" s="1"/>
  <c r="E447" i="176"/>
  <c r="E448" i="176" s="1"/>
  <c r="E449" i="176" s="1"/>
  <c r="D446" i="176"/>
  <c r="D447" i="176" s="1"/>
  <c r="D448" i="176" s="1"/>
  <c r="D449" i="176" s="1"/>
  <c r="D450" i="176" s="1"/>
  <c r="D451" i="176" s="1"/>
  <c r="D452" i="176" s="1"/>
  <c r="D453" i="176" s="1"/>
  <c r="D454" i="176" s="1"/>
  <c r="D455" i="176" s="1"/>
  <c r="D456" i="176" s="1"/>
  <c r="D457" i="176" s="1"/>
  <c r="D458" i="176" s="1"/>
  <c r="E471" i="176"/>
  <c r="E472" i="176" s="1"/>
  <c r="E473" i="176" s="1"/>
  <c r="E467" i="176"/>
  <c r="E468" i="176" s="1"/>
  <c r="E469" i="176" s="1"/>
  <c r="E470" i="176" s="1"/>
  <c r="E464" i="176"/>
  <c r="E465" i="176" s="1"/>
  <c r="E466" i="176" s="1"/>
  <c r="E460" i="176"/>
  <c r="E461" i="176" s="1"/>
  <c r="E462" i="176" s="1"/>
  <c r="E463" i="176" s="1"/>
  <c r="D459" i="176"/>
  <c r="D460" i="176" s="1"/>
  <c r="D461" i="176" s="1"/>
  <c r="D462" i="176" s="1"/>
  <c r="D463" i="176" s="1"/>
  <c r="D464" i="176" s="1"/>
  <c r="D465" i="176" s="1"/>
  <c r="D466" i="176" s="1"/>
  <c r="D467" i="176" s="1"/>
  <c r="D468" i="176" s="1"/>
  <c r="D469" i="176" s="1"/>
  <c r="D470" i="176" s="1"/>
  <c r="D471" i="176" s="1"/>
  <c r="D472" i="176" s="1"/>
  <c r="D473" i="176" s="1"/>
  <c r="E484" i="176"/>
  <c r="E485" i="176" s="1"/>
  <c r="E486" i="176" s="1"/>
  <c r="N481" i="176"/>
  <c r="E480" i="176"/>
  <c r="E481" i="176" s="1"/>
  <c r="E482" i="176" s="1"/>
  <c r="E483" i="176" s="1"/>
  <c r="E478" i="176"/>
  <c r="E479" i="176" s="1"/>
  <c r="E475" i="176"/>
  <c r="E476" i="176" s="1"/>
  <c r="E477" i="176" s="1"/>
  <c r="D474" i="176"/>
  <c r="D475" i="176" s="1"/>
  <c r="D476" i="176" s="1"/>
  <c r="D477" i="176" s="1"/>
  <c r="D478" i="176" s="1"/>
  <c r="D479" i="176" s="1"/>
  <c r="D480" i="176" s="1"/>
  <c r="D481" i="176" s="1"/>
  <c r="D482" i="176" s="1"/>
  <c r="D483" i="176" s="1"/>
  <c r="D484" i="176" s="1"/>
  <c r="D485" i="176" s="1"/>
  <c r="D486" i="176" s="1"/>
  <c r="E495" i="176"/>
  <c r="E496" i="176" s="1"/>
  <c r="E491" i="176"/>
  <c r="E492" i="176" s="1"/>
  <c r="E493" i="176" s="1"/>
  <c r="E494" i="176" s="1"/>
  <c r="E488" i="176"/>
  <c r="E489" i="176" s="1"/>
  <c r="E490" i="176" s="1"/>
  <c r="D487" i="176"/>
  <c r="D488" i="176" s="1"/>
  <c r="D489" i="176" s="1"/>
  <c r="D490" i="176" s="1"/>
  <c r="D491" i="176" s="1"/>
  <c r="D492" i="176" s="1"/>
  <c r="D493" i="176" s="1"/>
  <c r="D494" i="176" s="1"/>
  <c r="D495" i="176" s="1"/>
  <c r="D496" i="176" s="1"/>
  <c r="L1033" i="176" l="1"/>
  <c r="N1033" i="176" s="1"/>
  <c r="L1032" i="176"/>
  <c r="N1032" i="176" s="1"/>
  <c r="L1109" i="176"/>
  <c r="N1109" i="176" s="1"/>
  <c r="L1108" i="176"/>
  <c r="N1108" i="176" s="1"/>
  <c r="L1093" i="176"/>
  <c r="N1093" i="176" s="1"/>
  <c r="L1092" i="176"/>
  <c r="N1092" i="176" s="1"/>
  <c r="L1053" i="176"/>
  <c r="N1053" i="176" s="1"/>
  <c r="N1052" i="176"/>
  <c r="L1073" i="176"/>
  <c r="N1073" i="176" s="1"/>
  <c r="L1072" i="176"/>
  <c r="N1072" i="176" s="1"/>
  <c r="N1138" i="176"/>
  <c r="N760" i="176"/>
  <c r="N823" i="176"/>
  <c r="N736" i="176"/>
  <c r="N830" i="176"/>
  <c r="N851" i="176"/>
  <c r="N869" i="176"/>
  <c r="N856" i="176"/>
  <c r="N731" i="176"/>
  <c r="N845" i="176"/>
  <c r="N790" i="176"/>
  <c r="N818" i="176"/>
  <c r="N765" i="176"/>
  <c r="N722" i="176"/>
  <c r="N883" i="176"/>
  <c r="N885" i="176"/>
  <c r="N816" i="176"/>
  <c r="N867" i="176"/>
  <c r="N843" i="176"/>
  <c r="N913" i="176"/>
  <c r="N861" i="176"/>
  <c r="N848" i="176"/>
  <c r="N872" i="176"/>
  <c r="N756" i="176"/>
  <c r="N828" i="176"/>
  <c r="N859" i="176"/>
  <c r="N910" i="176"/>
  <c r="N853" i="176"/>
  <c r="N812" i="176"/>
  <c r="N770" i="176"/>
  <c r="N719" i="176"/>
  <c r="N748" i="176"/>
  <c r="N783" i="176"/>
  <c r="L461" i="176"/>
  <c r="L797" i="176"/>
  <c r="N797" i="176" s="1"/>
  <c r="L988" i="176"/>
  <c r="N988" i="176" s="1"/>
  <c r="L799" i="176"/>
  <c r="N799" i="176" s="1"/>
  <c r="L989" i="176"/>
  <c r="N989" i="176" s="1"/>
  <c r="L800" i="176"/>
  <c r="N800" i="176" s="1"/>
  <c r="L991" i="176"/>
  <c r="N991" i="176" s="1"/>
  <c r="L465" i="176"/>
  <c r="L801" i="176"/>
  <c r="L993" i="176"/>
  <c r="N993" i="176" s="1"/>
  <c r="L462" i="176"/>
  <c r="N462" i="176" s="1"/>
  <c r="L802" i="176"/>
  <c r="L807" i="176" s="1"/>
  <c r="N807" i="176" s="1"/>
  <c r="L995" i="176"/>
  <c r="L1008" i="176" s="1"/>
  <c r="N1008" i="176" s="1"/>
  <c r="L463" i="176"/>
  <c r="N463" i="176" s="1"/>
  <c r="L795" i="176"/>
  <c r="N795" i="176" s="1"/>
  <c r="L997" i="176"/>
  <c r="N997" i="176" s="1"/>
  <c r="L878" i="176"/>
  <c r="L999" i="176"/>
  <c r="L466" i="176"/>
  <c r="N466" i="176" s="1"/>
  <c r="L470" i="176"/>
  <c r="N470" i="176" s="1"/>
  <c r="L987" i="176"/>
  <c r="N987" i="176" s="1"/>
  <c r="L1000" i="176"/>
  <c r="N1000" i="176" s="1"/>
  <c r="N753" i="176"/>
  <c r="E808" i="176"/>
  <c r="N437" i="176"/>
  <c r="N447" i="176"/>
  <c r="N480" i="176"/>
  <c r="N409" i="176"/>
  <c r="N419" i="176"/>
  <c r="N425" i="176"/>
  <c r="N450" i="176"/>
  <c r="N405" i="176"/>
  <c r="N411" i="176"/>
  <c r="N452" i="176"/>
  <c r="N491" i="176"/>
  <c r="N433" i="176"/>
  <c r="N439" i="176"/>
  <c r="N475" i="176"/>
  <c r="N397" i="176"/>
  <c r="N395" i="176"/>
  <c r="L891" i="176"/>
  <c r="N891" i="176" s="1"/>
  <c r="N1151" i="176"/>
  <c r="N789" i="176"/>
  <c r="N774" i="176"/>
  <c r="N865" i="176"/>
  <c r="N740" i="176"/>
  <c r="N1060" i="176"/>
  <c r="N1098" i="176"/>
  <c r="N1080" i="176"/>
  <c r="N1040" i="176"/>
  <c r="N1066" i="176"/>
  <c r="N1104" i="176"/>
  <c r="N1086" i="176"/>
  <c r="N1046" i="176"/>
  <c r="N605" i="176"/>
  <c r="N889" i="176"/>
  <c r="N1148" i="176"/>
  <c r="L876" i="176"/>
  <c r="L1113" i="176"/>
  <c r="N479" i="176"/>
  <c r="D828" i="176"/>
  <c r="D829" i="176" s="1"/>
  <c r="D830" i="176" s="1"/>
  <c r="D831" i="176" s="1"/>
  <c r="D832" i="176" s="1"/>
  <c r="D772" i="176"/>
  <c r="D773" i="176" s="1"/>
  <c r="D774" i="176" s="1"/>
  <c r="D775" i="176" s="1"/>
  <c r="L796" i="176"/>
  <c r="D781" i="176"/>
  <c r="D782" i="176" s="1"/>
  <c r="D783" i="176" s="1"/>
  <c r="D784" i="176" s="1"/>
  <c r="D785" i="176" s="1"/>
  <c r="D786" i="176" s="1"/>
  <c r="D787" i="176" s="1"/>
  <c r="D788" i="176" s="1"/>
  <c r="D789" i="176" s="1"/>
  <c r="E781" i="176"/>
  <c r="E782" i="176" s="1"/>
  <c r="L496" i="176"/>
  <c r="N496" i="176" s="1"/>
  <c r="N490" i="176"/>
  <c r="L417" i="176"/>
  <c r="N417" i="176" s="1"/>
  <c r="L485" i="176"/>
  <c r="N485" i="176" s="1"/>
  <c r="L445" i="176"/>
  <c r="N445" i="176" s="1"/>
  <c r="L458" i="176"/>
  <c r="N458" i="176" s="1"/>
  <c r="L444" i="176"/>
  <c r="N444" i="176" s="1"/>
  <c r="L457" i="176"/>
  <c r="N457" i="176" s="1"/>
  <c r="L402" i="176"/>
  <c r="N402" i="176" s="1"/>
  <c r="L403" i="176"/>
  <c r="N403" i="176" s="1"/>
  <c r="L416" i="176"/>
  <c r="N416" i="176" s="1"/>
  <c r="N424" i="176"/>
  <c r="L430" i="176"/>
  <c r="N430" i="176" s="1"/>
  <c r="N393" i="176"/>
  <c r="N486" i="176"/>
  <c r="N3" i="137"/>
  <c r="L3" i="137"/>
  <c r="B3" i="137"/>
  <c r="A3" i="137"/>
  <c r="B2" i="137"/>
  <c r="K3" i="212"/>
  <c r="L3" i="143"/>
  <c r="H3" i="212"/>
  <c r="B3" i="212"/>
  <c r="B2" i="212"/>
  <c r="B2" i="143"/>
  <c r="B3" i="143"/>
  <c r="I3" i="143"/>
  <c r="C3" i="395"/>
  <c r="L348" i="176"/>
  <c r="N348" i="176" s="1"/>
  <c r="L347" i="176"/>
  <c r="N347" i="176" s="1"/>
  <c r="L346" i="176"/>
  <c r="N346" i="176" s="1"/>
  <c r="L345" i="176"/>
  <c r="N345" i="176" s="1"/>
  <c r="L344" i="176"/>
  <c r="N344" i="176" s="1"/>
  <c r="L343" i="176"/>
  <c r="N343" i="176" s="1"/>
  <c r="B48" i="392"/>
  <c r="B43" i="392"/>
  <c r="B38" i="392"/>
  <c r="B33" i="392"/>
  <c r="B27" i="392"/>
  <c r="B21" i="392"/>
  <c r="N220" i="176"/>
  <c r="E219" i="176"/>
  <c r="E220" i="176" s="1"/>
  <c r="D218" i="176"/>
  <c r="D219" i="176" s="1"/>
  <c r="D220" i="176" s="1"/>
  <c r="E236" i="176"/>
  <c r="E237" i="176" s="1"/>
  <c r="N226" i="176"/>
  <c r="N224" i="176"/>
  <c r="N223" i="176"/>
  <c r="N222" i="176"/>
  <c r="N217" i="176"/>
  <c r="N213" i="176"/>
  <c r="N389" i="176"/>
  <c r="N374" i="176"/>
  <c r="N355" i="176"/>
  <c r="N335" i="176"/>
  <c r="N315" i="176"/>
  <c r="N272" i="176"/>
  <c r="D53" i="392"/>
  <c r="L382" i="176"/>
  <c r="N382" i="176" s="1"/>
  <c r="L383" i="176"/>
  <c r="N383" i="176" s="1"/>
  <c r="L384" i="176"/>
  <c r="N384" i="176" s="1"/>
  <c r="L385" i="176"/>
  <c r="N385" i="176" s="1"/>
  <c r="L381" i="176"/>
  <c r="N381" i="176" s="1"/>
  <c r="L364" i="176"/>
  <c r="N364" i="176" s="1"/>
  <c r="L365" i="176"/>
  <c r="N365" i="176" s="1"/>
  <c r="L366" i="176"/>
  <c r="N366" i="176" s="1"/>
  <c r="L367" i="176"/>
  <c r="N367" i="176" s="1"/>
  <c r="L363" i="176"/>
  <c r="N363" i="176" s="1"/>
  <c r="L324" i="176"/>
  <c r="N324" i="176" s="1"/>
  <c r="L325" i="176"/>
  <c r="N325" i="176" s="1"/>
  <c r="L326" i="176"/>
  <c r="N326" i="176" s="1"/>
  <c r="L327" i="176"/>
  <c r="N327" i="176" s="1"/>
  <c r="L328" i="176"/>
  <c r="N328" i="176" s="1"/>
  <c r="L323" i="176"/>
  <c r="N323" i="176" s="1"/>
  <c r="L304" i="176"/>
  <c r="N304" i="176" s="1"/>
  <c r="L308" i="176"/>
  <c r="N308" i="176" s="1"/>
  <c r="L305" i="176"/>
  <c r="N305" i="176" s="1"/>
  <c r="L306" i="176"/>
  <c r="N306" i="176" s="1"/>
  <c r="L307" i="176"/>
  <c r="N307" i="176" s="1"/>
  <c r="L303" i="176"/>
  <c r="N303" i="176" s="1"/>
  <c r="N295" i="176"/>
  <c r="L288" i="176"/>
  <c r="N288" i="176" s="1"/>
  <c r="L287" i="176"/>
  <c r="N287" i="176" s="1"/>
  <c r="L286" i="176"/>
  <c r="N286" i="176" s="1"/>
  <c r="L285" i="176"/>
  <c r="N285" i="176" s="1"/>
  <c r="L284" i="176"/>
  <c r="N284" i="176" s="1"/>
  <c r="L283" i="176"/>
  <c r="N283" i="176" s="1"/>
  <c r="N275" i="176"/>
  <c r="L267" i="176"/>
  <c r="N267" i="176" s="1"/>
  <c r="L266" i="176"/>
  <c r="N266" i="176" s="1"/>
  <c r="L265" i="176"/>
  <c r="N265" i="176" s="1"/>
  <c r="L264" i="176"/>
  <c r="N264" i="176" s="1"/>
  <c r="L263" i="176"/>
  <c r="N263" i="176" s="1"/>
  <c r="L262" i="176"/>
  <c r="N262" i="176" s="1"/>
  <c r="S12" i="137"/>
  <c r="S13" i="137"/>
  <c r="P7" i="137"/>
  <c r="K17" i="392" s="1"/>
  <c r="P40" i="147"/>
  <c r="O40" i="147"/>
  <c r="M40" i="147"/>
  <c r="L40" i="147"/>
  <c r="I40" i="147"/>
  <c r="P39" i="147"/>
  <c r="O39" i="147"/>
  <c r="M39" i="147"/>
  <c r="L39" i="147"/>
  <c r="I39" i="147"/>
  <c r="P38" i="147"/>
  <c r="M38" i="147"/>
  <c r="I38" i="147"/>
  <c r="L38" i="147"/>
  <c r="P37" i="147"/>
  <c r="O37" i="147"/>
  <c r="M37" i="147"/>
  <c r="L37" i="147"/>
  <c r="I37" i="147"/>
  <c r="M36" i="147"/>
  <c r="I36" i="147"/>
  <c r="P33" i="147"/>
  <c r="O33" i="147"/>
  <c r="Q33" i="147" s="1"/>
  <c r="M33" i="147"/>
  <c r="L33" i="147"/>
  <c r="I33" i="147"/>
  <c r="P32" i="147"/>
  <c r="O32" i="147"/>
  <c r="M32" i="147"/>
  <c r="L32" i="147"/>
  <c r="I32" i="147"/>
  <c r="P31" i="147"/>
  <c r="M31" i="147"/>
  <c r="I31" i="147"/>
  <c r="L31" i="147"/>
  <c r="P30" i="147"/>
  <c r="O30" i="147"/>
  <c r="M30" i="147"/>
  <c r="L30" i="147"/>
  <c r="I30" i="147"/>
  <c r="P29" i="147"/>
  <c r="M29" i="147"/>
  <c r="L29" i="147"/>
  <c r="P26" i="147"/>
  <c r="O26" i="147"/>
  <c r="M26" i="147"/>
  <c r="L26" i="147"/>
  <c r="I26" i="147"/>
  <c r="P25" i="147"/>
  <c r="O25" i="147"/>
  <c r="M25" i="147"/>
  <c r="L25" i="147"/>
  <c r="I25" i="147"/>
  <c r="P24" i="147"/>
  <c r="M24" i="147"/>
  <c r="I24" i="147"/>
  <c r="L24" i="147"/>
  <c r="P23" i="147"/>
  <c r="O23" i="147"/>
  <c r="M23" i="147"/>
  <c r="L23" i="147"/>
  <c r="I23" i="147"/>
  <c r="P22" i="147"/>
  <c r="M22" i="147"/>
  <c r="I22" i="147"/>
  <c r="L22" i="147"/>
  <c r="I19" i="147"/>
  <c r="I18" i="147"/>
  <c r="I17" i="147"/>
  <c r="I16" i="147"/>
  <c r="I15" i="147"/>
  <c r="P19" i="147"/>
  <c r="O19" i="147"/>
  <c r="M19" i="147"/>
  <c r="L19" i="147"/>
  <c r="N19" i="147" s="1"/>
  <c r="P18" i="147"/>
  <c r="O18" i="147"/>
  <c r="M18" i="147"/>
  <c r="L18" i="147"/>
  <c r="P8" i="147"/>
  <c r="L1123" i="176" l="1"/>
  <c r="N1123" i="176" s="1"/>
  <c r="N999" i="176"/>
  <c r="L1012" i="176"/>
  <c r="N1012" i="176" s="1"/>
  <c r="N878" i="176"/>
  <c r="L1121" i="176"/>
  <c r="L806" i="176"/>
  <c r="N806" i="176" s="1"/>
  <c r="N18" i="147"/>
  <c r="L379" i="176"/>
  <c r="N379" i="176" s="1"/>
  <c r="L50" i="392"/>
  <c r="N25" i="147"/>
  <c r="L360" i="176"/>
  <c r="N360" i="176" s="1"/>
  <c r="L45" i="392"/>
  <c r="Q25" i="147"/>
  <c r="N461" i="176"/>
  <c r="N392" i="176"/>
  <c r="N808" i="176"/>
  <c r="N842" i="176"/>
  <c r="N1146" i="176"/>
  <c r="N604" i="176"/>
  <c r="N890" i="176"/>
  <c r="N866" i="176"/>
  <c r="N742" i="176"/>
  <c r="N1102" i="176"/>
  <c r="N864" i="176"/>
  <c r="N788" i="176"/>
  <c r="N1143" i="176"/>
  <c r="N882" i="176"/>
  <c r="N820" i="176"/>
  <c r="N1064" i="176"/>
  <c r="N1044" i="176"/>
  <c r="N888" i="176"/>
  <c r="N1084" i="176"/>
  <c r="N739" i="176"/>
  <c r="N773" i="176"/>
  <c r="N1150" i="176"/>
  <c r="N1126" i="176"/>
  <c r="N850" i="176"/>
  <c r="N992" i="176"/>
  <c r="N1007" i="176"/>
  <c r="N467" i="176"/>
  <c r="N996" i="176"/>
  <c r="N990" i="176"/>
  <c r="L473" i="176"/>
  <c r="N473" i="176" s="1"/>
  <c r="L1010" i="176"/>
  <c r="N1010" i="176" s="1"/>
  <c r="L1002" i="176"/>
  <c r="N1002" i="176" s="1"/>
  <c r="N995" i="176"/>
  <c r="N465" i="176"/>
  <c r="L1006" i="176"/>
  <c r="N1006" i="176" s="1"/>
  <c r="L804" i="176"/>
  <c r="N804" i="176" s="1"/>
  <c r="L1120" i="176"/>
  <c r="L1125" i="176" s="1"/>
  <c r="L1004" i="176"/>
  <c r="N1004" i="176" s="1"/>
  <c r="N801" i="176"/>
  <c r="N802" i="176"/>
  <c r="N986" i="176"/>
  <c r="L472" i="176"/>
  <c r="N472" i="176" s="1"/>
  <c r="N401" i="176"/>
  <c r="N495" i="176"/>
  <c r="N423" i="176"/>
  <c r="N456" i="176"/>
  <c r="N484" i="176"/>
  <c r="N478" i="176"/>
  <c r="N415" i="176"/>
  <c r="N443" i="176"/>
  <c r="N488" i="176"/>
  <c r="N429" i="176"/>
  <c r="N342" i="176"/>
  <c r="N362" i="176"/>
  <c r="N271" i="176"/>
  <c r="N294" i="176"/>
  <c r="N274" i="176"/>
  <c r="N302" i="176"/>
  <c r="N219" i="176"/>
  <c r="N322" i="176"/>
  <c r="N282" i="176"/>
  <c r="N261" i="176"/>
  <c r="N221" i="176"/>
  <c r="L1119" i="176"/>
  <c r="N1119" i="176" s="1"/>
  <c r="N1099" i="176"/>
  <c r="N1100" i="176"/>
  <c r="N1107" i="176"/>
  <c r="N1051" i="176"/>
  <c r="N1042" i="176"/>
  <c r="N1082" i="176"/>
  <c r="N1091" i="176"/>
  <c r="N1071" i="176"/>
  <c r="N1062" i="176"/>
  <c r="N876" i="176"/>
  <c r="Q30" i="147"/>
  <c r="N33" i="147"/>
  <c r="N39" i="147"/>
  <c r="N24" i="147"/>
  <c r="Q23" i="147"/>
  <c r="N32" i="147"/>
  <c r="N31" i="147"/>
  <c r="N30" i="147"/>
  <c r="N26" i="147"/>
  <c r="Q18" i="147"/>
  <c r="Q19" i="147"/>
  <c r="Q40" i="147"/>
  <c r="Q37" i="147"/>
  <c r="L881" i="176"/>
  <c r="N1113" i="176"/>
  <c r="N1116" i="176"/>
  <c r="N1115" i="176"/>
  <c r="N1117" i="176"/>
  <c r="N796" i="176"/>
  <c r="D790" i="176"/>
  <c r="D791" i="176" s="1"/>
  <c r="D792" i="176" s="1"/>
  <c r="N388" i="176"/>
  <c r="N334" i="176"/>
  <c r="N314" i="176"/>
  <c r="N354" i="176"/>
  <c r="N373" i="176"/>
  <c r="N380" i="176"/>
  <c r="N23" i="147"/>
  <c r="N37" i="147"/>
  <c r="N22" i="147"/>
  <c r="Q26" i="147"/>
  <c r="Q32" i="147"/>
  <c r="N36" i="147"/>
  <c r="Q39" i="147"/>
  <c r="N40" i="147"/>
  <c r="N38" i="147"/>
  <c r="O36" i="147"/>
  <c r="Q36" i="147" s="1"/>
  <c r="O38" i="147"/>
  <c r="Q38" i="147" s="1"/>
  <c r="N29" i="147"/>
  <c r="O29" i="147"/>
  <c r="Q29" i="147" s="1"/>
  <c r="O31" i="147"/>
  <c r="Q31" i="147" s="1"/>
  <c r="O22" i="147"/>
  <c r="Q22" i="147" s="1"/>
  <c r="O24" i="147"/>
  <c r="Q24" i="147" s="1"/>
  <c r="N998" i="176" l="1"/>
  <c r="N460" i="176"/>
  <c r="N805" i="176"/>
  <c r="N877" i="176"/>
  <c r="L1124" i="176"/>
  <c r="N1124" i="176" s="1"/>
  <c r="N1120" i="176"/>
  <c r="N1125" i="176"/>
  <c r="T10" i="147"/>
  <c r="N1142" i="176"/>
  <c r="N887" i="176"/>
  <c r="N1068" i="176"/>
  <c r="N1048" i="176"/>
  <c r="N725" i="176"/>
  <c r="N1088" i="176"/>
  <c r="N759" i="176"/>
  <c r="N858" i="176"/>
  <c r="N1079" i="176"/>
  <c r="N1059" i="176"/>
  <c r="N1039" i="176"/>
  <c r="N776" i="176"/>
  <c r="N803" i="176"/>
  <c r="N1011" i="176"/>
  <c r="N1005" i="176"/>
  <c r="N1001" i="176"/>
  <c r="N875" i="176"/>
  <c r="N794" i="176"/>
  <c r="N1112" i="176"/>
  <c r="N994" i="176"/>
  <c r="N1009" i="176"/>
  <c r="N464" i="176"/>
  <c r="N1003" i="176"/>
  <c r="N798" i="176"/>
  <c r="N1097" i="176"/>
  <c r="N1114" i="176"/>
  <c r="N432" i="176"/>
  <c r="N446" i="176"/>
  <c r="N418" i="176"/>
  <c r="N474" i="176"/>
  <c r="N404" i="176"/>
  <c r="N487" i="176"/>
  <c r="N471" i="176"/>
  <c r="N391" i="176"/>
  <c r="N881" i="176"/>
  <c r="N1110" i="176"/>
  <c r="N1121" i="176"/>
  <c r="W9" i="147"/>
  <c r="W10" i="147"/>
  <c r="L321" i="176" s="1"/>
  <c r="N321" i="176" s="1"/>
  <c r="T11" i="147"/>
  <c r="T9" i="147"/>
  <c r="W11" i="147"/>
  <c r="O8" i="147"/>
  <c r="M8" i="147"/>
  <c r="L8" i="147"/>
  <c r="J21" i="137"/>
  <c r="H21" i="137"/>
  <c r="J102" i="143"/>
  <c r="H102" i="143"/>
  <c r="J96" i="143"/>
  <c r="N1122" i="176" l="1"/>
  <c r="L41" i="392"/>
  <c r="L341" i="176"/>
  <c r="N341" i="176" s="1"/>
  <c r="L30" i="392"/>
  <c r="L301" i="176"/>
  <c r="N301" i="176" s="1"/>
  <c r="N1034" i="176"/>
  <c r="N1074" i="176"/>
  <c r="N1106" i="176"/>
  <c r="N1054" i="176"/>
  <c r="N985" i="176"/>
  <c r="N1118" i="176"/>
  <c r="N793" i="176"/>
  <c r="N880" i="176"/>
  <c r="N459" i="176"/>
  <c r="N8" i="147"/>
  <c r="K88" i="143"/>
  <c r="I88" i="143"/>
  <c r="K87" i="143"/>
  <c r="I87" i="143"/>
  <c r="K86" i="143"/>
  <c r="I86" i="143"/>
  <c r="K85" i="143"/>
  <c r="I85" i="143"/>
  <c r="K84" i="143"/>
  <c r="I84" i="143"/>
  <c r="K83" i="143"/>
  <c r="I83" i="143"/>
  <c r="K77" i="143"/>
  <c r="K78" i="143"/>
  <c r="K79" i="143"/>
  <c r="K80" i="143"/>
  <c r="K81" i="143"/>
  <c r="K76" i="143"/>
  <c r="I77" i="143"/>
  <c r="I78" i="143"/>
  <c r="I79" i="143"/>
  <c r="I80" i="143"/>
  <c r="I81" i="143"/>
  <c r="I76" i="143"/>
  <c r="J94" i="143"/>
  <c r="H94" i="143"/>
  <c r="H96" i="143"/>
  <c r="J95" i="143"/>
  <c r="H95" i="143"/>
  <c r="J101" i="143"/>
  <c r="H101" i="143"/>
  <c r="J100" i="143"/>
  <c r="H100" i="143"/>
  <c r="J99" i="143"/>
  <c r="H99" i="143"/>
  <c r="I15" i="137"/>
  <c r="S11" i="137" s="1"/>
  <c r="J74" i="143"/>
  <c r="H74" i="143"/>
  <c r="J73" i="143"/>
  <c r="H73" i="143"/>
  <c r="J72" i="143"/>
  <c r="H72" i="143"/>
  <c r="J71" i="143"/>
  <c r="H71" i="143"/>
  <c r="J70" i="143"/>
  <c r="H70" i="143"/>
  <c r="J69" i="143"/>
  <c r="H69" i="143"/>
  <c r="N7" i="143"/>
  <c r="K22" i="392" s="1"/>
  <c r="N8" i="143"/>
  <c r="K28" i="392" s="1"/>
  <c r="N9" i="143"/>
  <c r="K34" i="392" s="1"/>
  <c r="N11" i="143"/>
  <c r="K44" i="392" s="1"/>
  <c r="N12" i="143"/>
  <c r="K49" i="392" s="1"/>
  <c r="Q7" i="143"/>
  <c r="Q8" i="143"/>
  <c r="Q9" i="143"/>
  <c r="Q11" i="143"/>
  <c r="Q12" i="143"/>
  <c r="J65" i="143"/>
  <c r="H65" i="143"/>
  <c r="J61" i="143"/>
  <c r="H61" i="143"/>
  <c r="J62" i="143"/>
  <c r="H62" i="143"/>
  <c r="J63" i="143"/>
  <c r="H63" i="143"/>
  <c r="J64" i="143"/>
  <c r="H64" i="143"/>
  <c r="J66" i="143"/>
  <c r="H66" i="143"/>
  <c r="J60" i="143"/>
  <c r="H60" i="143"/>
  <c r="J59" i="143"/>
  <c r="H59" i="143"/>
  <c r="J58" i="143"/>
  <c r="H58" i="143"/>
  <c r="J57" i="143"/>
  <c r="H57" i="143"/>
  <c r="J56" i="143"/>
  <c r="H56" i="143"/>
  <c r="J55" i="143"/>
  <c r="H55" i="143"/>
  <c r="J54" i="143"/>
  <c r="H54" i="143"/>
  <c r="J53" i="143"/>
  <c r="H53" i="143"/>
  <c r="J52" i="143"/>
  <c r="H52" i="143"/>
  <c r="J51" i="143"/>
  <c r="H51" i="143"/>
  <c r="J50" i="143"/>
  <c r="H50" i="143"/>
  <c r="J47" i="143"/>
  <c r="H47" i="143"/>
  <c r="L318" i="176" l="1"/>
  <c r="N318" i="176" s="1"/>
  <c r="L34" i="392"/>
  <c r="L298" i="176"/>
  <c r="N298" i="176" s="1"/>
  <c r="L28" i="392"/>
  <c r="L278" i="176"/>
  <c r="N278" i="176" s="1"/>
  <c r="L22" i="392"/>
  <c r="L377" i="176"/>
  <c r="N377" i="176" s="1"/>
  <c r="L49" i="392"/>
  <c r="L358" i="176"/>
  <c r="N358" i="176" s="1"/>
  <c r="L44" i="392"/>
  <c r="L340" i="176"/>
  <c r="N340" i="176" s="1"/>
  <c r="L40" i="392"/>
  <c r="N1094" i="176"/>
  <c r="N1111" i="176"/>
  <c r="N390" i="176"/>
  <c r="N874" i="176"/>
  <c r="N10" i="143"/>
  <c r="K39" i="392" s="1"/>
  <c r="Q10" i="143"/>
  <c r="N279" i="176"/>
  <c r="N299" i="176"/>
  <c r="N319" i="176"/>
  <c r="N378" i="176"/>
  <c r="P6" i="212"/>
  <c r="E294" i="176"/>
  <c r="E295" i="176" s="1"/>
  <c r="E292" i="176"/>
  <c r="E293" i="176" s="1"/>
  <c r="E290" i="176"/>
  <c r="E291" i="176" s="1"/>
  <c r="E283" i="176"/>
  <c r="E284" i="176" s="1"/>
  <c r="E285" i="176" s="1"/>
  <c r="E286" i="176" s="1"/>
  <c r="E287" i="176" s="1"/>
  <c r="E288" i="176" s="1"/>
  <c r="E289" i="176" s="1"/>
  <c r="E277" i="176"/>
  <c r="E278" i="176" s="1"/>
  <c r="E279" i="176" s="1"/>
  <c r="E280" i="176" s="1"/>
  <c r="E281" i="176" s="1"/>
  <c r="D276" i="176"/>
  <c r="D277" i="176" s="1"/>
  <c r="D278" i="176" s="1"/>
  <c r="D279" i="176" s="1"/>
  <c r="D280" i="176" s="1"/>
  <c r="D281" i="176" s="1"/>
  <c r="D282" i="176" s="1"/>
  <c r="A276" i="176"/>
  <c r="E314" i="176"/>
  <c r="E315" i="176" s="1"/>
  <c r="E312" i="176"/>
  <c r="E313" i="176" s="1"/>
  <c r="E310" i="176"/>
  <c r="E311" i="176" s="1"/>
  <c r="E302" i="176"/>
  <c r="E303" i="176" s="1"/>
  <c r="E304" i="176" s="1"/>
  <c r="E305" i="176" s="1"/>
  <c r="E306" i="176" s="1"/>
  <c r="E307" i="176" s="1"/>
  <c r="E308" i="176" s="1"/>
  <c r="E309" i="176" s="1"/>
  <c r="E297" i="176"/>
  <c r="E298" i="176" s="1"/>
  <c r="E299" i="176" s="1"/>
  <c r="E300" i="176" s="1"/>
  <c r="E301" i="176" s="1"/>
  <c r="D296" i="176"/>
  <c r="D297" i="176" s="1"/>
  <c r="D298" i="176" s="1"/>
  <c r="D299" i="176" s="1"/>
  <c r="D300" i="176" s="1"/>
  <c r="D301" i="176" s="1"/>
  <c r="D302" i="176" s="1"/>
  <c r="D303" i="176" s="1"/>
  <c r="D304" i="176" s="1"/>
  <c r="D305" i="176" s="1"/>
  <c r="D306" i="176" s="1"/>
  <c r="D307" i="176" s="1"/>
  <c r="D308" i="176" s="1"/>
  <c r="A296" i="176"/>
  <c r="E334" i="176"/>
  <c r="E335" i="176" s="1"/>
  <c r="E332" i="176"/>
  <c r="E333" i="176" s="1"/>
  <c r="E330" i="176"/>
  <c r="E331" i="176" s="1"/>
  <c r="E322" i="176"/>
  <c r="E323" i="176" s="1"/>
  <c r="E324" i="176" s="1"/>
  <c r="E325" i="176" s="1"/>
  <c r="E326" i="176" s="1"/>
  <c r="E327" i="176" s="1"/>
  <c r="E328" i="176" s="1"/>
  <c r="E329" i="176" s="1"/>
  <c r="E317" i="176"/>
  <c r="E318" i="176" s="1"/>
  <c r="E319" i="176" s="1"/>
  <c r="E320" i="176" s="1"/>
  <c r="E321" i="176" s="1"/>
  <c r="D316" i="176"/>
  <c r="D317" i="176" s="1"/>
  <c r="D318" i="176" s="1"/>
  <c r="D319" i="176" s="1"/>
  <c r="D320" i="176" s="1"/>
  <c r="E354" i="176"/>
  <c r="E355" i="176" s="1"/>
  <c r="E352" i="176"/>
  <c r="E353" i="176" s="1"/>
  <c r="E350" i="176"/>
  <c r="E351" i="176" s="1"/>
  <c r="E342" i="176"/>
  <c r="E343" i="176" s="1"/>
  <c r="E344" i="176" s="1"/>
  <c r="E345" i="176" s="1"/>
  <c r="E346" i="176" s="1"/>
  <c r="E347" i="176" s="1"/>
  <c r="E348" i="176" s="1"/>
  <c r="E349" i="176" s="1"/>
  <c r="E337" i="176"/>
  <c r="E338" i="176" s="1"/>
  <c r="E339" i="176" s="1"/>
  <c r="E340" i="176" s="1"/>
  <c r="E341" i="176" s="1"/>
  <c r="D336" i="176"/>
  <c r="D337" i="176" s="1"/>
  <c r="D338" i="176" s="1"/>
  <c r="D339" i="176" s="1"/>
  <c r="D340" i="176" s="1"/>
  <c r="E373" i="176"/>
  <c r="E374" i="176" s="1"/>
  <c r="E371" i="176"/>
  <c r="E372" i="176" s="1"/>
  <c r="E369" i="176"/>
  <c r="E370" i="176" s="1"/>
  <c r="E362" i="176"/>
  <c r="E363" i="176" s="1"/>
  <c r="E364" i="176" s="1"/>
  <c r="E365" i="176" s="1"/>
  <c r="E366" i="176" s="1"/>
  <c r="E367" i="176" s="1"/>
  <c r="E368" i="176" s="1"/>
  <c r="E357" i="176"/>
  <c r="E358" i="176" s="1"/>
  <c r="E359" i="176" s="1"/>
  <c r="E360" i="176" s="1"/>
  <c r="E361" i="176" s="1"/>
  <c r="D356" i="176"/>
  <c r="D357" i="176" s="1"/>
  <c r="D358" i="176" s="1"/>
  <c r="D359" i="176" s="1"/>
  <c r="D360" i="176" s="1"/>
  <c r="E388" i="176"/>
  <c r="E389" i="176" s="1"/>
  <c r="E386" i="176"/>
  <c r="E387" i="176" s="1"/>
  <c r="E380" i="176"/>
  <c r="E381" i="176" s="1"/>
  <c r="E382" i="176" s="1"/>
  <c r="E383" i="176" s="1"/>
  <c r="E384" i="176" s="1"/>
  <c r="E385" i="176" s="1"/>
  <c r="E376" i="176"/>
  <c r="E377" i="176" s="1"/>
  <c r="E378" i="176" s="1"/>
  <c r="E379" i="176" s="1"/>
  <c r="D375" i="176"/>
  <c r="D376" i="176" s="1"/>
  <c r="D377" i="176" s="1"/>
  <c r="D378" i="176" s="1"/>
  <c r="D379" i="176" s="1"/>
  <c r="D380" i="176" s="1"/>
  <c r="D381" i="176" s="1"/>
  <c r="D382" i="176" s="1"/>
  <c r="D383" i="176" s="1"/>
  <c r="D384" i="176" s="1"/>
  <c r="D385" i="176" s="1"/>
  <c r="D386" i="176" s="1"/>
  <c r="D387" i="176" s="1"/>
  <c r="E274" i="176"/>
  <c r="E275" i="176" s="1"/>
  <c r="E276" i="176" s="1"/>
  <c r="E271" i="176"/>
  <c r="E272" i="176" s="1"/>
  <c r="E273" i="176" s="1"/>
  <c r="E269" i="176"/>
  <c r="E270" i="176" s="1"/>
  <c r="E261" i="176"/>
  <c r="E262" i="176" s="1"/>
  <c r="E263" i="176" s="1"/>
  <c r="E264" i="176" s="1"/>
  <c r="E265" i="176" s="1"/>
  <c r="E266" i="176" s="1"/>
  <c r="E267" i="176" s="1"/>
  <c r="E256" i="176"/>
  <c r="E257" i="176" s="1"/>
  <c r="E258" i="176" s="1"/>
  <c r="E259" i="176" s="1"/>
  <c r="E260" i="176" s="1"/>
  <c r="D255" i="176"/>
  <c r="D256" i="176" s="1"/>
  <c r="D257" i="176" s="1"/>
  <c r="D258" i="176" s="1"/>
  <c r="D259" i="176" s="1"/>
  <c r="D260" i="176" s="1"/>
  <c r="D261" i="176" s="1"/>
  <c r="D262" i="176" s="1"/>
  <c r="D263" i="176" s="1"/>
  <c r="D264" i="176" s="1"/>
  <c r="D265" i="176" s="1"/>
  <c r="D266" i="176" s="1"/>
  <c r="D267" i="176" s="1"/>
  <c r="I59" i="212"/>
  <c r="G59" i="212"/>
  <c r="I58" i="212"/>
  <c r="G58" i="212"/>
  <c r="I57" i="212"/>
  <c r="G57" i="212"/>
  <c r="I56" i="212"/>
  <c r="G56" i="212"/>
  <c r="I50" i="212"/>
  <c r="I51" i="212"/>
  <c r="I52" i="212"/>
  <c r="J35" i="212"/>
  <c r="J34" i="212"/>
  <c r="J33" i="212"/>
  <c r="H34" i="212"/>
  <c r="H33" i="212"/>
  <c r="J47" i="212"/>
  <c r="H47" i="212"/>
  <c r="J46" i="212"/>
  <c r="H46" i="212"/>
  <c r="J45" i="212"/>
  <c r="H45" i="212"/>
  <c r="J43" i="212"/>
  <c r="H43" i="212"/>
  <c r="J42" i="212"/>
  <c r="H42" i="212"/>
  <c r="J41" i="212"/>
  <c r="H41" i="212"/>
  <c r="J39" i="212"/>
  <c r="H39" i="212"/>
  <c r="J38" i="212"/>
  <c r="H38" i="212"/>
  <c r="J37" i="212"/>
  <c r="H37" i="212"/>
  <c r="H35" i="212"/>
  <c r="H30" i="212"/>
  <c r="J30" i="212"/>
  <c r="J31" i="212"/>
  <c r="J29" i="212"/>
  <c r="H31" i="212"/>
  <c r="H29" i="212"/>
  <c r="I26" i="212"/>
  <c r="J35" i="143"/>
  <c r="I55" i="212"/>
  <c r="G55" i="212"/>
  <c r="G52" i="212"/>
  <c r="G51" i="212"/>
  <c r="G50" i="212"/>
  <c r="G26" i="212"/>
  <c r="I25" i="212"/>
  <c r="G25" i="212"/>
  <c r="I24" i="212"/>
  <c r="G24" i="212"/>
  <c r="I21" i="212"/>
  <c r="G21" i="212"/>
  <c r="I20" i="212"/>
  <c r="G20" i="212"/>
  <c r="I19" i="212"/>
  <c r="G19" i="212"/>
  <c r="K15" i="137"/>
  <c r="J20" i="137"/>
  <c r="H20" i="137"/>
  <c r="H19" i="137"/>
  <c r="K18" i="137"/>
  <c r="J18" i="137"/>
  <c r="I18" i="137"/>
  <c r="H18" i="137"/>
  <c r="J11" i="137"/>
  <c r="H11" i="137"/>
  <c r="K10" i="137"/>
  <c r="J10" i="137"/>
  <c r="I10" i="137"/>
  <c r="H10" i="137"/>
  <c r="J13" i="137"/>
  <c r="H13" i="137"/>
  <c r="I13" i="137" s="1"/>
  <c r="K12" i="137"/>
  <c r="J12" i="137"/>
  <c r="I12" i="137"/>
  <c r="H12" i="137"/>
  <c r="K14" i="137"/>
  <c r="J14" i="137"/>
  <c r="I14" i="137"/>
  <c r="H14" i="137"/>
  <c r="J9" i="137"/>
  <c r="J46" i="143"/>
  <c r="H46" i="143"/>
  <c r="J45" i="143"/>
  <c r="H45" i="143"/>
  <c r="J44" i="143"/>
  <c r="H44" i="143"/>
  <c r="J43" i="143"/>
  <c r="H43" i="143"/>
  <c r="J42" i="143"/>
  <c r="H42" i="143"/>
  <c r="J41" i="143"/>
  <c r="H41" i="143"/>
  <c r="J40" i="143"/>
  <c r="H40" i="143"/>
  <c r="J39" i="143"/>
  <c r="H39" i="143"/>
  <c r="J38" i="143"/>
  <c r="H38" i="143"/>
  <c r="J37" i="143"/>
  <c r="H37" i="143"/>
  <c r="J34" i="143"/>
  <c r="H34" i="143"/>
  <c r="J33" i="143"/>
  <c r="H33" i="143"/>
  <c r="J32" i="143"/>
  <c r="H32" i="143"/>
  <c r="J31" i="143"/>
  <c r="H31" i="143"/>
  <c r="J30" i="143"/>
  <c r="H30" i="143"/>
  <c r="J29" i="143"/>
  <c r="H29" i="143"/>
  <c r="J28" i="143"/>
  <c r="H28" i="143"/>
  <c r="J27" i="143"/>
  <c r="H27" i="143"/>
  <c r="J26" i="143"/>
  <c r="H26" i="143"/>
  <c r="J25" i="143"/>
  <c r="H25" i="143"/>
  <c r="I23" i="143"/>
  <c r="Q6" i="143" s="1"/>
  <c r="L16" i="392" s="1"/>
  <c r="K23" i="143"/>
  <c r="I53" i="392"/>
  <c r="J20" i="143"/>
  <c r="H20" i="143"/>
  <c r="J21" i="143"/>
  <c r="H21" i="143"/>
  <c r="J22" i="143"/>
  <c r="H22" i="143"/>
  <c r="J17" i="143"/>
  <c r="H17" i="143"/>
  <c r="J18" i="143"/>
  <c r="H18" i="143"/>
  <c r="J19" i="143"/>
  <c r="H19" i="143"/>
  <c r="C3" i="392"/>
  <c r="L338" i="176" l="1"/>
  <c r="N338" i="176" s="1"/>
  <c r="L39" i="392"/>
  <c r="N376" i="176"/>
  <c r="J61" i="212"/>
  <c r="M11" i="212"/>
  <c r="K38" i="392" s="1"/>
  <c r="P11" i="212"/>
  <c r="N258" i="176"/>
  <c r="Q13" i="143"/>
  <c r="L257" i="176"/>
  <c r="N257" i="176" s="1"/>
  <c r="D361" i="176"/>
  <c r="D362" i="176" s="1"/>
  <c r="D363" i="176" s="1"/>
  <c r="D364" i="176" s="1"/>
  <c r="D365" i="176" s="1"/>
  <c r="D366" i="176" s="1"/>
  <c r="D367" i="176" s="1"/>
  <c r="D368" i="176" s="1"/>
  <c r="D369" i="176" s="1"/>
  <c r="D370" i="176" s="1"/>
  <c r="D371" i="176" s="1"/>
  <c r="D372" i="176" s="1"/>
  <c r="D373" i="176" s="1"/>
  <c r="D374" i="176" s="1"/>
  <c r="D341" i="176"/>
  <c r="D342" i="176" s="1"/>
  <c r="D343" i="176" s="1"/>
  <c r="D344" i="176" s="1"/>
  <c r="D345" i="176" s="1"/>
  <c r="D346" i="176" s="1"/>
  <c r="D347" i="176" s="1"/>
  <c r="D348" i="176" s="1"/>
  <c r="D349" i="176" s="1"/>
  <c r="D350" i="176" s="1"/>
  <c r="D351" i="176" s="1"/>
  <c r="D352" i="176" s="1"/>
  <c r="D353" i="176" s="1"/>
  <c r="D354" i="176" s="1"/>
  <c r="D355" i="176" s="1"/>
  <c r="D321" i="176"/>
  <c r="D322" i="176" s="1"/>
  <c r="D323" i="176" s="1"/>
  <c r="D324" i="176" s="1"/>
  <c r="D325" i="176" s="1"/>
  <c r="D326" i="176" s="1"/>
  <c r="D327" i="176" s="1"/>
  <c r="D328" i="176" s="1"/>
  <c r="D329" i="176" s="1"/>
  <c r="D330" i="176" s="1"/>
  <c r="D331" i="176" s="1"/>
  <c r="D332" i="176" s="1"/>
  <c r="D333" i="176" s="1"/>
  <c r="D334" i="176" s="1"/>
  <c r="D335" i="176" s="1"/>
  <c r="D309" i="176"/>
  <c r="D310" i="176" s="1"/>
  <c r="D311" i="176" s="1"/>
  <c r="D312" i="176" s="1"/>
  <c r="D313" i="176" s="1"/>
  <c r="D314" i="176" s="1"/>
  <c r="D315" i="176" s="1"/>
  <c r="I11" i="137"/>
  <c r="S10" i="137"/>
  <c r="D388" i="176"/>
  <c r="D389" i="176" s="1"/>
  <c r="D283" i="176"/>
  <c r="D284" i="176" s="1"/>
  <c r="D285" i="176" s="1"/>
  <c r="D286" i="176" s="1"/>
  <c r="D287" i="176" s="1"/>
  <c r="D288" i="176" s="1"/>
  <c r="E316" i="176"/>
  <c r="E296" i="176"/>
  <c r="E356" i="176"/>
  <c r="E336" i="176"/>
  <c r="E375" i="176"/>
  <c r="L320" i="176" l="1"/>
  <c r="N320" i="176" s="1"/>
  <c r="L35" i="392"/>
  <c r="N359" i="176"/>
  <c r="L38" i="392"/>
  <c r="L339" i="176"/>
  <c r="N339" i="176" s="1"/>
  <c r="P14" i="212"/>
  <c r="D289" i="176"/>
  <c r="D290" i="176" s="1"/>
  <c r="D291" i="176" s="1"/>
  <c r="D292" i="176" s="1"/>
  <c r="D293" i="176" s="1"/>
  <c r="D294" i="176" s="1"/>
  <c r="D295" i="176" s="1"/>
  <c r="I9" i="137"/>
  <c r="S9" i="137"/>
  <c r="N317" i="176" l="1"/>
  <c r="L300" i="176"/>
  <c r="N300" i="176" s="1"/>
  <c r="L29" i="392"/>
  <c r="N337" i="176"/>
  <c r="I7" i="137"/>
  <c r="S8" i="137"/>
  <c r="N297" i="176" l="1"/>
  <c r="L280" i="176"/>
  <c r="N280" i="176" s="1"/>
  <c r="L23" i="392"/>
  <c r="S7" i="137"/>
  <c r="L17" i="392" s="1"/>
  <c r="L259" i="176" l="1"/>
  <c r="N259" i="176" s="1"/>
  <c r="N1315" i="176" l="1"/>
  <c r="N1313" i="176"/>
  <c r="N1312" i="176"/>
  <c r="N1308" i="176"/>
  <c r="N1310" i="176"/>
  <c r="N1304" i="176"/>
  <c r="N1213" i="176"/>
  <c r="N1212" i="176"/>
  <c r="N1211" i="176"/>
  <c r="N1209" i="176"/>
  <c r="N1207" i="176"/>
  <c r="N1206" i="176"/>
  <c r="N1202" i="176"/>
  <c r="N1201" i="176"/>
  <c r="N1200" i="176"/>
  <c r="N1199" i="176"/>
  <c r="N1197" i="176"/>
  <c r="N1195" i="176"/>
  <c r="N1194" i="176"/>
  <c r="N1188" i="176"/>
  <c r="N1297" i="176"/>
  <c r="N1295" i="176"/>
  <c r="N1293" i="176"/>
  <c r="N1177" i="176"/>
  <c r="N1175" i="176"/>
  <c r="N1161" i="176"/>
  <c r="N1182" i="176"/>
  <c r="N1181" i="176"/>
  <c r="N1156" i="176"/>
  <c r="N1029" i="176"/>
  <c r="N1027" i="176"/>
  <c r="N1026" i="176"/>
  <c r="N1025" i="176"/>
  <c r="N1018" i="176"/>
  <c r="N1016" i="176"/>
  <c r="N707" i="176"/>
  <c r="N706" i="176"/>
  <c r="N841" i="176"/>
  <c r="N839" i="176"/>
  <c r="N838" i="176"/>
  <c r="N836" i="176"/>
  <c r="N909" i="176"/>
  <c r="N718" i="176"/>
  <c r="N717" i="176"/>
  <c r="N715" i="176"/>
  <c r="N716" i="176"/>
  <c r="N596" i="176"/>
  <c r="N593" i="176"/>
  <c r="N592" i="176"/>
  <c r="N1281" i="176"/>
  <c r="N1279" i="176"/>
  <c r="N1277" i="176"/>
  <c r="N516" i="176"/>
  <c r="N588" i="176"/>
  <c r="N586" i="176"/>
  <c r="N584" i="176"/>
  <c r="N512" i="176"/>
  <c r="N510" i="176"/>
  <c r="N508" i="176"/>
  <c r="N506" i="176"/>
  <c r="N504" i="176"/>
  <c r="N502" i="176"/>
  <c r="N500" i="176"/>
  <c r="N619" i="176"/>
  <c r="N617" i="176"/>
  <c r="N616" i="176"/>
  <c r="N615" i="176"/>
  <c r="N613" i="176"/>
  <c r="N600" i="176"/>
  <c r="N603" i="176"/>
  <c r="N602" i="176"/>
  <c r="I253" i="176"/>
  <c r="I251" i="176"/>
  <c r="E203" i="176"/>
  <c r="E204" i="176" s="1"/>
  <c r="E205" i="176" s="1"/>
  <c r="E206" i="176" s="1"/>
  <c r="E207" i="176" s="1"/>
  <c r="E208" i="176" s="1"/>
  <c r="E209" i="176" s="1"/>
  <c r="E210" i="176" s="1"/>
  <c r="E211" i="176" s="1"/>
  <c r="E212" i="176" s="1"/>
  <c r="D203" i="176"/>
  <c r="D204" i="176" s="1"/>
  <c r="D205" i="176" s="1"/>
  <c r="D206" i="176" s="1"/>
  <c r="D207" i="176" s="1"/>
  <c r="D208" i="176" s="1"/>
  <c r="D209" i="176" s="1"/>
  <c r="D210" i="176" s="1"/>
  <c r="D211" i="176" s="1"/>
  <c r="D212" i="176" s="1"/>
  <c r="C203" i="176"/>
  <c r="C204" i="176" s="1"/>
  <c r="C205" i="176" s="1"/>
  <c r="C206" i="176" s="1"/>
  <c r="C207" i="176" s="1"/>
  <c r="C208" i="176" s="1"/>
  <c r="C209" i="176" s="1"/>
  <c r="C210" i="176" s="1"/>
  <c r="C211" i="176" s="1"/>
  <c r="C212" i="176" s="1"/>
  <c r="B203" i="176"/>
  <c r="B204" i="176" s="1"/>
  <c r="B205" i="176" s="1"/>
  <c r="B206" i="176" s="1"/>
  <c r="B207" i="176" s="1"/>
  <c r="B208" i="176" s="1"/>
  <c r="B209" i="176" s="1"/>
  <c r="B210" i="176" s="1"/>
  <c r="B211" i="176" s="1"/>
  <c r="B212" i="176" s="1"/>
  <c r="A203" i="176"/>
  <c r="L80" i="397"/>
  <c r="K80" i="397"/>
  <c r="K49" i="397" s="1"/>
  <c r="J80" i="397"/>
  <c r="L25" i="397"/>
  <c r="L24" i="397" s="1"/>
  <c r="J25" i="397"/>
  <c r="J24" i="397" s="1"/>
  <c r="L12" i="397"/>
  <c r="L11" i="397" s="1"/>
  <c r="K12" i="397"/>
  <c r="K11" i="397" s="1"/>
  <c r="J12" i="397"/>
  <c r="J11" i="397" s="1"/>
  <c r="L9" i="397"/>
  <c r="L8" i="397" s="1"/>
  <c r="K9" i="397"/>
  <c r="K8" i="397" s="1"/>
  <c r="J9" i="397"/>
  <c r="J8" i="397" s="1"/>
  <c r="K43" i="396"/>
  <c r="J43" i="396"/>
  <c r="K42" i="396"/>
  <c r="J42" i="396"/>
  <c r="K41" i="396"/>
  <c r="J41" i="396"/>
  <c r="J40" i="396"/>
  <c r="K38" i="396"/>
  <c r="J38" i="396"/>
  <c r="I37" i="396"/>
  <c r="K37" i="396" s="1"/>
  <c r="I36" i="396"/>
  <c r="J36" i="396" s="1"/>
  <c r="K14" i="396"/>
  <c r="K11" i="396"/>
  <c r="J14" i="396"/>
  <c r="J11" i="396"/>
  <c r="I9" i="396"/>
  <c r="I80" i="397"/>
  <c r="I25" i="397"/>
  <c r="I34" i="398"/>
  <c r="K32" i="398"/>
  <c r="I31" i="398"/>
  <c r="K31" i="398" s="1"/>
  <c r="B31" i="398"/>
  <c r="B32" i="398" s="1"/>
  <c r="I9" i="398"/>
  <c r="E35" i="398"/>
  <c r="B34" i="398"/>
  <c r="A31" i="398"/>
  <c r="A34" i="398" s="1"/>
  <c r="A30" i="398"/>
  <c r="A32" i="398" s="1"/>
  <c r="A33" i="398" s="1"/>
  <c r="B9" i="398"/>
  <c r="C2" i="398"/>
  <c r="C1" i="398"/>
  <c r="E93" i="397"/>
  <c r="B25" i="397"/>
  <c r="B12" i="397"/>
  <c r="B9" i="397"/>
  <c r="A8" i="397"/>
  <c r="C2" i="397"/>
  <c r="C1" i="397"/>
  <c r="B40" i="396"/>
  <c r="B41" i="396" s="1"/>
  <c r="B42" i="396" s="1"/>
  <c r="B43" i="396" s="1"/>
  <c r="B36" i="396"/>
  <c r="B37" i="396" s="1"/>
  <c r="B38" i="396" s="1"/>
  <c r="A36" i="396"/>
  <c r="A38" i="396" s="1"/>
  <c r="A40" i="396" s="1"/>
  <c r="A42" i="396" s="1"/>
  <c r="A35" i="396"/>
  <c r="A37" i="396" s="1"/>
  <c r="A39" i="396" s="1"/>
  <c r="A41" i="396" s="1"/>
  <c r="A43" i="396" s="1"/>
  <c r="I13" i="396"/>
  <c r="I12" i="396" s="1"/>
  <c r="I10" i="396"/>
  <c r="J10" i="396" s="1"/>
  <c r="B13" i="396"/>
  <c r="B14" i="396" s="1"/>
  <c r="B9" i="396"/>
  <c r="B10" i="396" s="1"/>
  <c r="B11" i="396" s="1"/>
  <c r="N1280" i="176" l="1"/>
  <c r="N1155" i="176"/>
  <c r="N1205" i="176"/>
  <c r="H135" i="397"/>
  <c r="H123" i="397"/>
  <c r="G123" i="397" s="1"/>
  <c r="J123" i="397" s="1"/>
  <c r="N1173" i="176"/>
  <c r="N1180" i="176"/>
  <c r="N1015" i="176"/>
  <c r="N1296" i="176"/>
  <c r="N1309" i="176"/>
  <c r="N1314" i="176"/>
  <c r="N1294" i="176"/>
  <c r="N1303" i="176"/>
  <c r="N1276" i="176"/>
  <c r="N1307" i="176"/>
  <c r="N515" i="176"/>
  <c r="N1278" i="176"/>
  <c r="N1292" i="176"/>
  <c r="N1028" i="176"/>
  <c r="N908" i="176"/>
  <c r="N840" i="176"/>
  <c r="N1208" i="176"/>
  <c r="N599" i="176"/>
  <c r="N835" i="176"/>
  <c r="N612" i="176"/>
  <c r="N1187" i="176"/>
  <c r="N594" i="176"/>
  <c r="N1311" i="176"/>
  <c r="N705" i="176"/>
  <c r="N714" i="176"/>
  <c r="N837" i="176"/>
  <c r="N601" i="176"/>
  <c r="N614" i="176"/>
  <c r="N1210" i="176"/>
  <c r="N1198" i="176"/>
  <c r="N1193" i="176"/>
  <c r="N1024" i="176"/>
  <c r="N587" i="176"/>
  <c r="N585" i="176"/>
  <c r="N511" i="176"/>
  <c r="N499" i="176"/>
  <c r="N583" i="176"/>
  <c r="N591" i="176"/>
  <c r="N509" i="176"/>
  <c r="N507" i="176"/>
  <c r="N503" i="176"/>
  <c r="N505" i="176"/>
  <c r="N501" i="176"/>
  <c r="H118" i="397"/>
  <c r="H149" i="397"/>
  <c r="H148" i="397"/>
  <c r="H139" i="397"/>
  <c r="H136" i="397"/>
  <c r="H132" i="397"/>
  <c r="H129" i="397"/>
  <c r="H124" i="397"/>
  <c r="H138" i="397"/>
  <c r="H157" i="397"/>
  <c r="G157" i="397" s="1"/>
  <c r="J157" i="397" s="1"/>
  <c r="H131" i="397"/>
  <c r="H126" i="397"/>
  <c r="H133" i="397"/>
  <c r="H128" i="397"/>
  <c r="H125" i="397"/>
  <c r="H137" i="397"/>
  <c r="H134" i="397"/>
  <c r="H130" i="397"/>
  <c r="H127" i="397"/>
  <c r="H100" i="397"/>
  <c r="H110" i="397"/>
  <c r="H103" i="397"/>
  <c r="H119" i="397"/>
  <c r="H117" i="397"/>
  <c r="H112" i="397"/>
  <c r="H113" i="397"/>
  <c r="H114" i="397"/>
  <c r="H107" i="397"/>
  <c r="H116" i="397"/>
  <c r="H102" i="397"/>
  <c r="H111" i="397"/>
  <c r="H101" i="397"/>
  <c r="H104" i="397"/>
  <c r="H106" i="397"/>
  <c r="H115" i="397"/>
  <c r="H109" i="397"/>
  <c r="H108" i="397"/>
  <c r="H105" i="397"/>
  <c r="I8" i="398"/>
  <c r="I7" i="398" s="1"/>
  <c r="J9" i="396"/>
  <c r="J8" i="396" s="1"/>
  <c r="K9" i="396"/>
  <c r="I33" i="398"/>
  <c r="K13" i="396"/>
  <c r="K12" i="396" s="1"/>
  <c r="J13" i="396"/>
  <c r="J12" i="396" s="1"/>
  <c r="K10" i="396"/>
  <c r="K8" i="396" s="1"/>
  <c r="J39" i="396"/>
  <c r="A11" i="397"/>
  <c r="A13" i="397" s="1"/>
  <c r="A15" i="397" s="1"/>
  <c r="A17" i="397" s="1"/>
  <c r="A19" i="397" s="1"/>
  <c r="A21" i="397" s="1"/>
  <c r="A10" i="397"/>
  <c r="B10" i="397"/>
  <c r="B26" i="397" s="1"/>
  <c r="B13" i="397"/>
  <c r="B14" i="397" s="1"/>
  <c r="B15" i="397" s="1"/>
  <c r="B16" i="397" s="1"/>
  <c r="B17" i="397" s="1"/>
  <c r="B18" i="397" s="1"/>
  <c r="E213" i="176"/>
  <c r="B213" i="176"/>
  <c r="C213" i="176"/>
  <c r="D213" i="176"/>
  <c r="D215" i="176" s="1"/>
  <c r="D216" i="176" s="1"/>
  <c r="D217" i="176" s="1"/>
  <c r="D221" i="176" s="1"/>
  <c r="D222" i="176" s="1"/>
  <c r="D223" i="176" s="1"/>
  <c r="D224" i="176" s="1"/>
  <c r="D225" i="176" s="1"/>
  <c r="D226" i="176" s="1"/>
  <c r="D214" i="176" s="1"/>
  <c r="D227" i="176" s="1"/>
  <c r="D228" i="176" s="1"/>
  <c r="D229" i="176" s="1"/>
  <c r="D230" i="176" s="1"/>
  <c r="D231" i="176" s="1"/>
  <c r="D232" i="176" s="1"/>
  <c r="D233" i="176" s="1"/>
  <c r="D234" i="176" s="1"/>
  <c r="D235" i="176" s="1"/>
  <c r="E390" i="176"/>
  <c r="E391" i="176" s="1"/>
  <c r="E392" i="176" s="1"/>
  <c r="E393" i="176" s="1"/>
  <c r="E394" i="176" s="1"/>
  <c r="E395" i="176" s="1"/>
  <c r="E396" i="176" s="1"/>
  <c r="E397" i="176" s="1"/>
  <c r="C390" i="176"/>
  <c r="C391" i="176" s="1"/>
  <c r="C392" i="176" s="1"/>
  <c r="C393" i="176" s="1"/>
  <c r="C394" i="176" s="1"/>
  <c r="C395" i="176" s="1"/>
  <c r="C396" i="176" s="1"/>
  <c r="C397" i="176" s="1"/>
  <c r="I208" i="176"/>
  <c r="I209" i="176"/>
  <c r="I210" i="176"/>
  <c r="I211" i="176"/>
  <c r="I212" i="176"/>
  <c r="I207" i="176"/>
  <c r="I203" i="176"/>
  <c r="I204" i="176"/>
  <c r="I205" i="176"/>
  <c r="I206" i="176"/>
  <c r="A204" i="176"/>
  <c r="A9" i="398"/>
  <c r="K9" i="398"/>
  <c r="K8" i="398" s="1"/>
  <c r="K7" i="398" s="1"/>
  <c r="K30" i="398"/>
  <c r="K40" i="396"/>
  <c r="K39" i="396" s="1"/>
  <c r="I39" i="396"/>
  <c r="K36" i="396"/>
  <c r="K35" i="396" s="1"/>
  <c r="J37" i="396"/>
  <c r="J35" i="396" s="1"/>
  <c r="I35" i="396"/>
  <c r="K34" i="398"/>
  <c r="K33" i="398" s="1"/>
  <c r="I30" i="398"/>
  <c r="I8" i="396"/>
  <c r="I7" i="396" s="1"/>
  <c r="I48" i="396" l="1"/>
  <c r="N498" i="176"/>
  <c r="N1291" i="176"/>
  <c r="N1275" i="176"/>
  <c r="N514" i="176"/>
  <c r="N598" i="176"/>
  <c r="N834" i="176"/>
  <c r="N704" i="176"/>
  <c r="N1186" i="176"/>
  <c r="N893" i="176"/>
  <c r="N1192" i="176"/>
  <c r="N580" i="176"/>
  <c r="N590" i="176"/>
  <c r="I29" i="398"/>
  <c r="I143" i="397"/>
  <c r="G124" i="397"/>
  <c r="J124" i="397" s="1"/>
  <c r="G139" i="397"/>
  <c r="J139" i="397" s="1"/>
  <c r="G126" i="397"/>
  <c r="J126" i="397" s="1"/>
  <c r="G134" i="397"/>
  <c r="J134" i="397" s="1"/>
  <c r="G133" i="397"/>
  <c r="J133" i="397" s="1"/>
  <c r="G131" i="397"/>
  <c r="J131" i="397" s="1"/>
  <c r="G129" i="397"/>
  <c r="J129" i="397" s="1"/>
  <c r="G128" i="397"/>
  <c r="J128" i="397" s="1"/>
  <c r="G137" i="397"/>
  <c r="J137" i="397" s="1"/>
  <c r="G135" i="397"/>
  <c r="J135" i="397" s="1"/>
  <c r="G132" i="397"/>
  <c r="J132" i="397" s="1"/>
  <c r="G130" i="397"/>
  <c r="J130" i="397" s="1"/>
  <c r="G127" i="397"/>
  <c r="J127" i="397" s="1"/>
  <c r="G125" i="397"/>
  <c r="J125" i="397" s="1"/>
  <c r="G138" i="397"/>
  <c r="J138" i="397" s="1"/>
  <c r="G136" i="397"/>
  <c r="J136" i="397" s="1"/>
  <c r="G100" i="397"/>
  <c r="J100" i="397" s="1"/>
  <c r="G148" i="397"/>
  <c r="J148" i="397" s="1"/>
  <c r="G118" i="397"/>
  <c r="J118" i="397" s="1"/>
  <c r="G108" i="397"/>
  <c r="J108" i="397" s="1"/>
  <c r="G111" i="397"/>
  <c r="J111" i="397" s="1"/>
  <c r="G114" i="397"/>
  <c r="J114" i="397" s="1"/>
  <c r="G112" i="397"/>
  <c r="J112" i="397" s="1"/>
  <c r="G104" i="397"/>
  <c r="J104" i="397" s="1"/>
  <c r="G117" i="397"/>
  <c r="J117" i="397" s="1"/>
  <c r="G110" i="397"/>
  <c r="J110" i="397" s="1"/>
  <c r="G105" i="397"/>
  <c r="J105" i="397" s="1"/>
  <c r="G109" i="397"/>
  <c r="J109" i="397" s="1"/>
  <c r="G106" i="397"/>
  <c r="J106" i="397" s="1"/>
  <c r="G149" i="397"/>
  <c r="J149" i="397" s="1"/>
  <c r="G116" i="397"/>
  <c r="J116" i="397" s="1"/>
  <c r="G107" i="397"/>
  <c r="J107" i="397" s="1"/>
  <c r="G119" i="397"/>
  <c r="J119" i="397" s="1"/>
  <c r="G115" i="397"/>
  <c r="J115" i="397" s="1"/>
  <c r="G101" i="397"/>
  <c r="J101" i="397" s="1"/>
  <c r="G102" i="397"/>
  <c r="J102" i="397" s="1"/>
  <c r="G113" i="397"/>
  <c r="J113" i="397" s="1"/>
  <c r="G103" i="397"/>
  <c r="J103" i="397" s="1"/>
  <c r="B27" i="397"/>
  <c r="B28" i="397" s="1"/>
  <c r="B43" i="397"/>
  <c r="K7" i="396"/>
  <c r="K29" i="398"/>
  <c r="K35" i="398" s="1"/>
  <c r="I34" i="396"/>
  <c r="B19" i="397"/>
  <c r="B20" i="397" s="1"/>
  <c r="B21" i="397" s="1"/>
  <c r="B22" i="397" s="1"/>
  <c r="B30" i="397" s="1"/>
  <c r="B39" i="397" s="1"/>
  <c r="B47" i="397" s="1"/>
  <c r="B57" i="397" s="1"/>
  <c r="B79" i="397" s="1"/>
  <c r="B80" i="397" s="1"/>
  <c r="B86" i="397" s="1"/>
  <c r="B34" i="397"/>
  <c r="K7" i="397"/>
  <c r="D238" i="176"/>
  <c r="D239" i="176" s="1"/>
  <c r="D236" i="176"/>
  <c r="D237" i="176" s="1"/>
  <c r="E221" i="176"/>
  <c r="I213" i="176"/>
  <c r="A205" i="176"/>
  <c r="K34" i="396"/>
  <c r="J34" i="396"/>
  <c r="K48" i="396" l="1"/>
  <c r="N1191" i="176"/>
  <c r="J120" i="397"/>
  <c r="N1290" i="176"/>
  <c r="N513" i="176"/>
  <c r="N1274" i="176"/>
  <c r="N589" i="176"/>
  <c r="N579" i="176"/>
  <c r="N892" i="176"/>
  <c r="N833" i="176"/>
  <c r="N1185" i="176"/>
  <c r="N703" i="176"/>
  <c r="N597" i="176"/>
  <c r="L1159" i="176"/>
  <c r="N497" i="176"/>
  <c r="F55" i="398"/>
  <c r="E47" i="398"/>
  <c r="H47" i="398" s="1"/>
  <c r="E55" i="398"/>
  <c r="E43" i="398"/>
  <c r="H43" i="398" s="1"/>
  <c r="E45" i="398"/>
  <c r="H45" i="398" s="1"/>
  <c r="E46" i="398"/>
  <c r="H46" i="398" s="1"/>
  <c r="E41" i="398"/>
  <c r="H41" i="398" s="1"/>
  <c r="E40" i="398"/>
  <c r="H40" i="398" s="1"/>
  <c r="F47" i="398"/>
  <c r="E44" i="398"/>
  <c r="H44" i="398" s="1"/>
  <c r="E42" i="398"/>
  <c r="H42" i="398" s="1"/>
  <c r="F41" i="398"/>
  <c r="F46" i="398"/>
  <c r="F45" i="398"/>
  <c r="F44" i="398"/>
  <c r="F40" i="398"/>
  <c r="F43" i="398"/>
  <c r="F42" i="398"/>
  <c r="I35" i="398"/>
  <c r="I152" i="397"/>
  <c r="J140" i="397"/>
  <c r="E57" i="396"/>
  <c r="E56" i="396"/>
  <c r="E55" i="396"/>
  <c r="E54" i="396"/>
  <c r="E53" i="396"/>
  <c r="B89" i="397"/>
  <c r="B87" i="397"/>
  <c r="B88" i="397" s="1"/>
  <c r="B44" i="397"/>
  <c r="B45" i="397" s="1"/>
  <c r="B54" i="397" s="1"/>
  <c r="B66" i="397"/>
  <c r="B75" i="397" s="1"/>
  <c r="B36" i="397"/>
  <c r="B37" i="397" s="1"/>
  <c r="B35" i="397"/>
  <c r="B51" i="397"/>
  <c r="B61" i="397" s="1"/>
  <c r="D240" i="176"/>
  <c r="D241" i="176" s="1"/>
  <c r="D242" i="176" s="1"/>
  <c r="E222" i="176"/>
  <c r="A206" i="176"/>
  <c r="G50" i="398" l="1"/>
  <c r="H48" i="398"/>
  <c r="D243" i="176"/>
  <c r="D244" i="176" s="1"/>
  <c r="D245" i="176" s="1"/>
  <c r="D246" i="176" s="1"/>
  <c r="D247" i="176" s="1"/>
  <c r="D248" i="176" s="1"/>
  <c r="D249" i="176" s="1"/>
  <c r="D268" i="176"/>
  <c r="H55" i="398"/>
  <c r="L1172" i="176"/>
  <c r="N1172" i="176" s="1"/>
  <c r="G57" i="396"/>
  <c r="L1168" i="176"/>
  <c r="G56" i="396"/>
  <c r="L1167" i="176"/>
  <c r="N1167" i="176" s="1"/>
  <c r="G54" i="396"/>
  <c r="L1165" i="176"/>
  <c r="N1165" i="176" s="1"/>
  <c r="G55" i="396"/>
  <c r="L1166" i="176"/>
  <c r="N1166" i="176" s="1"/>
  <c r="G53" i="396"/>
  <c r="L1164" i="176"/>
  <c r="I153" i="397"/>
  <c r="L1160" i="176"/>
  <c r="I144" i="397"/>
  <c r="B67" i="397"/>
  <c r="B74" i="397"/>
  <c r="B52" i="397"/>
  <c r="B62" i="397" s="1"/>
  <c r="B69" i="397" s="1"/>
  <c r="E223" i="176"/>
  <c r="E48" i="396"/>
  <c r="A9" i="396"/>
  <c r="A11" i="396" s="1"/>
  <c r="A13" i="396" s="1"/>
  <c r="A8" i="396"/>
  <c r="A10" i="396" s="1"/>
  <c r="A12" i="396" s="1"/>
  <c r="A14" i="396" s="1"/>
  <c r="C2" i="396"/>
  <c r="C1" i="396"/>
  <c r="N1171" i="176" l="1"/>
  <c r="L1184" i="176"/>
  <c r="M1160" i="176"/>
  <c r="N1160" i="176" s="1"/>
  <c r="L1162" i="176"/>
  <c r="N1168" i="176"/>
  <c r="N1170" i="176"/>
  <c r="D250" i="176"/>
  <c r="D251" i="176" s="1"/>
  <c r="D252" i="176" s="1"/>
  <c r="D253" i="176" s="1"/>
  <c r="D254" i="176" s="1"/>
  <c r="D390" i="176" s="1"/>
  <c r="D391" i="176" s="1"/>
  <c r="D392" i="176" s="1"/>
  <c r="D393" i="176" s="1"/>
  <c r="D394" i="176" s="1"/>
  <c r="D395" i="176" s="1"/>
  <c r="D396" i="176" s="1"/>
  <c r="D397" i="176" s="1"/>
  <c r="D269" i="176"/>
  <c r="D270" i="176" s="1"/>
  <c r="D271" i="176" s="1"/>
  <c r="D272" i="176" s="1"/>
  <c r="D273" i="176" s="1"/>
  <c r="D274" i="176" s="1"/>
  <c r="D275" i="176" s="1"/>
  <c r="G51" i="398"/>
  <c r="N1164" i="176"/>
  <c r="M1159" i="176"/>
  <c r="N1159" i="176" s="1"/>
  <c r="B68" i="397"/>
  <c r="B77" i="397" s="1"/>
  <c r="B76" i="397"/>
  <c r="B53" i="397"/>
  <c r="B55" i="397" s="1"/>
  <c r="E224" i="176"/>
  <c r="A207" i="176"/>
  <c r="J7" i="396"/>
  <c r="J48" i="396" s="1"/>
  <c r="N1169" i="176" l="1"/>
  <c r="N1163" i="176"/>
  <c r="M1162" i="176"/>
  <c r="N1162" i="176" s="1"/>
  <c r="N1184" i="176"/>
  <c r="A208" i="176"/>
  <c r="N1183" i="176" l="1"/>
  <c r="N1158" i="176"/>
  <c r="A209" i="176"/>
  <c r="C2" i="395"/>
  <c r="B2" i="412" s="1"/>
  <c r="C1" i="395"/>
  <c r="B1" i="412" s="1"/>
  <c r="K19" i="211"/>
  <c r="N1154" i="176" l="1"/>
  <c r="A210" i="176"/>
  <c r="E225" i="176"/>
  <c r="E226" i="176" s="1"/>
  <c r="N1153" i="176" l="1"/>
  <c r="A211" i="176"/>
  <c r="L6" i="393"/>
  <c r="M6" i="393" s="1"/>
  <c r="A212" i="176" l="1"/>
  <c r="A213" i="176" s="1"/>
  <c r="E214" i="176"/>
  <c r="N253" i="176"/>
  <c r="A7" i="360"/>
  <c r="N252" i="176" l="1"/>
  <c r="E227" i="176"/>
  <c r="E228" i="176" s="1"/>
  <c r="E229" i="176" s="1"/>
  <c r="E230" i="176" s="1"/>
  <c r="E215" i="176"/>
  <c r="E216" i="176" s="1"/>
  <c r="E217" i="176" s="1"/>
  <c r="E218" i="176" s="1"/>
  <c r="A7" i="211"/>
  <c r="C68" i="179"/>
  <c r="P46" i="179"/>
  <c r="S46" i="179" s="1"/>
  <c r="N46" i="179"/>
  <c r="I46" i="179"/>
  <c r="L46" i="179" s="1"/>
  <c r="H46" i="179"/>
  <c r="J46" i="179" s="1"/>
  <c r="P19" i="179"/>
  <c r="S19" i="179" s="1"/>
  <c r="N19" i="179"/>
  <c r="I19" i="179"/>
  <c r="L19" i="179" s="1"/>
  <c r="H19" i="179"/>
  <c r="J19" i="179" s="1"/>
  <c r="P18" i="179"/>
  <c r="S18" i="179" s="1"/>
  <c r="N18" i="179"/>
  <c r="I18" i="179"/>
  <c r="L18" i="179" s="1"/>
  <c r="H18" i="179"/>
  <c r="J18" i="179" s="1"/>
  <c r="P17" i="179"/>
  <c r="S17" i="179" s="1"/>
  <c r="N17" i="179"/>
  <c r="I17" i="179"/>
  <c r="L17" i="179" s="1"/>
  <c r="H17" i="179"/>
  <c r="J17" i="179" s="1"/>
  <c r="P16" i="179"/>
  <c r="S16" i="179" s="1"/>
  <c r="N16" i="179"/>
  <c r="I16" i="179"/>
  <c r="L16" i="179" s="1"/>
  <c r="H16" i="179"/>
  <c r="J16" i="179" s="1"/>
  <c r="P15" i="179"/>
  <c r="S15" i="179" s="1"/>
  <c r="N15" i="179"/>
  <c r="I15" i="179"/>
  <c r="L15" i="179" s="1"/>
  <c r="H15" i="179"/>
  <c r="J15" i="179" s="1"/>
  <c r="P14" i="179"/>
  <c r="S14" i="179" s="1"/>
  <c r="N14" i="179"/>
  <c r="I14" i="179"/>
  <c r="L14" i="179" s="1"/>
  <c r="H14" i="179"/>
  <c r="J14" i="179" s="1"/>
  <c r="P25" i="179"/>
  <c r="S25" i="179" s="1"/>
  <c r="N25" i="179"/>
  <c r="I25" i="179"/>
  <c r="L25" i="179" s="1"/>
  <c r="H25" i="179"/>
  <c r="J25" i="179" s="1"/>
  <c r="P24" i="179"/>
  <c r="S24" i="179" s="1"/>
  <c r="N24" i="179"/>
  <c r="I24" i="179"/>
  <c r="L24" i="179" s="1"/>
  <c r="H24" i="179"/>
  <c r="J24" i="179" s="1"/>
  <c r="P23" i="179"/>
  <c r="S23" i="179" s="1"/>
  <c r="N23" i="179"/>
  <c r="I23" i="179"/>
  <c r="L23" i="179" s="1"/>
  <c r="H23" i="179"/>
  <c r="J23" i="179" s="1"/>
  <c r="P22" i="179"/>
  <c r="S22" i="179" s="1"/>
  <c r="N22" i="179"/>
  <c r="I22" i="179"/>
  <c r="L22" i="179" s="1"/>
  <c r="H22" i="179"/>
  <c r="J22" i="179" s="1"/>
  <c r="P21" i="179"/>
  <c r="S21" i="179" s="1"/>
  <c r="N21" i="179"/>
  <c r="I21" i="179"/>
  <c r="L21" i="179" s="1"/>
  <c r="H21" i="179"/>
  <c r="J21" i="179" s="1"/>
  <c r="P20" i="179"/>
  <c r="S20" i="179" s="1"/>
  <c r="N20" i="179"/>
  <c r="I20" i="179"/>
  <c r="L20" i="179" s="1"/>
  <c r="H20" i="179"/>
  <c r="J20" i="179" s="1"/>
  <c r="P31" i="179"/>
  <c r="S31" i="179" s="1"/>
  <c r="N31" i="179"/>
  <c r="I31" i="179"/>
  <c r="L31" i="179" s="1"/>
  <c r="H31" i="179"/>
  <c r="J31" i="179" s="1"/>
  <c r="P30" i="179"/>
  <c r="S30" i="179" s="1"/>
  <c r="N30" i="179"/>
  <c r="I30" i="179"/>
  <c r="L30" i="179" s="1"/>
  <c r="H30" i="179"/>
  <c r="P29" i="179"/>
  <c r="S29" i="179" s="1"/>
  <c r="N29" i="179"/>
  <c r="I29" i="179"/>
  <c r="L29" i="179" s="1"/>
  <c r="H29" i="179"/>
  <c r="J29" i="179" s="1"/>
  <c r="P28" i="179"/>
  <c r="S28" i="179" s="1"/>
  <c r="N28" i="179"/>
  <c r="I28" i="179"/>
  <c r="L28" i="179" s="1"/>
  <c r="H28" i="179"/>
  <c r="J28" i="179" s="1"/>
  <c r="P27" i="179"/>
  <c r="S27" i="179" s="1"/>
  <c r="N27" i="179"/>
  <c r="I27" i="179"/>
  <c r="L27" i="179" s="1"/>
  <c r="H27" i="179"/>
  <c r="J27" i="179" s="1"/>
  <c r="P26" i="179"/>
  <c r="S26" i="179" s="1"/>
  <c r="N26" i="179"/>
  <c r="I26" i="179"/>
  <c r="L26" i="179" s="1"/>
  <c r="H26" i="179"/>
  <c r="J26" i="179" s="1"/>
  <c r="P37" i="179"/>
  <c r="S37" i="179" s="1"/>
  <c r="N37" i="179"/>
  <c r="I37" i="179"/>
  <c r="L37" i="179" s="1"/>
  <c r="H37" i="179"/>
  <c r="J37" i="179" s="1"/>
  <c r="P36" i="179"/>
  <c r="S36" i="179" s="1"/>
  <c r="N36" i="179"/>
  <c r="I36" i="179"/>
  <c r="L36" i="179" s="1"/>
  <c r="H36" i="179"/>
  <c r="J36" i="179" s="1"/>
  <c r="P35" i="179"/>
  <c r="S35" i="179" s="1"/>
  <c r="N35" i="179"/>
  <c r="I35" i="179"/>
  <c r="L35" i="179" s="1"/>
  <c r="H35" i="179"/>
  <c r="J35" i="179" s="1"/>
  <c r="P34" i="179"/>
  <c r="S34" i="179" s="1"/>
  <c r="N34" i="179"/>
  <c r="I34" i="179"/>
  <c r="L34" i="179" s="1"/>
  <c r="H34" i="179"/>
  <c r="J34" i="179" s="1"/>
  <c r="P33" i="179"/>
  <c r="S33" i="179" s="1"/>
  <c r="N33" i="179"/>
  <c r="I33" i="179"/>
  <c r="L33" i="179" s="1"/>
  <c r="H33" i="179"/>
  <c r="P32" i="179"/>
  <c r="S32" i="179" s="1"/>
  <c r="N32" i="179"/>
  <c r="I32" i="179"/>
  <c r="L32" i="179" s="1"/>
  <c r="H32" i="179"/>
  <c r="J32" i="179" s="1"/>
  <c r="P43" i="179"/>
  <c r="S43" i="179" s="1"/>
  <c r="N43" i="179"/>
  <c r="I43" i="179"/>
  <c r="L43" i="179" s="1"/>
  <c r="H43" i="179"/>
  <c r="J43" i="179" s="1"/>
  <c r="P42" i="179"/>
  <c r="S42" i="179" s="1"/>
  <c r="N42" i="179"/>
  <c r="I42" i="179"/>
  <c r="L42" i="179" s="1"/>
  <c r="H42" i="179"/>
  <c r="J42" i="179" s="1"/>
  <c r="P41" i="179"/>
  <c r="S41" i="179" s="1"/>
  <c r="N41" i="179"/>
  <c r="I41" i="179"/>
  <c r="L41" i="179" s="1"/>
  <c r="H41" i="179"/>
  <c r="J41" i="179" s="1"/>
  <c r="P40" i="179"/>
  <c r="S40" i="179" s="1"/>
  <c r="N40" i="179"/>
  <c r="I40" i="179"/>
  <c r="L40" i="179" s="1"/>
  <c r="H40" i="179"/>
  <c r="J40" i="179" s="1"/>
  <c r="P39" i="179"/>
  <c r="S39" i="179" s="1"/>
  <c r="N39" i="179"/>
  <c r="I39" i="179"/>
  <c r="L39" i="179" s="1"/>
  <c r="H39" i="179"/>
  <c r="J39" i="179" s="1"/>
  <c r="P38" i="179"/>
  <c r="S38" i="179" s="1"/>
  <c r="N38" i="179"/>
  <c r="I38" i="179"/>
  <c r="L38" i="179" s="1"/>
  <c r="H38" i="179"/>
  <c r="P45" i="179"/>
  <c r="S45" i="179" s="1"/>
  <c r="N45" i="179"/>
  <c r="I45" i="179"/>
  <c r="L45" i="179" s="1"/>
  <c r="H45" i="179"/>
  <c r="J45" i="179" s="1"/>
  <c r="P44" i="179"/>
  <c r="S44" i="179" s="1"/>
  <c r="N44" i="179"/>
  <c r="I44" i="179"/>
  <c r="L44" i="179" s="1"/>
  <c r="H44" i="179"/>
  <c r="H12" i="179"/>
  <c r="I12" i="179"/>
  <c r="L12" i="179" s="1"/>
  <c r="N12" i="179"/>
  <c r="P12" i="179"/>
  <c r="S12" i="179" s="1"/>
  <c r="H13" i="179"/>
  <c r="I13" i="179"/>
  <c r="L13" i="179" s="1"/>
  <c r="N13" i="179"/>
  <c r="P13" i="179"/>
  <c r="S13" i="179" s="1"/>
  <c r="J30" i="179" l="1"/>
  <c r="K30" i="179" s="1"/>
  <c r="J38" i="179"/>
  <c r="K38" i="179" s="1"/>
  <c r="J33" i="179"/>
  <c r="K33" i="179" s="1"/>
  <c r="J44" i="179"/>
  <c r="K44" i="179" s="1"/>
  <c r="J12" i="179"/>
  <c r="K12" i="179" s="1"/>
  <c r="J13" i="179"/>
  <c r="K18" i="179"/>
  <c r="K46" i="179"/>
  <c r="K40" i="179"/>
  <c r="K15" i="179"/>
  <c r="K17" i="179"/>
  <c r="K19" i="179"/>
  <c r="K16" i="179"/>
  <c r="K14" i="179"/>
  <c r="K23" i="179"/>
  <c r="K24" i="179"/>
  <c r="K25" i="179"/>
  <c r="K21" i="179"/>
  <c r="K20" i="179"/>
  <c r="K22" i="179"/>
  <c r="K26" i="179"/>
  <c r="K29" i="179"/>
  <c r="K28" i="179"/>
  <c r="K27" i="179"/>
  <c r="K31" i="179"/>
  <c r="K32" i="179"/>
  <c r="K37" i="179"/>
  <c r="K35" i="179"/>
  <c r="K36" i="179"/>
  <c r="K34" i="179"/>
  <c r="K41" i="179"/>
  <c r="K42" i="179"/>
  <c r="K39" i="179"/>
  <c r="K43" i="179"/>
  <c r="K45" i="179"/>
  <c r="K13" i="179"/>
  <c r="E231" i="176" l="1"/>
  <c r="E232" i="176" s="1"/>
  <c r="S32" i="186"/>
  <c r="Q32" i="186"/>
  <c r="M32" i="186"/>
  <c r="P32" i="186" s="1"/>
  <c r="L32" i="186"/>
  <c r="S33" i="186"/>
  <c r="Q33" i="186"/>
  <c r="M33" i="186"/>
  <c r="P33" i="186" s="1"/>
  <c r="L33" i="186"/>
  <c r="E233" i="176" l="1"/>
  <c r="N32" i="186"/>
  <c r="O32" i="186" s="1"/>
  <c r="N33" i="186"/>
  <c r="O33" i="186" s="1"/>
  <c r="S28" i="186"/>
  <c r="Q28" i="186"/>
  <c r="M28" i="186"/>
  <c r="P28" i="186" s="1"/>
  <c r="L28" i="186"/>
  <c r="S15" i="186"/>
  <c r="Q15" i="186"/>
  <c r="M15" i="186"/>
  <c r="P15" i="186" s="1"/>
  <c r="L15" i="186"/>
  <c r="S14" i="186"/>
  <c r="Q14" i="186"/>
  <c r="M14" i="186"/>
  <c r="P14" i="186" s="1"/>
  <c r="L14" i="186"/>
  <c r="S13" i="186"/>
  <c r="Q13" i="186"/>
  <c r="M13" i="186"/>
  <c r="P13" i="186" s="1"/>
  <c r="L13" i="186"/>
  <c r="S12" i="186"/>
  <c r="Q12" i="186"/>
  <c r="M12" i="186"/>
  <c r="P12" i="186" s="1"/>
  <c r="L12" i="186"/>
  <c r="S11" i="186"/>
  <c r="Q11" i="186"/>
  <c r="M11" i="186"/>
  <c r="P11" i="186" s="1"/>
  <c r="L11" i="186"/>
  <c r="S10" i="186"/>
  <c r="Q10" i="186"/>
  <c r="M10" i="186"/>
  <c r="P10" i="186" s="1"/>
  <c r="L10" i="186"/>
  <c r="J53" i="392"/>
  <c r="J55" i="392" s="1"/>
  <c r="I55" i="392"/>
  <c r="H53" i="392"/>
  <c r="H55" i="392" s="1"/>
  <c r="G53" i="392"/>
  <c r="G55" i="392" s="1"/>
  <c r="F53" i="392"/>
  <c r="F55" i="392" s="1"/>
  <c r="E53" i="392"/>
  <c r="D55" i="392"/>
  <c r="C2" i="392"/>
  <c r="C1" i="392"/>
  <c r="O68" i="179"/>
  <c r="M9" i="186"/>
  <c r="P9" i="186" s="1"/>
  <c r="L9" i="186"/>
  <c r="C2" i="344"/>
  <c r="C1" i="344"/>
  <c r="C53" i="392" l="1"/>
  <c r="E234" i="176"/>
  <c r="E235" i="176" s="1"/>
  <c r="N10" i="186"/>
  <c r="O10" i="186" s="1"/>
  <c r="N11" i="186"/>
  <c r="O11" i="186" s="1"/>
  <c r="N12" i="186"/>
  <c r="O12" i="186" s="1"/>
  <c r="N13" i="186"/>
  <c r="O13" i="186" s="1"/>
  <c r="N14" i="186"/>
  <c r="O14" i="186" s="1"/>
  <c r="N15" i="186"/>
  <c r="O15" i="186" s="1"/>
  <c r="N28" i="186"/>
  <c r="O28" i="186" s="1"/>
  <c r="E55" i="392"/>
  <c r="C55" i="392" s="1"/>
  <c r="B214" i="176" l="1"/>
  <c r="B215" i="176" s="1"/>
  <c r="E238" i="176"/>
  <c r="E239" i="176" s="1"/>
  <c r="B216" i="176" l="1"/>
  <c r="E240" i="176"/>
  <c r="E241" i="176" s="1"/>
  <c r="E242" i="176" s="1"/>
  <c r="I214" i="176"/>
  <c r="E243" i="176"/>
  <c r="E244" i="176" s="1"/>
  <c r="B217" i="176" l="1"/>
  <c r="B218" i="176" s="1"/>
  <c r="B219" i="176" s="1"/>
  <c r="E245" i="176"/>
  <c r="B220" i="176" l="1"/>
  <c r="B221" i="176" s="1"/>
  <c r="E246" i="176"/>
  <c r="E247" i="176" l="1"/>
  <c r="B222" i="176" l="1"/>
  <c r="E248" i="176"/>
  <c r="B223" i="176" l="1"/>
  <c r="E249" i="176"/>
  <c r="E268" i="176" s="1"/>
  <c r="B224" i="176" l="1"/>
  <c r="E250" i="176" l="1"/>
  <c r="E251" i="176" s="1"/>
  <c r="E252" i="176" s="1"/>
  <c r="E253" i="176" s="1"/>
  <c r="E254" i="176" s="1"/>
  <c r="B225" i="176" l="1"/>
  <c r="B226" i="176" l="1"/>
  <c r="O17" i="363" l="1"/>
  <c r="O19" i="363" s="1"/>
  <c r="N17" i="363"/>
  <c r="N19" i="363" s="1"/>
  <c r="M17" i="363"/>
  <c r="M19" i="363" s="1"/>
  <c r="L17" i="363"/>
  <c r="L19" i="363" s="1"/>
  <c r="J17" i="363"/>
  <c r="J19" i="363" s="1"/>
  <c r="C2" i="363"/>
  <c r="C1" i="363"/>
  <c r="B227" i="176" l="1"/>
  <c r="B228" i="176" s="1"/>
  <c r="B229" i="176" s="1"/>
  <c r="B230" i="176" s="1"/>
  <c r="B231" i="176" s="1"/>
  <c r="B232" i="176" s="1"/>
  <c r="B233" i="176" s="1"/>
  <c r="B234" i="176" s="1"/>
  <c r="B235" i="176" s="1"/>
  <c r="B236" i="176" s="1"/>
  <c r="B237" i="176" s="1"/>
  <c r="B238" i="176" s="1"/>
  <c r="B239" i="176" s="1"/>
  <c r="B240" i="176" s="1"/>
  <c r="B241" i="176" s="1"/>
  <c r="B242" i="176" s="1"/>
  <c r="N216" i="176"/>
  <c r="H17" i="363"/>
  <c r="H19" i="363" s="1"/>
  <c r="D17" i="363"/>
  <c r="I17" i="363"/>
  <c r="I19" i="363" s="1"/>
  <c r="K17" i="363"/>
  <c r="K19" i="363" s="1"/>
  <c r="F17" i="363"/>
  <c r="F19" i="363" s="1"/>
  <c r="E17" i="363"/>
  <c r="E19" i="363" s="1"/>
  <c r="G17" i="363"/>
  <c r="G19" i="363" s="1"/>
  <c r="N215" i="176" l="1"/>
  <c r="B243" i="176"/>
  <c r="C17" i="363"/>
  <c r="D19" i="363"/>
  <c r="B244" i="176" l="1"/>
  <c r="N225" i="176"/>
  <c r="N218" i="176" s="1"/>
  <c r="C19" i="363"/>
  <c r="Q68" i="179"/>
  <c r="B245" i="176" l="1"/>
  <c r="T34" i="186"/>
  <c r="L251" i="176" s="1"/>
  <c r="T58" i="186"/>
  <c r="R58" i="186"/>
  <c r="L240" i="176" s="1"/>
  <c r="N240" i="176" s="1"/>
  <c r="N239" i="176" s="1"/>
  <c r="E2" i="181"/>
  <c r="E1" i="181"/>
  <c r="C2" i="211"/>
  <c r="C1" i="211"/>
  <c r="C2" i="179"/>
  <c r="C1" i="179"/>
  <c r="E2" i="186"/>
  <c r="E1" i="186"/>
  <c r="C2" i="360"/>
  <c r="C1" i="360"/>
  <c r="C2" i="359"/>
  <c r="C1" i="359"/>
  <c r="B246" i="176" l="1"/>
  <c r="T84" i="186"/>
  <c r="N251" i="176" s="1"/>
  <c r="R84" i="186"/>
  <c r="B58" i="186"/>
  <c r="O41" i="360"/>
  <c r="O43" i="360" s="1"/>
  <c r="N41" i="360"/>
  <c r="N43" i="360" s="1"/>
  <c r="M41" i="360"/>
  <c r="M43" i="360" s="1"/>
  <c r="L41" i="360"/>
  <c r="L43" i="360" s="1"/>
  <c r="K41" i="360"/>
  <c r="K43" i="360" s="1"/>
  <c r="J41" i="360"/>
  <c r="J43" i="360" s="1"/>
  <c r="I41" i="360"/>
  <c r="I43" i="360" s="1"/>
  <c r="H41" i="360"/>
  <c r="G41" i="360"/>
  <c r="G43" i="360" s="1"/>
  <c r="F41" i="360"/>
  <c r="F43" i="360" s="1"/>
  <c r="E41" i="360"/>
  <c r="E43" i="360" s="1"/>
  <c r="D41" i="360"/>
  <c r="H43" i="360" l="1"/>
  <c r="N233" i="176" s="1"/>
  <c r="H44" i="360"/>
  <c r="I44" i="360" s="1"/>
  <c r="D43" i="360"/>
  <c r="D44" i="360"/>
  <c r="E44" i="360" s="1"/>
  <c r="N250" i="176"/>
  <c r="B247" i="176"/>
  <c r="F84" i="186"/>
  <c r="C41" i="360"/>
  <c r="N232" i="176" l="1"/>
  <c r="C43" i="360"/>
  <c r="N231" i="176"/>
  <c r="B248" i="176"/>
  <c r="L53" i="186"/>
  <c r="L52" i="186"/>
  <c r="L51" i="186"/>
  <c r="W9" i="186"/>
  <c r="W10" i="186"/>
  <c r="W12" i="186"/>
  <c r="W13" i="186"/>
  <c r="W14" i="186"/>
  <c r="M53" i="186"/>
  <c r="P53" i="186" s="1"/>
  <c r="S53" i="186"/>
  <c r="Q53" i="186"/>
  <c r="M52" i="186"/>
  <c r="P52" i="186" s="1"/>
  <c r="S52" i="186"/>
  <c r="Q52" i="186"/>
  <c r="M51" i="186"/>
  <c r="P51" i="186" s="1"/>
  <c r="S51" i="186"/>
  <c r="Q51" i="186"/>
  <c r="Q58" i="186" l="1"/>
  <c r="R59" i="186" s="1"/>
  <c r="R60" i="186" s="1"/>
  <c r="B249" i="176"/>
  <c r="S58" i="186"/>
  <c r="T59" i="186" s="1"/>
  <c r="T60" i="186" s="1"/>
  <c r="L58" i="186"/>
  <c r="P58" i="186"/>
  <c r="M58" i="186"/>
  <c r="N52" i="186"/>
  <c r="O52" i="186" s="1"/>
  <c r="N53" i="186"/>
  <c r="O53" i="186" s="1"/>
  <c r="N51" i="186"/>
  <c r="O51" i="186" l="1"/>
  <c r="O58" i="186" s="1"/>
  <c r="N58" i="186"/>
  <c r="B250" i="176" l="1"/>
  <c r="K50" i="344"/>
  <c r="B251" i="176" l="1"/>
  <c r="B252" i="176" s="1"/>
  <c r="B253" i="176" l="1"/>
  <c r="B254" i="176" s="1"/>
  <c r="J17" i="137"/>
  <c r="H17" i="137"/>
  <c r="K16" i="137"/>
  <c r="J16" i="137"/>
  <c r="I16" i="137"/>
  <c r="H16" i="137"/>
  <c r="H9" i="137"/>
  <c r="K8" i="137"/>
  <c r="J8" i="137"/>
  <c r="I8" i="137"/>
  <c r="H8" i="137"/>
  <c r="J7" i="137"/>
  <c r="H7" i="137"/>
  <c r="K6" i="137"/>
  <c r="J6" i="137"/>
  <c r="I6" i="137"/>
  <c r="H6" i="137"/>
  <c r="S6" i="137"/>
  <c r="S14" i="137" s="1"/>
  <c r="I11" i="147"/>
  <c r="I12" i="147"/>
  <c r="I10" i="147"/>
  <c r="I9" i="147"/>
  <c r="I8" i="147"/>
  <c r="P10" i="147"/>
  <c r="O10" i="147"/>
  <c r="M10" i="147"/>
  <c r="L10" i="147"/>
  <c r="P12" i="147"/>
  <c r="O12" i="147"/>
  <c r="M12" i="147"/>
  <c r="L12" i="147"/>
  <c r="K22" i="137" l="1"/>
  <c r="I22" i="137"/>
  <c r="I254" i="176"/>
  <c r="Q12" i="147"/>
  <c r="N12" i="147"/>
  <c r="N10" i="147"/>
  <c r="Q10" i="147"/>
  <c r="E255" i="176" l="1"/>
  <c r="F42" i="344" l="1"/>
  <c r="J19" i="211" l="1"/>
  <c r="L19" i="211"/>
  <c r="L21" i="211" s="1"/>
  <c r="M19" i="211"/>
  <c r="M21" i="211" s="1"/>
  <c r="N19" i="211"/>
  <c r="N21" i="211" s="1"/>
  <c r="O19" i="211"/>
  <c r="O21" i="211" s="1"/>
  <c r="K52" i="344"/>
  <c r="K51" i="344"/>
  <c r="K49" i="344"/>
  <c r="K47" i="344"/>
  <c r="K45" i="344"/>
  <c r="H52" i="344"/>
  <c r="M42" i="344"/>
  <c r="M41" i="344"/>
  <c r="K42" i="344"/>
  <c r="J42" i="344"/>
  <c r="I42" i="344"/>
  <c r="H42" i="344"/>
  <c r="G42" i="344"/>
  <c r="H51" i="344"/>
  <c r="K41" i="344"/>
  <c r="J41" i="344"/>
  <c r="I41" i="344"/>
  <c r="H41" i="344"/>
  <c r="G41" i="344"/>
  <c r="K44" i="344"/>
  <c r="C43" i="344"/>
  <c r="L237" i="176" s="1"/>
  <c r="N237" i="176" s="1"/>
  <c r="N236" i="176" s="1"/>
  <c r="J21" i="211" l="1"/>
  <c r="C19" i="211"/>
  <c r="H44" i="344"/>
  <c r="H45" i="344"/>
  <c r="H46" i="344"/>
  <c r="L229" i="176" s="1"/>
  <c r="N229" i="176" s="1"/>
  <c r="H50" i="344"/>
  <c r="H49" i="344"/>
  <c r="H47" i="344"/>
  <c r="L230" i="176" s="1"/>
  <c r="H48" i="344"/>
  <c r="H43" i="344"/>
  <c r="N230" i="176" l="1"/>
  <c r="N228" i="176" s="1"/>
  <c r="K48" i="344"/>
  <c r="L235" i="176" s="1"/>
  <c r="K46" i="344"/>
  <c r="I43" i="344"/>
  <c r="J43" i="344" l="1"/>
  <c r="K43" i="344"/>
  <c r="M43" i="344"/>
  <c r="N235" i="176" l="1"/>
  <c r="N234" i="176" l="1"/>
  <c r="B255" i="176"/>
  <c r="A3" i="147"/>
  <c r="P9" i="137"/>
  <c r="K29" i="392" s="1"/>
  <c r="K32" i="392" s="1"/>
  <c r="L311" i="176" s="1"/>
  <c r="P10" i="137"/>
  <c r="K35" i="392" s="1"/>
  <c r="K37" i="392" s="1"/>
  <c r="L331" i="176" s="1"/>
  <c r="P12" i="137"/>
  <c r="K45" i="392" s="1"/>
  <c r="K47" i="392" s="1"/>
  <c r="L370" i="176" s="1"/>
  <c r="P13" i="137"/>
  <c r="K50" i="392" s="1"/>
  <c r="K51" i="392" s="1"/>
  <c r="J10" i="143"/>
  <c r="K10" i="143" s="1"/>
  <c r="H10" i="143"/>
  <c r="I10" i="143" s="1"/>
  <c r="N6" i="143"/>
  <c r="K16" i="392" s="1"/>
  <c r="K20" i="392" s="1"/>
  <c r="L270" i="176" s="1"/>
  <c r="A3" i="143"/>
  <c r="A3" i="212"/>
  <c r="L387" i="176" l="1"/>
  <c r="N227" i="176"/>
  <c r="N331" i="176"/>
  <c r="N370" i="176"/>
  <c r="N311" i="176"/>
  <c r="B256" i="176"/>
  <c r="P11" i="147"/>
  <c r="O11" i="147"/>
  <c r="M11" i="147"/>
  <c r="L11" i="147"/>
  <c r="P9" i="147"/>
  <c r="O9" i="147"/>
  <c r="M9" i="147"/>
  <c r="L9" i="147"/>
  <c r="N369" i="176" l="1"/>
  <c r="N330" i="176"/>
  <c r="N310" i="176"/>
  <c r="B257" i="176"/>
  <c r="Q9" i="147"/>
  <c r="N9" i="147"/>
  <c r="Q8" i="147"/>
  <c r="Q11" i="147"/>
  <c r="N11" i="147"/>
  <c r="W7" i="147"/>
  <c r="L18" i="392" l="1"/>
  <c r="L260" i="176"/>
  <c r="N260" i="176" s="1"/>
  <c r="T7" i="147"/>
  <c r="N316" i="176"/>
  <c r="N296" i="176"/>
  <c r="B258" i="176"/>
  <c r="N256" i="176" l="1"/>
  <c r="B259" i="176"/>
  <c r="J93" i="143"/>
  <c r="H93" i="143"/>
  <c r="J92" i="143"/>
  <c r="H92" i="143"/>
  <c r="J91" i="143"/>
  <c r="H91" i="143"/>
  <c r="B260" i="176" l="1"/>
  <c r="B261" i="176" l="1"/>
  <c r="L50" i="147"/>
  <c r="J23" i="143"/>
  <c r="H23" i="143"/>
  <c r="P51" i="147" l="1"/>
  <c r="O51" i="147"/>
  <c r="M51" i="147"/>
  <c r="L51" i="147"/>
  <c r="P50" i="147"/>
  <c r="O50" i="147"/>
  <c r="M50" i="147"/>
  <c r="B262" i="176" l="1"/>
  <c r="Q51" i="147"/>
  <c r="N51" i="147"/>
  <c r="Q50" i="147"/>
  <c r="T12" i="147" s="1"/>
  <c r="N50" i="147"/>
  <c r="W12" i="147" s="1"/>
  <c r="L46" i="392" l="1"/>
  <c r="L361" i="176"/>
  <c r="N361" i="176" s="1"/>
  <c r="B263" i="176"/>
  <c r="N387" i="176"/>
  <c r="J13" i="143"/>
  <c r="H13" i="143"/>
  <c r="H35" i="143"/>
  <c r="J11" i="143"/>
  <c r="K11" i="143" s="1"/>
  <c r="H11" i="143"/>
  <c r="I11" i="143" s="1"/>
  <c r="J9" i="143"/>
  <c r="K9" i="143" s="1"/>
  <c r="H9" i="143"/>
  <c r="I9" i="143" s="1"/>
  <c r="J8" i="143"/>
  <c r="K8" i="143" s="1"/>
  <c r="H8" i="143"/>
  <c r="I8" i="143" s="1"/>
  <c r="J7" i="143"/>
  <c r="K7" i="143" s="1"/>
  <c r="K104" i="143" s="1"/>
  <c r="H7" i="143"/>
  <c r="I7" i="143" s="1"/>
  <c r="G9" i="212"/>
  <c r="I9" i="212"/>
  <c r="G10" i="212"/>
  <c r="I10" i="212"/>
  <c r="M6" i="212" s="1"/>
  <c r="G11" i="212"/>
  <c r="I11" i="212"/>
  <c r="G14" i="212"/>
  <c r="I14" i="212"/>
  <c r="G15" i="212"/>
  <c r="I15" i="212"/>
  <c r="G16" i="212"/>
  <c r="I16" i="212"/>
  <c r="G27" i="212"/>
  <c r="I27" i="212"/>
  <c r="S9" i="186"/>
  <c r="Q9" i="186"/>
  <c r="Q34" i="186" s="1"/>
  <c r="R36" i="186" s="1"/>
  <c r="R37" i="186" s="1"/>
  <c r="N357" i="176" l="1"/>
  <c r="N386" i="176"/>
  <c r="N270" i="176"/>
  <c r="B264" i="176"/>
  <c r="N9" i="186"/>
  <c r="O9" i="186" s="1"/>
  <c r="W11" i="186"/>
  <c r="H61" i="212"/>
  <c r="Q14" i="212" s="1"/>
  <c r="N356" i="176" l="1"/>
  <c r="N269" i="176"/>
  <c r="N375" i="176"/>
  <c r="B265" i="176"/>
  <c r="M14" i="212"/>
  <c r="N14" i="212" s="1"/>
  <c r="P17" i="147"/>
  <c r="O17" i="147"/>
  <c r="M17" i="147"/>
  <c r="L17" i="147"/>
  <c r="P16" i="147"/>
  <c r="O16" i="147"/>
  <c r="M16" i="147"/>
  <c r="L16" i="147"/>
  <c r="J16" i="143"/>
  <c r="H16" i="143"/>
  <c r="J15" i="143"/>
  <c r="H15" i="143"/>
  <c r="J14" i="143"/>
  <c r="H14" i="143"/>
  <c r="P11" i="179"/>
  <c r="S11" i="179" s="1"/>
  <c r="N11" i="179"/>
  <c r="P10" i="179"/>
  <c r="S10" i="179" s="1"/>
  <c r="N10" i="179"/>
  <c r="I11" i="179"/>
  <c r="H11" i="179"/>
  <c r="J11" i="179" s="1"/>
  <c r="I10" i="179"/>
  <c r="L10" i="179" s="1"/>
  <c r="H10" i="179"/>
  <c r="J10" i="179" s="1"/>
  <c r="N255" i="176" l="1"/>
  <c r="H68" i="179"/>
  <c r="B266" i="176"/>
  <c r="F21" i="211"/>
  <c r="I21" i="211"/>
  <c r="H21" i="211"/>
  <c r="G21" i="211"/>
  <c r="I104" i="143"/>
  <c r="R13" i="143" s="1"/>
  <c r="N16" i="147"/>
  <c r="N17" i="147"/>
  <c r="K11" i="179"/>
  <c r="Q16" i="147"/>
  <c r="Q17" i="147"/>
  <c r="K10" i="179"/>
  <c r="L11" i="179"/>
  <c r="J68" i="179" l="1"/>
  <c r="K68" i="179" s="1"/>
  <c r="B267" i="176"/>
  <c r="B268" i="176" s="1"/>
  <c r="K21" i="211"/>
  <c r="N13" i="143" l="1"/>
  <c r="O13" i="143" s="1"/>
  <c r="B269" i="176" l="1"/>
  <c r="B270" i="176" l="1"/>
  <c r="P8" i="137"/>
  <c r="K23" i="392" s="1"/>
  <c r="K26" i="392" s="1"/>
  <c r="L291" i="176" s="1"/>
  <c r="N291" i="176" l="1"/>
  <c r="B271" i="176"/>
  <c r="P9" i="179"/>
  <c r="N9" i="179"/>
  <c r="N68" i="179" s="1"/>
  <c r="I9" i="179"/>
  <c r="L9" i="179" s="1"/>
  <c r="B72" i="179" l="1"/>
  <c r="O69" i="179"/>
  <c r="O70" i="179" s="1"/>
  <c r="P68" i="179"/>
  <c r="Q69" i="179" s="1"/>
  <c r="Q70" i="179" s="1"/>
  <c r="J9" i="179"/>
  <c r="K9" i="179" s="1"/>
  <c r="N290" i="176"/>
  <c r="B272" i="176"/>
  <c r="B273" i="176" s="1"/>
  <c r="B274" i="176" l="1"/>
  <c r="B275" i="176" l="1"/>
  <c r="D21" i="211" l="1"/>
  <c r="B276" i="176" l="1"/>
  <c r="B277" i="176" l="1"/>
  <c r="N244" i="176"/>
  <c r="B278" i="176" l="1"/>
  <c r="B279" i="176" l="1"/>
  <c r="N246" i="176"/>
  <c r="N247" i="176"/>
  <c r="N248" i="176"/>
  <c r="N249" i="176"/>
  <c r="B280" i="176" l="1"/>
  <c r="P15" i="147"/>
  <c r="O15" i="147"/>
  <c r="V9" i="179"/>
  <c r="S9" i="179"/>
  <c r="W8" i="186"/>
  <c r="Q84" i="186"/>
  <c r="L34" i="186"/>
  <c r="L84" i="186" l="1"/>
  <c r="Q15" i="147"/>
  <c r="Q56" i="147" s="1"/>
  <c r="B281" i="176"/>
  <c r="S34" i="186"/>
  <c r="M34" i="186"/>
  <c r="M84" i="186" s="1"/>
  <c r="S68" i="179"/>
  <c r="V8" i="179"/>
  <c r="P34" i="186"/>
  <c r="V11" i="179"/>
  <c r="V12" i="179"/>
  <c r="T8" i="147"/>
  <c r="L68" i="179"/>
  <c r="I68" i="179"/>
  <c r="V10" i="179"/>
  <c r="N34" i="186"/>
  <c r="P84" i="186" l="1"/>
  <c r="L208" i="176"/>
  <c r="L206" i="176"/>
  <c r="N206" i="176" s="1"/>
  <c r="N84" i="186"/>
  <c r="S84" i="186"/>
  <c r="T36" i="186"/>
  <c r="T37" i="186" s="1"/>
  <c r="N56" i="147"/>
  <c r="W8" i="147"/>
  <c r="W15" i="186"/>
  <c r="X15" i="186" s="1"/>
  <c r="T14" i="137"/>
  <c r="O34" i="186"/>
  <c r="L210" i="176"/>
  <c r="W14" i="147" l="1"/>
  <c r="L24" i="392"/>
  <c r="L281" i="176"/>
  <c r="N281" i="176" s="1"/>
  <c r="L207" i="176"/>
  <c r="N207" i="176" s="1"/>
  <c r="N208" i="176"/>
  <c r="O84" i="186"/>
  <c r="N210" i="176"/>
  <c r="X14" i="147"/>
  <c r="T14" i="147"/>
  <c r="U14" i="147" s="1"/>
  <c r="N212" i="176"/>
  <c r="P11" i="137"/>
  <c r="K40" i="392" s="1"/>
  <c r="K42" i="392" s="1"/>
  <c r="L351" i="176" l="1"/>
  <c r="K53" i="392"/>
  <c r="E9" i="416" s="1"/>
  <c r="N277" i="176"/>
  <c r="N209" i="176"/>
  <c r="N211" i="176"/>
  <c r="N205" i="176"/>
  <c r="N351" i="176"/>
  <c r="P14" i="137"/>
  <c r="Q14" i="137" s="1"/>
  <c r="F9" i="416" l="1"/>
  <c r="F12" i="416" s="1"/>
  <c r="F18" i="416" s="1"/>
  <c r="M44" i="176" s="1"/>
  <c r="N44" i="176" s="1"/>
  <c r="N43" i="176" s="1"/>
  <c r="N42" i="176" s="1"/>
  <c r="N13" i="176" s="1"/>
  <c r="E10" i="416"/>
  <c r="F10" i="416" s="1"/>
  <c r="N276" i="176"/>
  <c r="N204" i="176"/>
  <c r="N350" i="176"/>
  <c r="B282" i="176"/>
  <c r="N203" i="176" l="1"/>
  <c r="N336" i="176"/>
  <c r="E21" i="211"/>
  <c r="N254" i="176" l="1"/>
  <c r="B283" i="176"/>
  <c r="C21" i="211"/>
  <c r="B284" i="176" l="1"/>
  <c r="N245" i="176"/>
  <c r="N243" i="176" l="1"/>
  <c r="B285" i="176"/>
  <c r="N238" i="176" l="1"/>
  <c r="B286" i="176"/>
  <c r="N214" i="176" l="1"/>
  <c r="B287" i="176"/>
  <c r="B288" i="176" l="1"/>
  <c r="B289" i="176" s="1"/>
  <c r="B290" i="176" l="1"/>
  <c r="B291" i="176" l="1"/>
  <c r="B292" i="176" l="1"/>
  <c r="B293" i="176" l="1"/>
  <c r="B294" i="176" l="1"/>
  <c r="B295" i="176" l="1"/>
  <c r="B296" i="176" l="1"/>
  <c r="B297" i="176" l="1"/>
  <c r="B298" i="176" l="1"/>
  <c r="B299" i="176" l="1"/>
  <c r="B300" i="176" l="1"/>
  <c r="B301" i="176" l="1"/>
  <c r="B302" i="176" l="1"/>
  <c r="B303" i="176" l="1"/>
  <c r="B304" i="176" l="1"/>
  <c r="B305" i="176" l="1"/>
  <c r="B306" i="176" l="1"/>
  <c r="B307" i="176" l="1"/>
  <c r="B308" i="176" l="1"/>
  <c r="B309" i="176" s="1"/>
  <c r="B310" i="176" l="1"/>
  <c r="B311" i="176" l="1"/>
  <c r="B312" i="176" l="1"/>
  <c r="B313" i="176" l="1"/>
  <c r="B314" i="176" l="1"/>
  <c r="B315" i="176" l="1"/>
  <c r="B316" i="176" l="1"/>
  <c r="B317" i="176" l="1"/>
  <c r="B318" i="176" l="1"/>
  <c r="B319" i="176" l="1"/>
  <c r="B320" i="176" l="1"/>
  <c r="B321" i="176" s="1"/>
  <c r="B322" i="176" l="1"/>
  <c r="B323" i="176" l="1"/>
  <c r="B324" i="176" l="1"/>
  <c r="B325" i="176" l="1"/>
  <c r="B326" i="176" l="1"/>
  <c r="B327" i="176" l="1"/>
  <c r="B328" i="176" l="1"/>
  <c r="B329" i="176" s="1"/>
  <c r="B330" i="176" l="1"/>
  <c r="B331" i="176" l="1"/>
  <c r="B332" i="176" l="1"/>
  <c r="B333" i="176" l="1"/>
  <c r="B334" i="176" l="1"/>
  <c r="B335" i="176" l="1"/>
  <c r="B336" i="176" l="1"/>
  <c r="B337" i="176" l="1"/>
  <c r="B338" i="176" l="1"/>
  <c r="B339" i="176" l="1"/>
  <c r="B340" i="176" l="1"/>
  <c r="B341" i="176" s="1"/>
  <c r="B342" i="176" l="1"/>
  <c r="B343" i="176" l="1"/>
  <c r="B344" i="176" l="1"/>
  <c r="B345" i="176" l="1"/>
  <c r="B346" i="176" l="1"/>
  <c r="B347" i="176" l="1"/>
  <c r="B348" i="176" l="1"/>
  <c r="B349" i="176" s="1"/>
  <c r="B350" i="176" l="1"/>
  <c r="B351" i="176" l="1"/>
  <c r="B352" i="176" l="1"/>
  <c r="B353" i="176" l="1"/>
  <c r="B354" i="176" l="1"/>
  <c r="B355" i="176" l="1"/>
  <c r="B356" i="176" l="1"/>
  <c r="B357" i="176" l="1"/>
  <c r="B358" i="176" l="1"/>
  <c r="B359" i="176" l="1"/>
  <c r="B360" i="176" l="1"/>
  <c r="B361" i="176" s="1"/>
  <c r="B362" i="176" l="1"/>
  <c r="B363" i="176" l="1"/>
  <c r="B364" i="176" l="1"/>
  <c r="B365" i="176" l="1"/>
  <c r="B366" i="176" l="1"/>
  <c r="B367" i="176" l="1"/>
  <c r="B368" i="176" l="1"/>
  <c r="B369" i="176" l="1"/>
  <c r="B370" i="176" l="1"/>
  <c r="B371" i="176" l="1"/>
  <c r="B372" i="176" l="1"/>
  <c r="B373" i="176" l="1"/>
  <c r="B374" i="176" l="1"/>
  <c r="B375" i="176" l="1"/>
  <c r="B376" i="176" l="1"/>
  <c r="B377" i="176" l="1"/>
  <c r="B378" i="176" l="1"/>
  <c r="B379" i="176" l="1"/>
  <c r="B380" i="176" l="1"/>
  <c r="B381" i="176" l="1"/>
  <c r="B382" i="176" l="1"/>
  <c r="B383" i="176" l="1"/>
  <c r="B384" i="176" l="1"/>
  <c r="B385" i="176" l="1"/>
  <c r="B386" i="176" l="1"/>
  <c r="B387" i="176" l="1"/>
  <c r="B388" i="176" l="1"/>
  <c r="B389" i="176" l="1"/>
  <c r="B390" i="176" l="1"/>
  <c r="B391" i="176" l="1"/>
  <c r="I390" i="176"/>
  <c r="B392" i="176" l="1"/>
  <c r="I391" i="176"/>
  <c r="I392" i="176" l="1"/>
  <c r="B393" i="176" l="1"/>
  <c r="I393" i="176" l="1"/>
  <c r="B394" i="176"/>
  <c r="I394" i="176" l="1"/>
  <c r="B395" i="176" l="1"/>
  <c r="I395" i="176" l="1"/>
  <c r="B396" i="176" l="1"/>
  <c r="B397" i="176" l="1"/>
  <c r="I396" i="176"/>
  <c r="I397" i="176" l="1"/>
  <c r="C254" i="176" l="1"/>
  <c r="C214" i="176"/>
  <c r="C215" i="176" s="1"/>
  <c r="C216" i="176" s="1"/>
  <c r="I216" i="176" l="1"/>
  <c r="C217" i="176"/>
  <c r="C218" i="176" s="1"/>
  <c r="I215" i="176"/>
  <c r="I218" i="176" l="1"/>
  <c r="C219" i="176"/>
  <c r="I217" i="176"/>
  <c r="C220" i="176" l="1"/>
  <c r="I219" i="176"/>
  <c r="I220" i="176" l="1"/>
  <c r="C221" i="176"/>
  <c r="I221" i="176" l="1"/>
  <c r="C222" i="176" l="1"/>
  <c r="C223" i="176" l="1"/>
  <c r="I222" i="176"/>
  <c r="I223" i="176" l="1"/>
  <c r="C224" i="176"/>
  <c r="I224" i="176" l="1"/>
  <c r="C225" i="176" l="1"/>
  <c r="I225" i="176" l="1"/>
  <c r="C226" i="176"/>
  <c r="I226" i="176" l="1"/>
  <c r="C227" i="176" l="1"/>
  <c r="C228" i="176" l="1"/>
  <c r="I227" i="176"/>
  <c r="C229" i="176" l="1"/>
  <c r="I228" i="176"/>
  <c r="C230" i="176" l="1"/>
  <c r="I229" i="176"/>
  <c r="C231" i="176" l="1"/>
  <c r="I230" i="176"/>
  <c r="C232" i="176" l="1"/>
  <c r="I231" i="176"/>
  <c r="I232" i="176" l="1"/>
  <c r="C233" i="176"/>
  <c r="C234" i="176" l="1"/>
  <c r="I233" i="176"/>
  <c r="I234" i="176" l="1"/>
  <c r="C235" i="176"/>
  <c r="I235" i="176" l="1"/>
  <c r="C236" i="176"/>
  <c r="C255" i="176"/>
  <c r="I236" i="176" l="1"/>
  <c r="C237" i="176"/>
  <c r="C256" i="176"/>
  <c r="I255" i="176"/>
  <c r="I237" i="176" l="1"/>
  <c r="C238" i="176"/>
  <c r="I256" i="176"/>
  <c r="C257" i="176"/>
  <c r="I238" i="176" l="1"/>
  <c r="C239" i="176"/>
  <c r="C258" i="176"/>
  <c r="I257" i="176"/>
  <c r="C240" i="176" l="1"/>
  <c r="C241" i="176" s="1"/>
  <c r="I239" i="176"/>
  <c r="C259" i="176"/>
  <c r="I258" i="176"/>
  <c r="I241" i="176" l="1"/>
  <c r="C242" i="176"/>
  <c r="I242" i="176" s="1"/>
  <c r="I240" i="176"/>
  <c r="I259" i="176"/>
  <c r="C260" i="176"/>
  <c r="C243" i="176" l="1"/>
  <c r="I260" i="176"/>
  <c r="I243" i="176" l="1"/>
  <c r="C244" i="176"/>
  <c r="I244" i="176" l="1"/>
  <c r="C245" i="176"/>
  <c r="C246" i="176" l="1"/>
  <c r="I245" i="176"/>
  <c r="C247" i="176" l="1"/>
  <c r="I246" i="176"/>
  <c r="C261" i="176"/>
  <c r="C248" i="176" l="1"/>
  <c r="I247" i="176"/>
  <c r="I261" i="176"/>
  <c r="I248" i="176" l="1"/>
  <c r="C249" i="176"/>
  <c r="C262" i="176"/>
  <c r="I249" i="176" l="1"/>
  <c r="I262" i="176"/>
  <c r="C263" i="176"/>
  <c r="C250" i="176" l="1"/>
  <c r="I263" i="176"/>
  <c r="C264" i="176"/>
  <c r="I250" i="176" l="1"/>
  <c r="C251" i="176"/>
  <c r="C252" i="176" s="1"/>
  <c r="C265" i="176"/>
  <c r="I264" i="176"/>
  <c r="I252" i="176" l="1"/>
  <c r="C253" i="176"/>
  <c r="C266" i="176"/>
  <c r="I265" i="176"/>
  <c r="C267" i="176" l="1"/>
  <c r="C268" i="176" s="1"/>
  <c r="I268" i="176" s="1"/>
  <c r="I266" i="176"/>
  <c r="I267" i="176" l="1"/>
  <c r="C269" i="176" l="1"/>
  <c r="C270" i="176" l="1"/>
  <c r="I269" i="176"/>
  <c r="I270" i="176" l="1"/>
  <c r="C271" i="176"/>
  <c r="I271" i="176" l="1"/>
  <c r="C272" i="176"/>
  <c r="C273" i="176" s="1"/>
  <c r="I273" i="176" s="1"/>
  <c r="I272" i="176" l="1"/>
  <c r="C274" i="176" l="1"/>
  <c r="C275" i="176" l="1"/>
  <c r="I274" i="176"/>
  <c r="I275" i="176" l="1"/>
  <c r="C276" i="176" l="1"/>
  <c r="C277" i="176" l="1"/>
  <c r="I276" i="176"/>
  <c r="I277" i="176" l="1"/>
  <c r="C278" i="176"/>
  <c r="I278" i="176" l="1"/>
  <c r="C279" i="176"/>
  <c r="C280" i="176" l="1"/>
  <c r="I279" i="176"/>
  <c r="C281" i="176" l="1"/>
  <c r="I280" i="176"/>
  <c r="I281" i="176" l="1"/>
  <c r="C282" i="176" l="1"/>
  <c r="I282" i="176" l="1"/>
  <c r="C283" i="176"/>
  <c r="C284" i="176" l="1"/>
  <c r="I283" i="176"/>
  <c r="I284" i="176" l="1"/>
  <c r="C285" i="176"/>
  <c r="I285" i="176" l="1"/>
  <c r="C286" i="176"/>
  <c r="I286" i="176" l="1"/>
  <c r="C287" i="176"/>
  <c r="I287" i="176" l="1"/>
  <c r="C288" i="176"/>
  <c r="C289" i="176" s="1"/>
  <c r="I289" i="176" s="1"/>
  <c r="I288" i="176" l="1"/>
  <c r="C290" i="176"/>
  <c r="I290" i="176" l="1"/>
  <c r="C291" i="176"/>
  <c r="C292" i="176" l="1"/>
  <c r="I291" i="176"/>
  <c r="C293" i="176" l="1"/>
  <c r="I293" i="176" s="1"/>
  <c r="I292" i="176"/>
  <c r="C294" i="176" l="1"/>
  <c r="I294" i="176" l="1"/>
  <c r="C295" i="176"/>
  <c r="I295" i="176" l="1"/>
  <c r="C296" i="176" l="1"/>
  <c r="C297" i="176" l="1"/>
  <c r="I296" i="176"/>
  <c r="I297" i="176" l="1"/>
  <c r="C298" i="176"/>
  <c r="C299" i="176" l="1"/>
  <c r="I298" i="176"/>
  <c r="I299" i="176" l="1"/>
  <c r="C300" i="176"/>
  <c r="C301" i="176" l="1"/>
  <c r="I300" i="176"/>
  <c r="C302" i="176" l="1"/>
  <c r="I301" i="176"/>
  <c r="I302" i="176" l="1"/>
  <c r="C303" i="176"/>
  <c r="I303" i="176" l="1"/>
  <c r="C304" i="176"/>
  <c r="C305" i="176" l="1"/>
  <c r="I304" i="176"/>
  <c r="I305" i="176" l="1"/>
  <c r="C306" i="176"/>
  <c r="I306" i="176" l="1"/>
  <c r="C307" i="176"/>
  <c r="I307" i="176" l="1"/>
  <c r="C308" i="176"/>
  <c r="C309" i="176" s="1"/>
  <c r="I309" i="176" s="1"/>
  <c r="I308" i="176" l="1"/>
  <c r="C310" i="176"/>
  <c r="C311" i="176" l="1"/>
  <c r="I310" i="176"/>
  <c r="I311" i="176" l="1"/>
  <c r="C312" i="176"/>
  <c r="C313" i="176" l="1"/>
  <c r="I313" i="176" s="1"/>
  <c r="I312" i="176"/>
  <c r="C314" i="176" l="1"/>
  <c r="C315" i="176" l="1"/>
  <c r="I314" i="176"/>
  <c r="I315" i="176" l="1"/>
  <c r="C316" i="176" l="1"/>
  <c r="C317" i="176" l="1"/>
  <c r="I316" i="176"/>
  <c r="C318" i="176" l="1"/>
  <c r="I317" i="176"/>
  <c r="I318" i="176" l="1"/>
  <c r="C319" i="176"/>
  <c r="C320" i="176" l="1"/>
  <c r="C321" i="176" s="1"/>
  <c r="I321" i="176" s="1"/>
  <c r="I319" i="176"/>
  <c r="I320" i="176" l="1"/>
  <c r="C322" i="176" l="1"/>
  <c r="I322" i="176" s="1"/>
  <c r="C323" i="176" l="1"/>
  <c r="C324" i="176" s="1"/>
  <c r="I323" i="176" l="1"/>
  <c r="C325" i="176"/>
  <c r="I324" i="176"/>
  <c r="C326" i="176" l="1"/>
  <c r="I325" i="176"/>
  <c r="C327" i="176" l="1"/>
  <c r="I326" i="176"/>
  <c r="I327" i="176" l="1"/>
  <c r="C328" i="176"/>
  <c r="C329" i="176" s="1"/>
  <c r="I329" i="176" s="1"/>
  <c r="I328" i="176" l="1"/>
  <c r="C330" i="176" l="1"/>
  <c r="C331" i="176" l="1"/>
  <c r="I330" i="176"/>
  <c r="I331" i="176" l="1"/>
  <c r="C332" i="176"/>
  <c r="C333" i="176" l="1"/>
  <c r="I333" i="176" s="1"/>
  <c r="I332" i="176"/>
  <c r="C334" i="176" l="1"/>
  <c r="I334" i="176" l="1"/>
  <c r="C335" i="176"/>
  <c r="I335" i="176" l="1"/>
  <c r="C336" i="176" l="1"/>
  <c r="C337" i="176" l="1"/>
  <c r="I336" i="176"/>
  <c r="I337" i="176" l="1"/>
  <c r="C338" i="176"/>
  <c r="C339" i="176" l="1"/>
  <c r="I338" i="176"/>
  <c r="C340" i="176" l="1"/>
  <c r="C341" i="176" s="1"/>
  <c r="I341" i="176" s="1"/>
  <c r="I339" i="176"/>
  <c r="I340" i="176" l="1"/>
  <c r="C342" i="176" l="1"/>
  <c r="I342" i="176" l="1"/>
  <c r="C343" i="176" l="1"/>
  <c r="C344" i="176" l="1"/>
  <c r="I343" i="176"/>
  <c r="I344" i="176" l="1"/>
  <c r="C345" i="176"/>
  <c r="C346" i="176" l="1"/>
  <c r="I345" i="176"/>
  <c r="C347" i="176" l="1"/>
  <c r="I346" i="176"/>
  <c r="C348" i="176" l="1"/>
  <c r="C349" i="176" s="1"/>
  <c r="I349" i="176" s="1"/>
  <c r="I347" i="176"/>
  <c r="I348" i="176" l="1"/>
  <c r="C350" i="176" l="1"/>
  <c r="C351" i="176" l="1"/>
  <c r="I350" i="176"/>
  <c r="C352" i="176" l="1"/>
  <c r="I351" i="176"/>
  <c r="I352" i="176" l="1"/>
  <c r="C353" i="176"/>
  <c r="I353" i="176" s="1"/>
  <c r="C354" i="176" l="1"/>
  <c r="I354" i="176" l="1"/>
  <c r="C355" i="176"/>
  <c r="I355" i="176" l="1"/>
  <c r="C356" i="176" l="1"/>
  <c r="C357" i="176" l="1"/>
  <c r="I356" i="176"/>
  <c r="C358" i="176" l="1"/>
  <c r="I357" i="176"/>
  <c r="I358" i="176" l="1"/>
  <c r="C359" i="176"/>
  <c r="C360" i="176" l="1"/>
  <c r="C361" i="176" s="1"/>
  <c r="I361" i="176" s="1"/>
  <c r="I359" i="176"/>
  <c r="I360" i="176" l="1"/>
  <c r="C362" i="176" l="1"/>
  <c r="I362" i="176" l="1"/>
  <c r="C363" i="176" l="1"/>
  <c r="C364" i="176" l="1"/>
  <c r="I363" i="176"/>
  <c r="I364" i="176" l="1"/>
  <c r="C365" i="176"/>
  <c r="I365" i="176" l="1"/>
  <c r="C366" i="176"/>
  <c r="C367" i="176" l="1"/>
  <c r="I366" i="176"/>
  <c r="C368" i="176" l="1"/>
  <c r="I368" i="176" s="1"/>
  <c r="I367" i="176"/>
  <c r="C369" i="176" l="1"/>
  <c r="C370" i="176" l="1"/>
  <c r="I369" i="176"/>
  <c r="C371" i="176" l="1"/>
  <c r="I370" i="176"/>
  <c r="C372" i="176" l="1"/>
  <c r="I372" i="176" s="1"/>
  <c r="I371" i="176"/>
  <c r="C373" i="176" l="1"/>
  <c r="C374" i="176" l="1"/>
  <c r="I373" i="176"/>
  <c r="I374" i="176" l="1"/>
  <c r="C375" i="176" l="1"/>
  <c r="C376" i="176" l="1"/>
  <c r="I375" i="176"/>
  <c r="C377" i="176" l="1"/>
  <c r="I376" i="176"/>
  <c r="C378" i="176" l="1"/>
  <c r="I377" i="176"/>
  <c r="I378" i="176" l="1"/>
  <c r="C379" i="176"/>
  <c r="I379" i="176" l="1"/>
  <c r="C380" i="176" l="1"/>
  <c r="I380" i="176" l="1"/>
  <c r="C381" i="176" l="1"/>
  <c r="C382" i="176" l="1"/>
  <c r="I381" i="176"/>
  <c r="C383" i="176" l="1"/>
  <c r="I382" i="176"/>
  <c r="C384" i="176" l="1"/>
  <c r="I383" i="176"/>
  <c r="I384" i="176" l="1"/>
  <c r="C385" i="176"/>
  <c r="I385" i="176" l="1"/>
  <c r="C386" i="176" l="1"/>
  <c r="I386" i="176" l="1"/>
  <c r="C387" i="176"/>
  <c r="I387" i="176" l="1"/>
  <c r="C388" i="176" l="1"/>
  <c r="C389" i="176" l="1"/>
  <c r="I388" i="176"/>
  <c r="I389" i="176" l="1"/>
  <c r="C1316" i="176" l="1"/>
  <c r="C1317" i="176" s="1"/>
  <c r="D1317" i="176"/>
  <c r="D1318" i="176" s="1"/>
  <c r="E1318" i="176"/>
  <c r="E1319" i="176" s="1"/>
  <c r="E1320" i="176" s="1"/>
  <c r="E1321" i="176" s="1"/>
  <c r="E1322" i="176" s="1"/>
  <c r="E1323" i="176" s="1"/>
  <c r="E1324" i="176" s="1"/>
  <c r="E1325" i="176" s="1"/>
  <c r="E1326" i="176" s="1"/>
  <c r="E1327" i="176" s="1"/>
  <c r="E1328" i="176" s="1"/>
  <c r="E1329" i="176" s="1"/>
  <c r="E1330" i="176" s="1"/>
  <c r="E1331" i="176" s="1"/>
  <c r="E1332" i="176" s="1"/>
  <c r="E1333" i="176" s="1"/>
  <c r="E1334" i="176" s="1"/>
  <c r="E1335" i="176" s="1"/>
  <c r="E1336" i="176" s="1"/>
  <c r="E1337" i="176" s="1"/>
  <c r="E1338" i="176" s="1"/>
  <c r="E1339" i="176" s="1"/>
  <c r="E1340" i="176" s="1"/>
  <c r="E1341" i="176" s="1"/>
  <c r="E1342" i="176" s="1"/>
  <c r="E1343" i="176" s="1"/>
  <c r="E1344" i="176" s="1"/>
  <c r="E1345" i="176" s="1"/>
  <c r="E1346" i="176" s="1"/>
  <c r="E1347" i="176" s="1"/>
  <c r="E1348" i="176" s="1"/>
  <c r="E1349" i="176" s="1"/>
  <c r="E1350" i="176" s="1"/>
  <c r="E1351" i="176" s="1"/>
  <c r="E1352" i="176" s="1"/>
  <c r="E1353" i="176" s="1"/>
  <c r="E1354" i="176" s="1"/>
  <c r="E1355" i="176" s="1"/>
  <c r="E1356" i="176" s="1"/>
  <c r="E1357" i="176" s="1"/>
  <c r="E1358" i="176" s="1"/>
  <c r="E1359" i="176" s="1"/>
  <c r="E1360" i="176" s="1"/>
  <c r="E1361" i="176" s="1"/>
  <c r="E1362" i="176" s="1"/>
  <c r="E1363" i="176" s="1"/>
  <c r="E1364" i="176" s="1"/>
  <c r="E1365" i="176" s="1"/>
  <c r="E1366" i="176" s="1"/>
  <c r="E1367" i="176" s="1"/>
  <c r="E1368" i="176" s="1"/>
  <c r="E1369" i="176" s="1"/>
  <c r="E1370" i="176" s="1"/>
  <c r="E1371" i="176" s="1"/>
  <c r="E1372" i="176" s="1"/>
  <c r="E1373" i="176" s="1"/>
  <c r="E1374" i="176" s="1"/>
  <c r="E1375" i="176" s="1"/>
  <c r="E1376" i="176" s="1"/>
  <c r="E1377" i="176" s="1"/>
  <c r="E1378" i="176" s="1"/>
  <c r="E1379" i="176" s="1"/>
  <c r="E1380" i="176" s="1"/>
  <c r="E1381" i="176" s="1"/>
  <c r="E1382" i="176" s="1"/>
  <c r="E1383" i="176" s="1"/>
  <c r="E1384" i="176" s="1"/>
  <c r="E1385" i="176" s="1"/>
  <c r="E1386" i="176" s="1"/>
  <c r="E1387" i="176" s="1"/>
  <c r="E1388" i="176" s="1"/>
  <c r="E1389" i="176" s="1"/>
  <c r="E1390" i="176" s="1"/>
  <c r="E1391" i="176" s="1"/>
  <c r="E1392" i="176" s="1"/>
  <c r="E1393" i="176" s="1"/>
  <c r="E1394" i="176" s="1"/>
  <c r="E1395" i="176" s="1"/>
  <c r="E1396" i="176" s="1"/>
  <c r="E1397" i="176" s="1"/>
  <c r="E1398" i="176" s="1"/>
  <c r="E1399" i="176" s="1"/>
  <c r="E1400" i="176" s="1"/>
  <c r="E1401" i="176" s="1"/>
  <c r="E1402" i="176" s="1"/>
  <c r="E1403" i="176" s="1"/>
  <c r="E1404" i="176" s="1"/>
  <c r="E1405" i="176" s="1"/>
  <c r="E1406" i="176" s="1"/>
  <c r="E1407" i="176" s="1"/>
  <c r="E1408" i="176" s="1"/>
  <c r="E1409" i="176" s="1"/>
  <c r="E1410" i="176" s="1"/>
  <c r="E1411" i="176" s="1"/>
  <c r="E1412" i="176" s="1"/>
  <c r="E1413" i="176" s="1"/>
  <c r="E1414" i="176" s="1"/>
  <c r="E1415" i="176" s="1"/>
  <c r="E1416" i="176" s="1"/>
  <c r="E1417" i="176" s="1"/>
  <c r="E1418" i="176" s="1"/>
  <c r="E1419" i="176" s="1"/>
  <c r="E1420" i="176" s="1"/>
  <c r="E1421" i="176" s="1"/>
  <c r="E1422" i="176" s="1"/>
  <c r="E1423" i="176" s="1"/>
  <c r="E1424" i="176" s="1"/>
  <c r="E1425" i="176" s="1"/>
  <c r="E1426" i="176" s="1"/>
  <c r="E1427" i="176" s="1"/>
  <c r="E1428" i="176" s="1"/>
  <c r="E1429" i="176" s="1"/>
  <c r="E1430" i="176" s="1"/>
  <c r="E1431" i="176" s="1"/>
  <c r="E1432" i="176" s="1"/>
  <c r="E1433" i="176" s="1"/>
  <c r="E1434" i="176" s="1"/>
  <c r="E1435" i="176" s="1"/>
  <c r="E1436" i="176" s="1"/>
  <c r="E1437" i="176" s="1"/>
  <c r="E1438" i="176" s="1"/>
  <c r="E1439" i="176" s="1"/>
  <c r="E1440" i="176" s="1"/>
  <c r="E1441" i="176" s="1"/>
  <c r="E1442" i="176" s="1"/>
  <c r="E1443" i="176" s="1"/>
  <c r="E1444" i="176" s="1"/>
  <c r="E1445" i="176" s="1"/>
  <c r="E1446" i="176" s="1"/>
  <c r="E1447" i="176" s="1"/>
  <c r="E1448" i="176" s="1"/>
  <c r="E1449" i="176" s="1"/>
  <c r="E1450" i="176" s="1"/>
  <c r="E1451" i="176" s="1"/>
  <c r="E1452" i="176" s="1"/>
  <c r="E1453" i="176" s="1"/>
  <c r="E1454" i="176" s="1"/>
  <c r="E1455" i="176" s="1"/>
  <c r="E1456" i="176" s="1"/>
  <c r="E1457" i="176" s="1"/>
  <c r="E1458" i="176" s="1"/>
  <c r="E1459" i="176" s="1"/>
  <c r="E1460" i="176" s="1"/>
  <c r="E1461" i="176" s="1"/>
  <c r="E1462" i="176" s="1"/>
  <c r="E1463" i="176" s="1"/>
  <c r="E1464" i="176" s="1"/>
  <c r="E1465" i="176" s="1"/>
  <c r="E1466" i="176" s="1"/>
  <c r="E1467" i="176" s="1"/>
  <c r="E1468" i="176" s="1"/>
  <c r="E1469" i="176" s="1"/>
  <c r="E1470" i="176" s="1"/>
  <c r="E1471" i="176" s="1"/>
  <c r="E1472" i="176" s="1"/>
  <c r="E1473" i="176" s="1"/>
  <c r="E1474" i="176" s="1"/>
  <c r="E1475" i="176" s="1"/>
  <c r="E1476" i="176" s="1"/>
  <c r="E1477" i="176" s="1"/>
  <c r="E1478" i="176" s="1"/>
  <c r="E1479" i="176" s="1"/>
  <c r="E1480" i="176" s="1"/>
  <c r="E1481" i="176" s="1"/>
  <c r="E1482" i="176" s="1"/>
  <c r="E1483" i="176" s="1"/>
  <c r="E1484" i="176" s="1"/>
  <c r="E1485" i="176" s="1"/>
  <c r="E1486" i="176" s="1"/>
  <c r="E1487" i="176" s="1"/>
  <c r="E1488" i="176" s="1"/>
  <c r="E1489" i="176" s="1"/>
  <c r="E1490" i="176" s="1"/>
  <c r="E1491" i="176" s="1"/>
  <c r="E1492" i="176" s="1"/>
  <c r="E1493" i="176" s="1"/>
  <c r="E1494" i="176" s="1"/>
  <c r="E1495" i="176" s="1"/>
  <c r="E1496" i="176" s="1"/>
  <c r="E1497" i="176" s="1"/>
  <c r="E1498" i="176" s="1"/>
  <c r="E1499" i="176" s="1"/>
  <c r="E1500" i="176" s="1"/>
  <c r="E1501" i="176" s="1"/>
  <c r="E1502" i="176" s="1"/>
  <c r="E1503" i="176" s="1"/>
  <c r="E1504" i="176" s="1"/>
  <c r="E1505" i="176" s="1"/>
  <c r="E1506" i="176" s="1"/>
  <c r="E1507" i="176" s="1"/>
  <c r="E1508" i="176" s="1"/>
  <c r="E1509" i="176" s="1"/>
  <c r="E1510" i="176" s="1"/>
  <c r="E1511" i="176" s="1"/>
  <c r="E1512" i="176" s="1"/>
  <c r="E1513" i="176" s="1"/>
  <c r="E1514" i="176" s="1"/>
  <c r="E1515" i="176" s="1"/>
  <c r="E1516" i="176" s="1"/>
  <c r="E1517" i="176" s="1"/>
  <c r="E1518" i="176" s="1"/>
  <c r="E1519" i="176" s="1"/>
  <c r="E1520" i="176" s="1"/>
  <c r="E1521" i="176" s="1"/>
  <c r="E1522" i="176" s="1"/>
  <c r="E1523" i="176" s="1"/>
  <c r="E1524" i="176" s="1"/>
  <c r="E1525" i="176" s="1"/>
  <c r="E1526" i="176" s="1"/>
  <c r="E1527" i="176" s="1"/>
  <c r="E1528" i="176" s="1"/>
  <c r="E1529" i="176" s="1"/>
  <c r="E1530" i="176" s="1"/>
  <c r="E1531" i="176" s="1"/>
  <c r="E1532" i="176" s="1"/>
  <c r="E1533" i="176" s="1"/>
  <c r="E1534" i="176" s="1"/>
  <c r="E1535" i="176" s="1"/>
  <c r="E1536" i="176" s="1"/>
  <c r="E1537" i="176" s="1"/>
  <c r="E1538" i="176" s="1"/>
  <c r="E1539" i="176" s="1"/>
  <c r="E1540" i="176" s="1"/>
  <c r="E1541" i="176" s="1"/>
  <c r="E1542" i="176" s="1"/>
  <c r="E1543" i="176" s="1"/>
  <c r="E1544" i="176" s="1"/>
  <c r="E1545" i="176" s="1"/>
  <c r="E1546" i="176" s="1"/>
  <c r="E1547" i="176" s="1"/>
  <c r="E1548" i="176" s="1"/>
  <c r="E1549" i="176" s="1"/>
  <c r="E1550" i="176" s="1"/>
  <c r="E1551" i="176" s="1"/>
  <c r="E1552" i="176" s="1"/>
  <c r="E1553" i="176" s="1"/>
  <c r="E1554" i="176" s="1"/>
  <c r="E1555" i="176" s="1"/>
  <c r="E1556" i="176" s="1"/>
  <c r="E1557" i="176" s="1"/>
  <c r="E1558" i="176" s="1"/>
  <c r="E1559" i="176" s="1"/>
  <c r="E1560" i="176" s="1"/>
  <c r="E1561" i="176" s="1"/>
  <c r="E1562" i="176" s="1"/>
  <c r="E1563" i="176" s="1"/>
  <c r="E1564" i="176" s="1"/>
  <c r="E1565" i="176" s="1"/>
  <c r="E1566" i="176" s="1"/>
  <c r="E1567" i="176" s="1"/>
  <c r="E1568" i="176" s="1"/>
  <c r="E1569" i="176" s="1"/>
  <c r="E1570" i="176" s="1"/>
  <c r="E1571" i="176" s="1"/>
  <c r="E1572" i="176" s="1"/>
  <c r="E1573" i="176" s="1"/>
  <c r="E1574" i="176" s="1"/>
  <c r="E1575" i="176" s="1"/>
  <c r="E1576" i="176" s="1"/>
  <c r="E1577" i="176" s="1"/>
  <c r="E1578" i="176" s="1"/>
  <c r="E1579" i="176" s="1"/>
  <c r="E1580" i="176" s="1"/>
  <c r="E1581" i="176" s="1"/>
  <c r="E1582" i="176" s="1"/>
  <c r="E1583" i="176" s="1"/>
  <c r="E1584" i="176" s="1"/>
  <c r="E1585" i="176" s="1"/>
  <c r="E1586" i="176" s="1"/>
  <c r="E1587" i="176" s="1"/>
  <c r="E1588" i="176" s="1"/>
  <c r="E1589" i="176" s="1"/>
  <c r="E1590" i="176" s="1"/>
  <c r="E1591" i="176" s="1"/>
  <c r="E1592" i="176" s="1"/>
  <c r="E1593" i="176" s="1"/>
  <c r="E1594" i="176" s="1"/>
  <c r="E1595" i="176" s="1"/>
  <c r="E1596" i="176" s="1"/>
  <c r="E1597" i="176" s="1"/>
  <c r="E1598" i="176" s="1"/>
  <c r="E1599" i="176" s="1"/>
  <c r="E1600" i="176" s="1"/>
  <c r="E1601" i="176" s="1"/>
  <c r="E1602" i="176" s="1"/>
  <c r="E1603" i="176" s="1"/>
  <c r="E1604" i="176" s="1"/>
  <c r="E1605" i="176" s="1"/>
  <c r="E1606" i="176" s="1"/>
  <c r="E1607" i="176" s="1"/>
  <c r="E1608" i="176" s="1"/>
  <c r="E1609" i="176" s="1"/>
  <c r="E1610" i="176" s="1"/>
  <c r="E1611" i="176" s="1"/>
  <c r="E1612" i="176" s="1"/>
  <c r="E1613" i="176" s="1"/>
  <c r="E1614" i="176" s="1"/>
  <c r="E1615" i="176" s="1"/>
  <c r="E1616" i="176" s="1"/>
  <c r="E1617" i="176" s="1"/>
  <c r="E1618" i="176" s="1"/>
  <c r="E1619" i="176" s="1"/>
  <c r="E1620" i="176" s="1"/>
  <c r="E1621" i="176" s="1"/>
  <c r="E1622" i="176" s="1"/>
  <c r="E1623" i="176" s="1"/>
  <c r="E1624" i="176" s="1"/>
  <c r="E1625" i="176" s="1"/>
  <c r="E1626" i="176" s="1"/>
  <c r="E1627" i="176" s="1"/>
  <c r="E1628" i="176" s="1"/>
  <c r="E1629" i="176" s="1"/>
  <c r="E1630" i="176" s="1"/>
  <c r="E1631" i="176" s="1"/>
  <c r="E1632" i="176" s="1"/>
  <c r="E1633" i="176" s="1"/>
  <c r="E1634" i="176" s="1"/>
  <c r="E1635" i="176" s="1"/>
  <c r="E1636" i="176" s="1"/>
  <c r="E1637" i="176" s="1"/>
  <c r="E1638" i="176" s="1"/>
  <c r="E1639" i="176" s="1"/>
  <c r="E1640" i="176" s="1"/>
  <c r="E1641" i="176" s="1"/>
  <c r="E1642" i="176" s="1"/>
  <c r="E1643" i="176" s="1"/>
  <c r="E1644" i="176" s="1"/>
  <c r="E1645" i="176" s="1"/>
  <c r="E1646" i="176" s="1"/>
  <c r="E1647" i="176" s="1"/>
  <c r="E1648" i="176" s="1"/>
  <c r="E1649" i="176" s="1"/>
  <c r="E1650" i="176" s="1"/>
  <c r="E1651" i="176" s="1"/>
  <c r="E1652" i="176" s="1"/>
  <c r="E1653" i="176" s="1"/>
  <c r="E1654" i="176" s="1"/>
  <c r="E1655" i="176" s="1"/>
  <c r="E1656" i="176" s="1"/>
  <c r="E1657" i="176" s="1"/>
  <c r="E1658" i="176" s="1"/>
  <c r="E1659" i="176" s="1"/>
  <c r="E1660" i="176" s="1"/>
  <c r="E1661" i="176" s="1"/>
  <c r="E1662" i="176" s="1"/>
  <c r="E1663" i="176" s="1"/>
  <c r="E1664" i="176" s="1"/>
  <c r="E1665" i="176" s="1"/>
  <c r="E1666" i="176" s="1"/>
  <c r="E1667" i="176" s="1"/>
  <c r="E1668" i="176" s="1"/>
  <c r="E1669" i="176" s="1"/>
  <c r="E1670" i="176" s="1"/>
  <c r="E1671" i="176" s="1"/>
  <c r="E1672" i="176" s="1"/>
  <c r="E1673" i="176" s="1"/>
  <c r="E1674" i="176" s="1"/>
  <c r="E1675" i="176" s="1"/>
  <c r="E1676" i="176" s="1"/>
  <c r="E1677" i="176" s="1"/>
  <c r="E1678" i="176" s="1"/>
  <c r="E1679" i="176" s="1"/>
  <c r="E1680" i="176" s="1"/>
  <c r="E1681" i="176" s="1"/>
  <c r="E1682" i="176" s="1"/>
  <c r="E1683" i="176" s="1"/>
  <c r="E1684" i="176" s="1"/>
  <c r="E1685" i="176" s="1"/>
  <c r="E1686" i="176" s="1"/>
  <c r="E1687" i="176" s="1"/>
  <c r="E1688" i="176" s="1"/>
  <c r="E1689" i="176" s="1"/>
  <c r="E1690" i="176" s="1"/>
  <c r="E1691" i="176" s="1"/>
  <c r="E1692" i="176" s="1"/>
  <c r="E1693" i="176" s="1"/>
  <c r="E1694" i="176" s="1"/>
  <c r="E1695" i="176" s="1"/>
  <c r="E1696" i="176" s="1"/>
  <c r="E1697" i="176" s="1"/>
  <c r="E1698" i="176" s="1"/>
  <c r="E1699" i="176" s="1"/>
  <c r="E1700" i="176" s="1"/>
  <c r="E1701" i="176" s="1"/>
  <c r="E1702" i="176" s="1"/>
  <c r="E1703" i="176" s="1"/>
  <c r="E1704" i="176" s="1"/>
  <c r="E1705" i="176" s="1"/>
  <c r="E1706" i="176" s="1"/>
  <c r="E1707" i="176" s="1"/>
  <c r="E1708" i="176" s="1"/>
  <c r="E1709" i="176" s="1"/>
  <c r="E1710" i="176" s="1"/>
  <c r="E1711" i="176" s="1"/>
  <c r="E1712" i="176" s="1"/>
  <c r="E1713" i="176" s="1"/>
  <c r="E1714" i="176" s="1"/>
  <c r="E1715" i="176" s="1"/>
  <c r="E1716" i="176" s="1"/>
  <c r="E1717" i="176" s="1"/>
  <c r="E1718" i="176" s="1"/>
  <c r="E1719" i="176" s="1"/>
  <c r="E1720" i="176" s="1"/>
  <c r="E1721" i="176" s="1"/>
  <c r="E1722" i="176" s="1"/>
  <c r="E1723" i="176" s="1"/>
  <c r="E1724" i="176" s="1"/>
  <c r="E1725" i="176" s="1"/>
  <c r="E1726" i="176" s="1"/>
  <c r="E1727" i="176" s="1"/>
  <c r="E1728" i="176" s="1"/>
  <c r="E1729" i="176" s="1"/>
  <c r="E1730" i="176" s="1"/>
  <c r="E1731" i="176" s="1"/>
  <c r="E1732" i="176" s="1"/>
  <c r="E1733" i="176" s="1"/>
  <c r="E1734" i="176" s="1"/>
  <c r="E1735" i="176" s="1"/>
  <c r="E1736" i="176" s="1"/>
  <c r="E1737" i="176" s="1"/>
  <c r="E1738" i="176" s="1"/>
  <c r="E1739" i="176" s="1"/>
  <c r="E1740" i="176" s="1"/>
  <c r="E1741" i="176" s="1"/>
  <c r="E1742" i="176" s="1"/>
  <c r="E1743" i="176" s="1"/>
  <c r="E1744" i="176" s="1"/>
  <c r="E1745" i="176" s="1"/>
  <c r="E1746" i="176" s="1"/>
  <c r="E1747" i="176" s="1"/>
  <c r="E1748" i="176" s="1"/>
  <c r="E1749" i="176" s="1"/>
  <c r="E1750" i="176" s="1"/>
  <c r="E1751" i="176" s="1"/>
  <c r="E1752" i="176" s="1"/>
  <c r="E1753" i="176" s="1"/>
  <c r="E1754" i="176" s="1"/>
  <c r="E1755" i="176" s="1"/>
  <c r="E1756" i="176" s="1"/>
  <c r="E1757" i="176" s="1"/>
  <c r="E1758" i="176" s="1"/>
  <c r="E1759" i="176" s="1"/>
  <c r="E1760" i="176" s="1"/>
  <c r="E1761" i="176" s="1"/>
  <c r="E1762" i="176" s="1"/>
  <c r="E1763" i="176" s="1"/>
  <c r="E1764" i="176" s="1"/>
  <c r="E1765" i="176" s="1"/>
  <c r="E1766" i="176" s="1"/>
  <c r="E1767" i="176" s="1"/>
  <c r="E1768" i="176" s="1"/>
  <c r="E1769" i="176" s="1"/>
  <c r="E1770" i="176" s="1"/>
  <c r="E1771" i="176" s="1"/>
  <c r="E1772" i="176" s="1"/>
  <c r="E1773" i="176" s="1"/>
  <c r="E1774" i="176" s="1"/>
  <c r="E1775" i="176" s="1"/>
  <c r="E1776" i="176" s="1"/>
  <c r="E1777" i="176" s="1"/>
  <c r="E1778" i="176" s="1"/>
  <c r="E1779" i="176" s="1"/>
  <c r="E1780" i="176" s="1"/>
  <c r="E1781" i="176" s="1"/>
  <c r="E1782" i="176" s="1"/>
  <c r="E1783" i="176" s="1"/>
  <c r="E1784" i="176" s="1"/>
  <c r="E1785" i="176" s="1"/>
  <c r="E1786" i="176" s="1"/>
  <c r="E1787" i="176" s="1"/>
  <c r="E1788" i="176" s="1"/>
  <c r="E1789" i="176" s="1"/>
  <c r="E1790" i="176" s="1"/>
  <c r="E1791" i="176" s="1"/>
  <c r="E1792" i="176" s="1"/>
  <c r="E1793" i="176" s="1"/>
  <c r="E1794" i="176" s="1"/>
  <c r="E1795" i="176" s="1"/>
  <c r="E1796" i="176" s="1"/>
  <c r="E1797" i="176" s="1"/>
  <c r="E1798" i="176" s="1"/>
  <c r="E1799" i="176" s="1"/>
  <c r="E1800" i="176" s="1"/>
  <c r="E1801" i="176" s="1"/>
  <c r="E1802" i="176" s="1"/>
  <c r="E1803" i="176" s="1"/>
  <c r="E1804" i="176" s="1"/>
  <c r="E1805" i="176" s="1"/>
  <c r="E1806" i="176" s="1"/>
  <c r="E1807" i="176" s="1"/>
  <c r="E1808" i="176" s="1"/>
  <c r="E1809" i="176" s="1"/>
  <c r="E1810" i="176" s="1"/>
  <c r="E1811" i="176" s="1"/>
  <c r="E1812" i="176" s="1"/>
  <c r="E1813" i="176" s="1"/>
  <c r="E1814" i="176" s="1"/>
  <c r="E1815" i="176" s="1"/>
  <c r="E1816" i="176" s="1"/>
  <c r="E1817" i="176" s="1"/>
  <c r="E1818" i="176" s="1"/>
  <c r="E1819" i="176" s="1"/>
  <c r="E1820" i="176" s="1"/>
  <c r="E1821" i="176" s="1"/>
  <c r="E1822" i="176" s="1"/>
  <c r="E1823" i="176" s="1"/>
  <c r="E1824" i="176" s="1"/>
  <c r="E1825" i="176" s="1"/>
  <c r="E1826" i="176" s="1"/>
  <c r="E1827" i="176" s="1"/>
  <c r="E1828" i="176" s="1"/>
  <c r="E1829" i="176" s="1"/>
  <c r="E1830" i="176" s="1"/>
  <c r="E1831" i="176" s="1"/>
  <c r="E1832" i="176" s="1"/>
  <c r="E1833" i="176" s="1"/>
  <c r="E1834" i="176" s="1"/>
  <c r="E1835" i="176" s="1"/>
  <c r="E1836" i="176" s="1"/>
  <c r="E1837" i="176" s="1"/>
  <c r="E1838" i="176" s="1"/>
  <c r="E1839" i="176" s="1"/>
  <c r="E1840" i="176" s="1"/>
  <c r="E1841" i="176" s="1"/>
  <c r="E1842" i="176" s="1"/>
  <c r="E1843" i="176" s="1"/>
  <c r="E1844" i="176" s="1"/>
  <c r="E1845" i="176" s="1"/>
  <c r="E1846" i="176" s="1"/>
  <c r="E1847" i="176" s="1"/>
  <c r="E1848" i="176" s="1"/>
  <c r="E1849" i="176" s="1"/>
  <c r="E1850" i="176" s="1"/>
  <c r="E1851" i="176" s="1"/>
  <c r="E1852" i="176" s="1"/>
  <c r="E1853" i="176" s="1"/>
  <c r="E1854" i="176" s="1"/>
  <c r="E1855" i="176" s="1"/>
  <c r="E1856" i="176" s="1"/>
  <c r="E1857" i="176" s="1"/>
  <c r="E1858" i="176" s="1"/>
  <c r="E1859" i="176" s="1"/>
  <c r="E1860" i="176" s="1"/>
  <c r="E1861" i="176" s="1"/>
  <c r="E1862" i="176" s="1"/>
  <c r="E1863" i="176" s="1"/>
  <c r="E1864" i="176" s="1"/>
  <c r="E1865" i="176" s="1"/>
  <c r="E1866" i="176" s="1"/>
  <c r="E1867" i="176" s="1"/>
  <c r="E1868" i="176" s="1"/>
  <c r="E1869" i="176" s="1"/>
  <c r="E1870" i="176" s="1"/>
  <c r="E1871" i="176" s="1"/>
  <c r="E1872" i="176" s="1"/>
  <c r="E1873" i="176" s="1"/>
  <c r="E1874" i="176" s="1"/>
  <c r="E1875" i="176" s="1"/>
  <c r="E1876" i="176" s="1"/>
  <c r="E1877" i="176" s="1"/>
  <c r="E1878" i="176" s="1"/>
  <c r="E1879" i="176" s="1"/>
  <c r="E1880" i="176" s="1"/>
  <c r="E1881" i="176" s="1"/>
  <c r="E1882" i="176" s="1"/>
  <c r="E1883" i="176" s="1"/>
  <c r="E1884" i="176" s="1"/>
  <c r="E1885" i="176" s="1"/>
  <c r="E1886" i="176" s="1"/>
  <c r="E1887" i="176" s="1"/>
  <c r="E1888" i="176" s="1"/>
  <c r="E1889" i="176" s="1"/>
  <c r="E1890" i="176" s="1"/>
  <c r="E1891" i="176" s="1"/>
  <c r="E1892" i="176" s="1"/>
  <c r="E1893" i="176" s="1"/>
  <c r="E1894" i="176" s="1"/>
  <c r="E1895" i="176" s="1"/>
  <c r="E1896" i="176" s="1"/>
  <c r="E1897" i="176" s="1"/>
  <c r="E1898" i="176" s="1"/>
  <c r="E1899" i="176" s="1"/>
  <c r="E1900" i="176" s="1"/>
  <c r="E1901" i="176" s="1"/>
  <c r="E1902" i="176" s="1"/>
  <c r="E1903" i="176" s="1"/>
  <c r="E1904" i="176" s="1"/>
  <c r="E1905" i="176" s="1"/>
  <c r="E1906" i="176" s="1"/>
  <c r="E1907" i="176" s="1"/>
  <c r="E1908" i="176" s="1"/>
  <c r="E1909" i="176" s="1"/>
  <c r="E1910" i="176" s="1"/>
  <c r="E1911" i="176" s="1"/>
  <c r="E1912" i="176" s="1"/>
  <c r="E1913" i="176" s="1"/>
  <c r="E1914" i="176" s="1"/>
  <c r="E1915" i="176" s="1"/>
  <c r="E1916" i="176" s="1"/>
  <c r="E1917" i="176" s="1"/>
  <c r="E1918" i="176" s="1"/>
  <c r="E1919" i="176" s="1"/>
  <c r="E1920" i="176" s="1"/>
  <c r="E1921" i="176" s="1"/>
  <c r="E1922" i="176" s="1"/>
  <c r="E1923" i="176" s="1"/>
  <c r="E1924" i="176" s="1"/>
  <c r="E1925" i="176" s="1"/>
  <c r="E1926" i="176" s="1"/>
  <c r="E1927" i="176" s="1"/>
  <c r="E1928" i="176" s="1"/>
  <c r="E1929" i="176" s="1"/>
  <c r="E1930" i="176" s="1"/>
  <c r="E1931" i="176" s="1"/>
  <c r="E1932" i="176" s="1"/>
  <c r="E1933" i="176" s="1"/>
  <c r="E1934" i="176" s="1"/>
  <c r="E1935" i="176" s="1"/>
  <c r="E1936" i="176" s="1"/>
  <c r="E1937" i="176" s="1"/>
  <c r="E1938" i="176" s="1"/>
  <c r="E1939" i="176" s="1"/>
  <c r="E1940" i="176" s="1"/>
  <c r="E1941" i="176" s="1"/>
  <c r="E1942" i="176" s="1"/>
  <c r="E1943" i="176" s="1"/>
  <c r="E1944" i="176" s="1"/>
  <c r="E1945" i="176" s="1"/>
  <c r="E1946" i="176" s="1"/>
  <c r="E1947" i="176" s="1"/>
  <c r="E1948" i="176" s="1"/>
  <c r="E1949" i="176" s="1"/>
  <c r="E1950" i="176" s="1"/>
  <c r="E1951" i="176" s="1"/>
  <c r="E1952" i="176" s="1"/>
  <c r="E1953" i="176" s="1"/>
  <c r="E1954" i="176" s="1"/>
  <c r="E1955" i="176" s="1"/>
  <c r="E1956" i="176" s="1"/>
  <c r="E1957" i="176" s="1"/>
  <c r="C1298" i="176"/>
  <c r="C1299" i="176" s="1"/>
  <c r="C1300" i="176" s="1"/>
  <c r="C1301" i="176" s="1"/>
  <c r="C1302" i="176" s="1"/>
  <c r="D1299" i="176"/>
  <c r="D1300" i="176" s="1"/>
  <c r="E1314" i="176"/>
  <c r="E1315" i="176" s="1"/>
  <c r="E1316" i="176" s="1"/>
  <c r="E1317" i="176" s="1"/>
  <c r="E1311" i="176"/>
  <c r="E1312" i="176" s="1"/>
  <c r="E1313" i="176" s="1"/>
  <c r="E1307" i="176"/>
  <c r="E1308" i="176" s="1"/>
  <c r="E1309" i="176"/>
  <c r="E1310" i="176" s="1"/>
  <c r="E1305" i="176"/>
  <c r="E1306" i="176" s="1"/>
  <c r="E1303" i="176"/>
  <c r="E1304" i="176" s="1"/>
  <c r="E1300" i="176"/>
  <c r="C1191" i="176"/>
  <c r="C1192" i="176" s="1"/>
  <c r="D1192" i="176"/>
  <c r="D1193" i="176" s="1"/>
  <c r="E1210" i="176"/>
  <c r="E1211" i="176" s="1"/>
  <c r="E1212" i="176" s="1"/>
  <c r="E1213" i="176" s="1"/>
  <c r="E1208" i="176"/>
  <c r="E1209" i="176" s="1"/>
  <c r="E1205" i="176"/>
  <c r="E1206" i="176" s="1"/>
  <c r="E1207" i="176" s="1"/>
  <c r="E1198" i="176"/>
  <c r="E1199" i="176" s="1"/>
  <c r="E1200" i="176" s="1"/>
  <c r="E1201" i="176" s="1"/>
  <c r="E1202" i="176" s="1"/>
  <c r="E1203" i="176" s="1"/>
  <c r="E1204" i="176" s="1"/>
  <c r="E1193" i="176"/>
  <c r="E1194" i="176" s="1"/>
  <c r="E1195" i="176" s="1"/>
  <c r="C1185" i="176"/>
  <c r="C1186" i="176" s="1"/>
  <c r="D1186" i="176"/>
  <c r="E1187" i="176"/>
  <c r="E1188" i="176" s="1"/>
  <c r="E1191" i="176" s="1"/>
  <c r="E1192" i="176" s="1"/>
  <c r="C1290" i="176"/>
  <c r="C1291" i="176" s="1"/>
  <c r="D1291" i="176"/>
  <c r="D1292" i="176" s="1"/>
  <c r="D1293" i="176" s="1"/>
  <c r="D1294" i="176" s="1"/>
  <c r="D1295" i="176" s="1"/>
  <c r="D1296" i="176" s="1"/>
  <c r="D1297" i="176" s="1"/>
  <c r="E1296" i="176"/>
  <c r="E1297" i="176" s="1"/>
  <c r="E1294" i="176"/>
  <c r="E1295" i="176" s="1"/>
  <c r="E1292" i="176"/>
  <c r="E1293" i="176" s="1"/>
  <c r="C1153" i="176"/>
  <c r="C1154" i="176" s="1"/>
  <c r="E1173" i="176"/>
  <c r="E1183" i="176"/>
  <c r="E1184" i="176" s="1"/>
  <c r="E1171" i="176"/>
  <c r="E1172" i="176" s="1"/>
  <c r="E1163" i="176"/>
  <c r="E1164" i="176" s="1"/>
  <c r="E1165" i="176" s="1"/>
  <c r="E1166" i="176" s="1"/>
  <c r="E1167" i="176" s="1"/>
  <c r="E1168" i="176" s="1"/>
  <c r="D1154" i="176"/>
  <c r="D1155" i="176" s="1"/>
  <c r="E1180" i="176"/>
  <c r="E1181" i="176" s="1"/>
  <c r="E1158" i="176"/>
  <c r="E1159" i="176" s="1"/>
  <c r="E1160" i="176" s="1"/>
  <c r="E1155" i="176"/>
  <c r="E1156" i="176" s="1"/>
  <c r="E1157" i="176" s="1"/>
  <c r="C1013" i="176"/>
  <c r="C1014" i="176" s="1"/>
  <c r="D1014" i="176"/>
  <c r="D1015" i="176" s="1"/>
  <c r="D1016" i="176" s="1"/>
  <c r="E1028" i="176"/>
  <c r="E1029" i="176" s="1"/>
  <c r="E1024" i="176"/>
  <c r="E1025" i="176" s="1"/>
  <c r="E1026" i="176" s="1"/>
  <c r="E1027" i="176" s="1"/>
  <c r="E1019" i="176"/>
  <c r="E1020" i="176" s="1"/>
  <c r="E1021" i="176" s="1"/>
  <c r="E1022" i="176" s="1"/>
  <c r="E1023" i="176" s="1"/>
  <c r="E1015" i="176"/>
  <c r="E1016" i="176" s="1"/>
  <c r="E1013" i="176"/>
  <c r="E1014" i="176" s="1"/>
  <c r="E705" i="176"/>
  <c r="E706" i="176" s="1"/>
  <c r="E707" i="176" s="1"/>
  <c r="E708" i="176" s="1"/>
  <c r="E709" i="176" s="1"/>
  <c r="E710" i="176" s="1"/>
  <c r="E711" i="176" s="1"/>
  <c r="E712" i="176" s="1"/>
  <c r="E713" i="176" s="1"/>
  <c r="C833" i="176"/>
  <c r="C834" i="176" s="1"/>
  <c r="D834" i="176"/>
  <c r="D835" i="176" s="1"/>
  <c r="D836" i="176" s="1"/>
  <c r="D837" i="176" s="1"/>
  <c r="D838" i="176" s="1"/>
  <c r="E840" i="176"/>
  <c r="E841" i="176" s="1"/>
  <c r="E842" i="176" s="1"/>
  <c r="E837" i="176"/>
  <c r="E838" i="176" s="1"/>
  <c r="E835" i="176"/>
  <c r="E836" i="176" s="1"/>
  <c r="C703" i="176"/>
  <c r="C704" i="176" s="1"/>
  <c r="D704" i="176"/>
  <c r="E908" i="176"/>
  <c r="E909" i="176" s="1"/>
  <c r="E714" i="176"/>
  <c r="C589" i="176"/>
  <c r="C590" i="176" s="1"/>
  <c r="D590" i="176"/>
  <c r="D591" i="176" s="1"/>
  <c r="D592" i="176" s="1"/>
  <c r="D593" i="176" s="1"/>
  <c r="D594" i="176" s="1"/>
  <c r="E594" i="176"/>
  <c r="E591" i="176"/>
  <c r="E592" i="176" s="1"/>
  <c r="E593" i="176" s="1"/>
  <c r="C1274" i="176"/>
  <c r="C1275" i="176" s="1"/>
  <c r="D1280" i="176"/>
  <c r="D1281" i="176" s="1"/>
  <c r="D1282" i="176" s="1"/>
  <c r="D1283" i="176" s="1"/>
  <c r="D1284" i="176" s="1"/>
  <c r="E1281" i="176"/>
  <c r="E1282" i="176" s="1"/>
  <c r="D1275" i="176"/>
  <c r="D1276" i="176" s="1"/>
  <c r="D1277" i="176" s="1"/>
  <c r="D1278" i="176" s="1"/>
  <c r="D1279" i="176" s="1"/>
  <c r="E1278" i="176"/>
  <c r="E1279" i="176" s="1"/>
  <c r="E1280" i="176" s="1"/>
  <c r="E1276" i="176"/>
  <c r="E1277" i="176" s="1"/>
  <c r="C513" i="176"/>
  <c r="C514" i="176" s="1"/>
  <c r="D514" i="176"/>
  <c r="D515" i="176" s="1"/>
  <c r="D516" i="176" s="1"/>
  <c r="E515" i="176"/>
  <c r="E516" i="176" s="1"/>
  <c r="C579" i="176"/>
  <c r="C580" i="176" s="1"/>
  <c r="C581" i="176" s="1"/>
  <c r="C582" i="176" s="1"/>
  <c r="D580" i="176"/>
  <c r="E587" i="176"/>
  <c r="E588" i="176" s="1"/>
  <c r="E585" i="176"/>
  <c r="E586" i="176" s="1"/>
  <c r="E583" i="176"/>
  <c r="E584" i="176" s="1"/>
  <c r="C497" i="176"/>
  <c r="C498" i="176" s="1"/>
  <c r="C499" i="176" s="1"/>
  <c r="D498" i="176"/>
  <c r="D499" i="176" s="1"/>
  <c r="D500" i="176" s="1"/>
  <c r="D501" i="176" s="1"/>
  <c r="D502" i="176" s="1"/>
  <c r="D503" i="176" s="1"/>
  <c r="D504" i="176" s="1"/>
  <c r="D505" i="176" s="1"/>
  <c r="D506" i="176" s="1"/>
  <c r="D507" i="176" s="1"/>
  <c r="D508" i="176" s="1"/>
  <c r="D509" i="176" s="1"/>
  <c r="D510" i="176" s="1"/>
  <c r="D511" i="176" s="1"/>
  <c r="D512" i="176" s="1"/>
  <c r="E511" i="176"/>
  <c r="E512" i="176" s="1"/>
  <c r="E509" i="176"/>
  <c r="E510" i="176" s="1"/>
  <c r="E507" i="176"/>
  <c r="E508" i="176" s="1"/>
  <c r="E505" i="176"/>
  <c r="E506" i="176" s="1"/>
  <c r="E503" i="176"/>
  <c r="E504" i="176" s="1"/>
  <c r="E501" i="176"/>
  <c r="E502" i="176" s="1"/>
  <c r="E499" i="176"/>
  <c r="E500" i="176" s="1"/>
  <c r="C517" i="176"/>
  <c r="C518" i="176" s="1"/>
  <c r="C519" i="176" s="1"/>
  <c r="C520" i="176" s="1"/>
  <c r="D518" i="176"/>
  <c r="E529" i="176"/>
  <c r="E530" i="176" s="1"/>
  <c r="E525" i="176"/>
  <c r="E526" i="176" s="1"/>
  <c r="E523" i="176"/>
  <c r="E524" i="176" s="1"/>
  <c r="E521" i="176"/>
  <c r="E522" i="176" s="1"/>
  <c r="C597" i="176"/>
  <c r="C598" i="176" s="1"/>
  <c r="D598" i="176"/>
  <c r="E614" i="176"/>
  <c r="E615" i="176" s="1"/>
  <c r="E616" i="176" s="1"/>
  <c r="E612" i="176"/>
  <c r="E604" i="176"/>
  <c r="E599" i="176"/>
  <c r="E600" i="176" s="1"/>
  <c r="E601" i="176"/>
  <c r="E602" i="176" s="1"/>
  <c r="E603" i="176" s="1"/>
  <c r="E401" i="176"/>
  <c r="E402" i="176" s="1"/>
  <c r="E403" i="176" s="1"/>
  <c r="E404" i="176" s="1"/>
  <c r="D519" i="176" l="1"/>
  <c r="E1185" i="176"/>
  <c r="E1186" i="176" s="1"/>
  <c r="D595" i="176"/>
  <c r="D596" i="176" s="1"/>
  <c r="E595" i="176"/>
  <c r="E596" i="176" s="1"/>
  <c r="E597" i="176" s="1"/>
  <c r="E598" i="176" s="1"/>
  <c r="D581" i="176"/>
  <c r="D582" i="176" s="1"/>
  <c r="D583" i="176" s="1"/>
  <c r="D584" i="176" s="1"/>
  <c r="D585" i="176" s="1"/>
  <c r="D586" i="176" s="1"/>
  <c r="D587" i="176" s="1"/>
  <c r="D588" i="176" s="1"/>
  <c r="D589" i="176" s="1"/>
  <c r="E497" i="176"/>
  <c r="E498" i="176" s="1"/>
  <c r="E531" i="176"/>
  <c r="E617" i="176"/>
  <c r="E618" i="176" s="1"/>
  <c r="E1030" i="176"/>
  <c r="E1017" i="176"/>
  <c r="E1018" i="176" s="1"/>
  <c r="D1017" i="176"/>
  <c r="D1018" i="176" s="1"/>
  <c r="D1019" i="176" s="1"/>
  <c r="D1020" i="176" s="1"/>
  <c r="D1021" i="176" s="1"/>
  <c r="D1022" i="176" s="1"/>
  <c r="D1023" i="176" s="1"/>
  <c r="D1024" i="176" s="1"/>
  <c r="D1025" i="176" s="1"/>
  <c r="D1026" i="176" s="1"/>
  <c r="D1027" i="176" s="1"/>
  <c r="D1028" i="176" s="1"/>
  <c r="D1029" i="176" s="1"/>
  <c r="E1301" i="176"/>
  <c r="E1302" i="176" s="1"/>
  <c r="D1301" i="176"/>
  <c r="E1214" i="176"/>
  <c r="E1215" i="176" s="1"/>
  <c r="E1216" i="176" s="1"/>
  <c r="E1298" i="176"/>
  <c r="E1299" i="176" s="1"/>
  <c r="E1255" i="176"/>
  <c r="E665" i="176"/>
  <c r="E636" i="176"/>
  <c r="E680" i="176"/>
  <c r="E1196" i="176"/>
  <c r="E1197" i="176" s="1"/>
  <c r="D1285" i="176"/>
  <c r="D1286" i="176" s="1"/>
  <c r="D1287" i="176" s="1"/>
  <c r="E1174" i="176"/>
  <c r="E1161" i="176" s="1"/>
  <c r="E1290" i="176"/>
  <c r="E1291" i="176" s="1"/>
  <c r="E1182" i="176"/>
  <c r="E1074" i="176"/>
  <c r="E1111" i="176"/>
  <c r="E1094" i="176"/>
  <c r="E1153" i="176"/>
  <c r="E1154" i="176" s="1"/>
  <c r="E1126" i="176"/>
  <c r="E833" i="176"/>
  <c r="E834" i="176" s="1"/>
  <c r="E858" i="176"/>
  <c r="E850" i="176"/>
  <c r="E874" i="176"/>
  <c r="E866" i="176"/>
  <c r="E887" i="176"/>
  <c r="E882" i="176"/>
  <c r="D839" i="176"/>
  <c r="D840" i="176" s="1"/>
  <c r="D841" i="176" s="1"/>
  <c r="E839" i="176"/>
  <c r="E892" i="176"/>
  <c r="E893" i="176" s="1"/>
  <c r="D705" i="176"/>
  <c r="D706" i="176" s="1"/>
  <c r="E613" i="176"/>
  <c r="E605" i="176"/>
  <c r="E606" i="176" s="1"/>
  <c r="E607" i="176" s="1"/>
  <c r="E517" i="176"/>
  <c r="E518" i="176" s="1"/>
  <c r="E589" i="176"/>
  <c r="E590" i="176" s="1"/>
  <c r="E1274" i="176"/>
  <c r="E1275" i="176" s="1"/>
  <c r="E703" i="176"/>
  <c r="E704" i="176" s="1"/>
  <c r="E513" i="176"/>
  <c r="E514" i="176" s="1"/>
  <c r="D513" i="176"/>
  <c r="D517" i="176"/>
  <c r="E579" i="176"/>
  <c r="E580" i="176" s="1"/>
  <c r="C1318" i="176"/>
  <c r="C1319" i="176" s="1"/>
  <c r="C1320" i="176" s="1"/>
  <c r="C1321" i="176" s="1"/>
  <c r="C1322" i="176" s="1"/>
  <c r="C1323" i="176" s="1"/>
  <c r="C1324" i="176" s="1"/>
  <c r="C1325" i="176" s="1"/>
  <c r="C1326" i="176" s="1"/>
  <c r="C1327" i="176" s="1"/>
  <c r="C1328" i="176" s="1"/>
  <c r="C1329" i="176" s="1"/>
  <c r="C1330" i="176" s="1"/>
  <c r="C1331" i="176" s="1"/>
  <c r="C1332" i="176" s="1"/>
  <c r="C1333" i="176" s="1"/>
  <c r="C1334" i="176" s="1"/>
  <c r="C1335" i="176" s="1"/>
  <c r="C1336" i="176" s="1"/>
  <c r="C1337" i="176" s="1"/>
  <c r="C1338" i="176" s="1"/>
  <c r="C1339" i="176" s="1"/>
  <c r="C1340" i="176" s="1"/>
  <c r="C1341" i="176" s="1"/>
  <c r="C1342" i="176" s="1"/>
  <c r="C1343" i="176" s="1"/>
  <c r="C1344" i="176" s="1"/>
  <c r="C1345" i="176" s="1"/>
  <c r="C1346" i="176" s="1"/>
  <c r="C1347" i="176" s="1"/>
  <c r="C1348" i="176" s="1"/>
  <c r="C1349" i="176" s="1"/>
  <c r="C1350" i="176" s="1"/>
  <c r="C1351" i="176" s="1"/>
  <c r="C1352" i="176" s="1"/>
  <c r="C1353" i="176" s="1"/>
  <c r="C1354" i="176" s="1"/>
  <c r="C1355" i="176" s="1"/>
  <c r="C1356" i="176" s="1"/>
  <c r="C1357" i="176" s="1"/>
  <c r="C1358" i="176" s="1"/>
  <c r="C1359" i="176" s="1"/>
  <c r="C1360" i="176" s="1"/>
  <c r="C1361" i="176" s="1"/>
  <c r="C1362" i="176" s="1"/>
  <c r="C1363" i="176" s="1"/>
  <c r="C1364" i="176" s="1"/>
  <c r="C1365" i="176" s="1"/>
  <c r="C1366" i="176" s="1"/>
  <c r="C1367" i="176" s="1"/>
  <c r="C1368" i="176" s="1"/>
  <c r="C1369" i="176" s="1"/>
  <c r="C1370" i="176" s="1"/>
  <c r="C1371" i="176" s="1"/>
  <c r="C1372" i="176" s="1"/>
  <c r="C1373" i="176" s="1"/>
  <c r="C1374" i="176" s="1"/>
  <c r="C1375" i="176" s="1"/>
  <c r="C1376" i="176" s="1"/>
  <c r="C1377" i="176" s="1"/>
  <c r="C1378" i="176" s="1"/>
  <c r="C1379" i="176" s="1"/>
  <c r="C1380" i="176" s="1"/>
  <c r="C1381" i="176" s="1"/>
  <c r="C1382" i="176" s="1"/>
  <c r="C1383" i="176" s="1"/>
  <c r="C1384" i="176" s="1"/>
  <c r="C1385" i="176" s="1"/>
  <c r="C1386" i="176" s="1"/>
  <c r="C1387" i="176" s="1"/>
  <c r="C1388" i="176" s="1"/>
  <c r="C1389" i="176" s="1"/>
  <c r="C1390" i="176" s="1"/>
  <c r="C1391" i="176" s="1"/>
  <c r="C1392" i="176" s="1"/>
  <c r="C1393" i="176" s="1"/>
  <c r="C1394" i="176" s="1"/>
  <c r="C1395" i="176" s="1"/>
  <c r="C1396" i="176" s="1"/>
  <c r="C1397" i="176" s="1"/>
  <c r="C1398" i="176" s="1"/>
  <c r="C1399" i="176" s="1"/>
  <c r="C1400" i="176" s="1"/>
  <c r="C1401" i="176" s="1"/>
  <c r="C1402" i="176" s="1"/>
  <c r="C1403" i="176" s="1"/>
  <c r="C1404" i="176" s="1"/>
  <c r="C1405" i="176" s="1"/>
  <c r="C1406" i="176" s="1"/>
  <c r="C1407" i="176" s="1"/>
  <c r="C1408" i="176" s="1"/>
  <c r="C1409" i="176" s="1"/>
  <c r="C1410" i="176" s="1"/>
  <c r="C1411" i="176" s="1"/>
  <c r="C1412" i="176" s="1"/>
  <c r="C1413" i="176" s="1"/>
  <c r="C1414" i="176" s="1"/>
  <c r="C1415" i="176" s="1"/>
  <c r="C1416" i="176" s="1"/>
  <c r="C1417" i="176" s="1"/>
  <c r="C1418" i="176" s="1"/>
  <c r="C1419" i="176" s="1"/>
  <c r="C1420" i="176" s="1"/>
  <c r="C1421" i="176" s="1"/>
  <c r="C1422" i="176" s="1"/>
  <c r="C1423" i="176" s="1"/>
  <c r="C1424" i="176" s="1"/>
  <c r="C1425" i="176" s="1"/>
  <c r="C1426" i="176" s="1"/>
  <c r="C1427" i="176" s="1"/>
  <c r="C1428" i="176" s="1"/>
  <c r="C1429" i="176" s="1"/>
  <c r="C1430" i="176" s="1"/>
  <c r="C1431" i="176" s="1"/>
  <c r="C1432" i="176" s="1"/>
  <c r="C1433" i="176" s="1"/>
  <c r="C1434" i="176" s="1"/>
  <c r="C1435" i="176" s="1"/>
  <c r="C1436" i="176" s="1"/>
  <c r="C1437" i="176" s="1"/>
  <c r="C1438" i="176" s="1"/>
  <c r="C1439" i="176" s="1"/>
  <c r="C1440" i="176" s="1"/>
  <c r="C1441" i="176" s="1"/>
  <c r="C1442" i="176" s="1"/>
  <c r="C1443" i="176" s="1"/>
  <c r="C1444" i="176" s="1"/>
  <c r="C1445" i="176" s="1"/>
  <c r="C1446" i="176" s="1"/>
  <c r="C1447" i="176" s="1"/>
  <c r="C1448" i="176" s="1"/>
  <c r="C1449" i="176" s="1"/>
  <c r="C1450" i="176" s="1"/>
  <c r="C1451" i="176" s="1"/>
  <c r="C1452" i="176" s="1"/>
  <c r="C1453" i="176" s="1"/>
  <c r="C1454" i="176" s="1"/>
  <c r="C1455" i="176" s="1"/>
  <c r="C1456" i="176" s="1"/>
  <c r="C1457" i="176" s="1"/>
  <c r="C1458" i="176" s="1"/>
  <c r="C1459" i="176" s="1"/>
  <c r="C1460" i="176" s="1"/>
  <c r="C1461" i="176" s="1"/>
  <c r="C1462" i="176" s="1"/>
  <c r="C1463" i="176" s="1"/>
  <c r="C1464" i="176" s="1"/>
  <c r="C1465" i="176" s="1"/>
  <c r="C1466" i="176" s="1"/>
  <c r="C1467" i="176" s="1"/>
  <c r="C1468" i="176" s="1"/>
  <c r="C1469" i="176" s="1"/>
  <c r="C1470" i="176" s="1"/>
  <c r="C1471" i="176" s="1"/>
  <c r="C1472" i="176" s="1"/>
  <c r="C1473" i="176" s="1"/>
  <c r="C1474" i="176" s="1"/>
  <c r="C1475" i="176" s="1"/>
  <c r="C1476" i="176" s="1"/>
  <c r="C1477" i="176" s="1"/>
  <c r="C1478" i="176" s="1"/>
  <c r="C1479" i="176" s="1"/>
  <c r="C1480" i="176" s="1"/>
  <c r="C1481" i="176" s="1"/>
  <c r="C1482" i="176" s="1"/>
  <c r="C1483" i="176" s="1"/>
  <c r="C1484" i="176" s="1"/>
  <c r="C1485" i="176" s="1"/>
  <c r="C1486" i="176" s="1"/>
  <c r="C1487" i="176" s="1"/>
  <c r="C1488" i="176" s="1"/>
  <c r="C1489" i="176" s="1"/>
  <c r="C1490" i="176" s="1"/>
  <c r="C1491" i="176" s="1"/>
  <c r="C1492" i="176" s="1"/>
  <c r="C1493" i="176" s="1"/>
  <c r="C1494" i="176" s="1"/>
  <c r="C1495" i="176" s="1"/>
  <c r="C1496" i="176" s="1"/>
  <c r="C1497" i="176" s="1"/>
  <c r="C1498" i="176" s="1"/>
  <c r="C1499" i="176" s="1"/>
  <c r="C1500" i="176" s="1"/>
  <c r="C1501" i="176" s="1"/>
  <c r="C1502" i="176" s="1"/>
  <c r="C1503" i="176" s="1"/>
  <c r="C1504" i="176" s="1"/>
  <c r="C1505" i="176" s="1"/>
  <c r="C1506" i="176" s="1"/>
  <c r="C1507" i="176" s="1"/>
  <c r="C1508" i="176" s="1"/>
  <c r="C1509" i="176" s="1"/>
  <c r="C1510" i="176" s="1"/>
  <c r="C1511" i="176" s="1"/>
  <c r="C1512" i="176" s="1"/>
  <c r="C1513" i="176" s="1"/>
  <c r="C1514" i="176" s="1"/>
  <c r="C1515" i="176" s="1"/>
  <c r="C1516" i="176" s="1"/>
  <c r="C1517" i="176" s="1"/>
  <c r="C1518" i="176" s="1"/>
  <c r="C1519" i="176" s="1"/>
  <c r="C1520" i="176" s="1"/>
  <c r="C1521" i="176" s="1"/>
  <c r="C1522" i="176" s="1"/>
  <c r="C1523" i="176" s="1"/>
  <c r="C1524" i="176" s="1"/>
  <c r="C1525" i="176" s="1"/>
  <c r="C1526" i="176" s="1"/>
  <c r="C1527" i="176" s="1"/>
  <c r="C1528" i="176" s="1"/>
  <c r="C1529" i="176" s="1"/>
  <c r="C1530" i="176" s="1"/>
  <c r="C1531" i="176" s="1"/>
  <c r="C1532" i="176" s="1"/>
  <c r="C1533" i="176" s="1"/>
  <c r="C1534" i="176" s="1"/>
  <c r="C1535" i="176" s="1"/>
  <c r="C1536" i="176" s="1"/>
  <c r="C1537" i="176" s="1"/>
  <c r="C1538" i="176" s="1"/>
  <c r="C1539" i="176" s="1"/>
  <c r="C1540" i="176" s="1"/>
  <c r="C1541" i="176" s="1"/>
  <c r="C1542" i="176" s="1"/>
  <c r="C1543" i="176" s="1"/>
  <c r="C1544" i="176" s="1"/>
  <c r="C1545" i="176" s="1"/>
  <c r="C1546" i="176" s="1"/>
  <c r="C1547" i="176" s="1"/>
  <c r="C1548" i="176" s="1"/>
  <c r="C1549" i="176" s="1"/>
  <c r="C1550" i="176" s="1"/>
  <c r="C1551" i="176" s="1"/>
  <c r="C1552" i="176" s="1"/>
  <c r="C1553" i="176" s="1"/>
  <c r="C1554" i="176" s="1"/>
  <c r="C1555" i="176" s="1"/>
  <c r="C1556" i="176" s="1"/>
  <c r="C1557" i="176" s="1"/>
  <c r="C1558" i="176" s="1"/>
  <c r="C1559" i="176" s="1"/>
  <c r="C1560" i="176" s="1"/>
  <c r="C1561" i="176" s="1"/>
  <c r="C1562" i="176" s="1"/>
  <c r="C1563" i="176" s="1"/>
  <c r="C1564" i="176" s="1"/>
  <c r="C1565" i="176" s="1"/>
  <c r="C1566" i="176" s="1"/>
  <c r="C1567" i="176" s="1"/>
  <c r="C1568" i="176" s="1"/>
  <c r="C1569" i="176" s="1"/>
  <c r="C1570" i="176" s="1"/>
  <c r="C1571" i="176" s="1"/>
  <c r="C1572" i="176" s="1"/>
  <c r="C1573" i="176" s="1"/>
  <c r="C1574" i="176" s="1"/>
  <c r="C1575" i="176" s="1"/>
  <c r="C1576" i="176" s="1"/>
  <c r="C1577" i="176" s="1"/>
  <c r="C1578" i="176" s="1"/>
  <c r="C1579" i="176" s="1"/>
  <c r="C1580" i="176" s="1"/>
  <c r="C1581" i="176" s="1"/>
  <c r="C1582" i="176" s="1"/>
  <c r="C1583" i="176" s="1"/>
  <c r="C1584" i="176" s="1"/>
  <c r="C1585" i="176" s="1"/>
  <c r="C1586" i="176" s="1"/>
  <c r="C1587" i="176" s="1"/>
  <c r="C1588" i="176" s="1"/>
  <c r="C1589" i="176" s="1"/>
  <c r="C1590" i="176" s="1"/>
  <c r="C1591" i="176" s="1"/>
  <c r="C1592" i="176" s="1"/>
  <c r="C1593" i="176" s="1"/>
  <c r="C1594" i="176" s="1"/>
  <c r="C1595" i="176" s="1"/>
  <c r="C1596" i="176" s="1"/>
  <c r="C1597" i="176" s="1"/>
  <c r="C1598" i="176" s="1"/>
  <c r="C1599" i="176" s="1"/>
  <c r="C1600" i="176" s="1"/>
  <c r="C1601" i="176" s="1"/>
  <c r="C1602" i="176" s="1"/>
  <c r="C1603" i="176" s="1"/>
  <c r="C1604" i="176" s="1"/>
  <c r="C1605" i="176" s="1"/>
  <c r="C1606" i="176" s="1"/>
  <c r="C1607" i="176" s="1"/>
  <c r="C1608" i="176" s="1"/>
  <c r="C1609" i="176" s="1"/>
  <c r="C1610" i="176" s="1"/>
  <c r="C1611" i="176" s="1"/>
  <c r="C1612" i="176" s="1"/>
  <c r="C1613" i="176" s="1"/>
  <c r="C1614" i="176" s="1"/>
  <c r="C1615" i="176" s="1"/>
  <c r="C1616" i="176" s="1"/>
  <c r="C1617" i="176" s="1"/>
  <c r="C1618" i="176" s="1"/>
  <c r="C1619" i="176" s="1"/>
  <c r="C1620" i="176" s="1"/>
  <c r="C1621" i="176" s="1"/>
  <c r="C1622" i="176" s="1"/>
  <c r="C1623" i="176" s="1"/>
  <c r="C1624" i="176" s="1"/>
  <c r="C1625" i="176" s="1"/>
  <c r="C1626" i="176" s="1"/>
  <c r="C1627" i="176" s="1"/>
  <c r="C1628" i="176" s="1"/>
  <c r="C1629" i="176" s="1"/>
  <c r="C1630" i="176" s="1"/>
  <c r="C1631" i="176" s="1"/>
  <c r="C1632" i="176" s="1"/>
  <c r="C1633" i="176" s="1"/>
  <c r="C1634" i="176" s="1"/>
  <c r="C1635" i="176" s="1"/>
  <c r="C1636" i="176" s="1"/>
  <c r="C1637" i="176" s="1"/>
  <c r="C1638" i="176" s="1"/>
  <c r="C1639" i="176" s="1"/>
  <c r="C1640" i="176" s="1"/>
  <c r="C1641" i="176" s="1"/>
  <c r="C1642" i="176" s="1"/>
  <c r="C1643" i="176" s="1"/>
  <c r="C1644" i="176" s="1"/>
  <c r="C1645" i="176" s="1"/>
  <c r="C1646" i="176" s="1"/>
  <c r="C1647" i="176" s="1"/>
  <c r="C1648" i="176" s="1"/>
  <c r="C1649" i="176" s="1"/>
  <c r="C1650" i="176" s="1"/>
  <c r="C1651" i="176" s="1"/>
  <c r="C1652" i="176" s="1"/>
  <c r="C1653" i="176" s="1"/>
  <c r="C1654" i="176" s="1"/>
  <c r="C1655" i="176" s="1"/>
  <c r="C1656" i="176" s="1"/>
  <c r="C1657" i="176" s="1"/>
  <c r="C1658" i="176" s="1"/>
  <c r="C1659" i="176" s="1"/>
  <c r="C1660" i="176" s="1"/>
  <c r="C1661" i="176" s="1"/>
  <c r="C1662" i="176" s="1"/>
  <c r="C1663" i="176" s="1"/>
  <c r="C1664" i="176" s="1"/>
  <c r="C1665" i="176" s="1"/>
  <c r="C1666" i="176" s="1"/>
  <c r="C1667" i="176" s="1"/>
  <c r="C1668" i="176" s="1"/>
  <c r="C1669" i="176" s="1"/>
  <c r="C1670" i="176" s="1"/>
  <c r="C1671" i="176" s="1"/>
  <c r="C1672" i="176" s="1"/>
  <c r="C1673" i="176" s="1"/>
  <c r="C1674" i="176" s="1"/>
  <c r="C1675" i="176" s="1"/>
  <c r="C1676" i="176" s="1"/>
  <c r="C1677" i="176" s="1"/>
  <c r="C1678" i="176" s="1"/>
  <c r="C1679" i="176" s="1"/>
  <c r="C1680" i="176" s="1"/>
  <c r="C1681" i="176" s="1"/>
  <c r="C1682" i="176" s="1"/>
  <c r="C1683" i="176" s="1"/>
  <c r="C1684" i="176" s="1"/>
  <c r="C1685" i="176" s="1"/>
  <c r="C1686" i="176" s="1"/>
  <c r="C1687" i="176" s="1"/>
  <c r="C1688" i="176" s="1"/>
  <c r="C1689" i="176" s="1"/>
  <c r="C1690" i="176" s="1"/>
  <c r="C1691" i="176" s="1"/>
  <c r="C1692" i="176" s="1"/>
  <c r="C1693" i="176" s="1"/>
  <c r="C1694" i="176" s="1"/>
  <c r="C1695" i="176" s="1"/>
  <c r="C1696" i="176" s="1"/>
  <c r="C1697" i="176" s="1"/>
  <c r="C1698" i="176" s="1"/>
  <c r="C1699" i="176" s="1"/>
  <c r="C1700" i="176" s="1"/>
  <c r="C1701" i="176" s="1"/>
  <c r="C1702" i="176" s="1"/>
  <c r="C1703" i="176" s="1"/>
  <c r="C1704" i="176" s="1"/>
  <c r="C1705" i="176" s="1"/>
  <c r="C1706" i="176" s="1"/>
  <c r="C1707" i="176" s="1"/>
  <c r="C1708" i="176" s="1"/>
  <c r="C1709" i="176" s="1"/>
  <c r="C1710" i="176" s="1"/>
  <c r="C1711" i="176" s="1"/>
  <c r="C1712" i="176" s="1"/>
  <c r="C1713" i="176" s="1"/>
  <c r="C1714" i="176" s="1"/>
  <c r="C1715" i="176" s="1"/>
  <c r="C1716" i="176" s="1"/>
  <c r="C1717" i="176" s="1"/>
  <c r="C1718" i="176" s="1"/>
  <c r="C1719" i="176" s="1"/>
  <c r="C1720" i="176" s="1"/>
  <c r="C1721" i="176" s="1"/>
  <c r="C1722" i="176" s="1"/>
  <c r="C1723" i="176" s="1"/>
  <c r="C1724" i="176" s="1"/>
  <c r="C1725" i="176" s="1"/>
  <c r="C1726" i="176" s="1"/>
  <c r="C1727" i="176" s="1"/>
  <c r="C1728" i="176" s="1"/>
  <c r="C1729" i="176" s="1"/>
  <c r="C1730" i="176" s="1"/>
  <c r="C1731" i="176" s="1"/>
  <c r="C1732" i="176" s="1"/>
  <c r="C1733" i="176" s="1"/>
  <c r="C1734" i="176" s="1"/>
  <c r="C1735" i="176" s="1"/>
  <c r="C1736" i="176" s="1"/>
  <c r="C1737" i="176" s="1"/>
  <c r="C1738" i="176" s="1"/>
  <c r="C1739" i="176" s="1"/>
  <c r="C1740" i="176" s="1"/>
  <c r="C1741" i="176" s="1"/>
  <c r="C1742" i="176" s="1"/>
  <c r="C1743" i="176" s="1"/>
  <c r="C1744" i="176" s="1"/>
  <c r="C1745" i="176" s="1"/>
  <c r="C1746" i="176" s="1"/>
  <c r="C1747" i="176" s="1"/>
  <c r="C1748" i="176" s="1"/>
  <c r="C1749" i="176" s="1"/>
  <c r="C1750" i="176" s="1"/>
  <c r="C1751" i="176" s="1"/>
  <c r="C1752" i="176" s="1"/>
  <c r="C1753" i="176" s="1"/>
  <c r="C1754" i="176" s="1"/>
  <c r="C1755" i="176" s="1"/>
  <c r="C1756" i="176" s="1"/>
  <c r="C1757" i="176" s="1"/>
  <c r="C1758" i="176" s="1"/>
  <c r="C1759" i="176" s="1"/>
  <c r="C1760" i="176" s="1"/>
  <c r="C1761" i="176" s="1"/>
  <c r="C1762" i="176" s="1"/>
  <c r="C1763" i="176" s="1"/>
  <c r="C1764" i="176" s="1"/>
  <c r="C1765" i="176" s="1"/>
  <c r="C1766" i="176" s="1"/>
  <c r="C1767" i="176" s="1"/>
  <c r="C1768" i="176" s="1"/>
  <c r="C1769" i="176" s="1"/>
  <c r="C1770" i="176" s="1"/>
  <c r="C1771" i="176" s="1"/>
  <c r="C1772" i="176" s="1"/>
  <c r="C1773" i="176" s="1"/>
  <c r="C1774" i="176" s="1"/>
  <c r="C1775" i="176" s="1"/>
  <c r="C1776" i="176" s="1"/>
  <c r="C1777" i="176" s="1"/>
  <c r="C1778" i="176" s="1"/>
  <c r="C1779" i="176" s="1"/>
  <c r="C1780" i="176" s="1"/>
  <c r="C1781" i="176" s="1"/>
  <c r="C1782" i="176" s="1"/>
  <c r="C1783" i="176" s="1"/>
  <c r="C1784" i="176" s="1"/>
  <c r="C1785" i="176" s="1"/>
  <c r="C1786" i="176" s="1"/>
  <c r="C1787" i="176" s="1"/>
  <c r="C1788" i="176" s="1"/>
  <c r="C1789" i="176" s="1"/>
  <c r="C1790" i="176" s="1"/>
  <c r="C1791" i="176" s="1"/>
  <c r="C1792" i="176" s="1"/>
  <c r="C1793" i="176" s="1"/>
  <c r="C1794" i="176" s="1"/>
  <c r="C1795" i="176" s="1"/>
  <c r="C1796" i="176" s="1"/>
  <c r="C1797" i="176" s="1"/>
  <c r="C1798" i="176" s="1"/>
  <c r="C1799" i="176" s="1"/>
  <c r="C1800" i="176" s="1"/>
  <c r="C1801" i="176" s="1"/>
  <c r="C1802" i="176" s="1"/>
  <c r="C1803" i="176" s="1"/>
  <c r="C1804" i="176" s="1"/>
  <c r="C1805" i="176" s="1"/>
  <c r="C1806" i="176" s="1"/>
  <c r="C1807" i="176" s="1"/>
  <c r="C1808" i="176" s="1"/>
  <c r="C1809" i="176" s="1"/>
  <c r="C1810" i="176" s="1"/>
  <c r="C1811" i="176" s="1"/>
  <c r="C1812" i="176" s="1"/>
  <c r="C1813" i="176" s="1"/>
  <c r="C1814" i="176" s="1"/>
  <c r="C1815" i="176" s="1"/>
  <c r="C1816" i="176" s="1"/>
  <c r="C1817" i="176" s="1"/>
  <c r="C1818" i="176" s="1"/>
  <c r="C1819" i="176" s="1"/>
  <c r="C1820" i="176" s="1"/>
  <c r="C1821" i="176" s="1"/>
  <c r="C1822" i="176" s="1"/>
  <c r="C1823" i="176" s="1"/>
  <c r="C1824" i="176" s="1"/>
  <c r="C1825" i="176" s="1"/>
  <c r="C1826" i="176" s="1"/>
  <c r="C1827" i="176" s="1"/>
  <c r="C1828" i="176" s="1"/>
  <c r="C1829" i="176" s="1"/>
  <c r="C1830" i="176" s="1"/>
  <c r="C1831" i="176" s="1"/>
  <c r="C1832" i="176" s="1"/>
  <c r="C1833" i="176" s="1"/>
  <c r="C1834" i="176" s="1"/>
  <c r="C1835" i="176" s="1"/>
  <c r="C1836" i="176" s="1"/>
  <c r="C1837" i="176" s="1"/>
  <c r="C1838" i="176" s="1"/>
  <c r="C1839" i="176" s="1"/>
  <c r="C1840" i="176" s="1"/>
  <c r="C1841" i="176" s="1"/>
  <c r="C1842" i="176" s="1"/>
  <c r="C1843" i="176" s="1"/>
  <c r="C1844" i="176" s="1"/>
  <c r="C1845" i="176" s="1"/>
  <c r="C1846" i="176" s="1"/>
  <c r="C1847" i="176" s="1"/>
  <c r="C1848" i="176" s="1"/>
  <c r="C1849" i="176" s="1"/>
  <c r="C1850" i="176" s="1"/>
  <c r="C1851" i="176" s="1"/>
  <c r="C1852" i="176" s="1"/>
  <c r="C1853" i="176" s="1"/>
  <c r="C1854" i="176" s="1"/>
  <c r="C1855" i="176" s="1"/>
  <c r="C1856" i="176" s="1"/>
  <c r="C1857" i="176" s="1"/>
  <c r="C1858" i="176" s="1"/>
  <c r="C1859" i="176" s="1"/>
  <c r="C1860" i="176" s="1"/>
  <c r="C1861" i="176" s="1"/>
  <c r="C1862" i="176" s="1"/>
  <c r="C1863" i="176" s="1"/>
  <c r="C1864" i="176" s="1"/>
  <c r="C1865" i="176" s="1"/>
  <c r="C1866" i="176" s="1"/>
  <c r="C1867" i="176" s="1"/>
  <c r="C1868" i="176" s="1"/>
  <c r="C1869" i="176" s="1"/>
  <c r="C1870" i="176" s="1"/>
  <c r="C1871" i="176" s="1"/>
  <c r="C1872" i="176" s="1"/>
  <c r="C1873" i="176" s="1"/>
  <c r="C1874" i="176" s="1"/>
  <c r="C1875" i="176" s="1"/>
  <c r="C1876" i="176" s="1"/>
  <c r="C1877" i="176" s="1"/>
  <c r="C1878" i="176" s="1"/>
  <c r="C1879" i="176" s="1"/>
  <c r="C1880" i="176" s="1"/>
  <c r="C1881" i="176" s="1"/>
  <c r="C1882" i="176" s="1"/>
  <c r="C1883" i="176" s="1"/>
  <c r="C1884" i="176" s="1"/>
  <c r="C1885" i="176" s="1"/>
  <c r="C1886" i="176" s="1"/>
  <c r="C1887" i="176" s="1"/>
  <c r="C1888" i="176" s="1"/>
  <c r="C1889" i="176" s="1"/>
  <c r="C1890" i="176" s="1"/>
  <c r="C1891" i="176" s="1"/>
  <c r="C1892" i="176" s="1"/>
  <c r="C1893" i="176" s="1"/>
  <c r="C1894" i="176" s="1"/>
  <c r="C1895" i="176" s="1"/>
  <c r="C1896" i="176" s="1"/>
  <c r="C1897" i="176" s="1"/>
  <c r="C1898" i="176" s="1"/>
  <c r="C1899" i="176" s="1"/>
  <c r="C1900" i="176" s="1"/>
  <c r="C1901" i="176" s="1"/>
  <c r="C1902" i="176" s="1"/>
  <c r="C1903" i="176" s="1"/>
  <c r="C1904" i="176" s="1"/>
  <c r="C1905" i="176" s="1"/>
  <c r="C1906" i="176" s="1"/>
  <c r="C1907" i="176" s="1"/>
  <c r="C1908" i="176" s="1"/>
  <c r="C1909" i="176" s="1"/>
  <c r="C1910" i="176" s="1"/>
  <c r="C1911" i="176" s="1"/>
  <c r="C1912" i="176" s="1"/>
  <c r="C1913" i="176" s="1"/>
  <c r="C1914" i="176" s="1"/>
  <c r="C1915" i="176" s="1"/>
  <c r="C1916" i="176" s="1"/>
  <c r="C1917" i="176" s="1"/>
  <c r="C1918" i="176" s="1"/>
  <c r="C1919" i="176" s="1"/>
  <c r="C1920" i="176" s="1"/>
  <c r="C1921" i="176" s="1"/>
  <c r="C1922" i="176" s="1"/>
  <c r="C1923" i="176" s="1"/>
  <c r="C1924" i="176" s="1"/>
  <c r="C1925" i="176" s="1"/>
  <c r="C1926" i="176" s="1"/>
  <c r="C1927" i="176" s="1"/>
  <c r="C1928" i="176" s="1"/>
  <c r="C1929" i="176" s="1"/>
  <c r="C1930" i="176" s="1"/>
  <c r="C1931" i="176" s="1"/>
  <c r="C1932" i="176" s="1"/>
  <c r="C1933" i="176" s="1"/>
  <c r="C1934" i="176" s="1"/>
  <c r="C1935" i="176" s="1"/>
  <c r="C1936" i="176" s="1"/>
  <c r="C1937" i="176" s="1"/>
  <c r="C1938" i="176" s="1"/>
  <c r="C1939" i="176" s="1"/>
  <c r="C1940" i="176" s="1"/>
  <c r="C1941" i="176" s="1"/>
  <c r="C1942" i="176" s="1"/>
  <c r="C1943" i="176" s="1"/>
  <c r="C1944" i="176" s="1"/>
  <c r="C1945" i="176" s="1"/>
  <c r="C1946" i="176" s="1"/>
  <c r="C1947" i="176" s="1"/>
  <c r="C1948" i="176" s="1"/>
  <c r="C1949" i="176" s="1"/>
  <c r="C1950" i="176" s="1"/>
  <c r="C1951" i="176" s="1"/>
  <c r="C1952" i="176" s="1"/>
  <c r="C1953" i="176" s="1"/>
  <c r="C1954" i="176" s="1"/>
  <c r="C1955" i="176" s="1"/>
  <c r="C1956" i="176" s="1"/>
  <c r="C1957" i="176" s="1"/>
  <c r="E432" i="176"/>
  <c r="E418" i="176"/>
  <c r="E459" i="176"/>
  <c r="E446" i="176"/>
  <c r="E487" i="176"/>
  <c r="E474" i="176"/>
  <c r="C1187" i="176"/>
  <c r="C1188" i="176" s="1"/>
  <c r="C1189" i="176" s="1"/>
  <c r="C1190" i="176" s="1"/>
  <c r="C591" i="176"/>
  <c r="C592" i="176" s="1"/>
  <c r="C593" i="176" s="1"/>
  <c r="C594" i="176" s="1"/>
  <c r="C595" i="176" s="1"/>
  <c r="C835" i="176"/>
  <c r="C836" i="176" s="1"/>
  <c r="C1193" i="176"/>
  <c r="C1194" i="176" s="1"/>
  <c r="C521" i="176"/>
  <c r="C1155" i="176"/>
  <c r="C1156" i="176" s="1"/>
  <c r="D1319" i="176"/>
  <c r="D1320" i="176" s="1"/>
  <c r="D1321" i="176" s="1"/>
  <c r="D1322" i="176" s="1"/>
  <c r="D1323" i="176" s="1"/>
  <c r="D1324" i="176" s="1"/>
  <c r="D1325" i="176" s="1"/>
  <c r="D1326" i="176" s="1"/>
  <c r="D1327" i="176" s="1"/>
  <c r="D1328" i="176" s="1"/>
  <c r="D1329" i="176" s="1"/>
  <c r="D1330" i="176" s="1"/>
  <c r="D1331" i="176" s="1"/>
  <c r="D1332" i="176" s="1"/>
  <c r="D1333" i="176" s="1"/>
  <c r="D1334" i="176" s="1"/>
  <c r="D1335" i="176" s="1"/>
  <c r="D1336" i="176" s="1"/>
  <c r="D1337" i="176" s="1"/>
  <c r="D1338" i="176" s="1"/>
  <c r="D1339" i="176" s="1"/>
  <c r="D1340" i="176" s="1"/>
  <c r="D1341" i="176" s="1"/>
  <c r="D1342" i="176" s="1"/>
  <c r="D1343" i="176" s="1"/>
  <c r="D1344" i="176" s="1"/>
  <c r="D1345" i="176" s="1"/>
  <c r="D1346" i="176" s="1"/>
  <c r="D1347" i="176" s="1"/>
  <c r="D1348" i="176" s="1"/>
  <c r="D1349" i="176" s="1"/>
  <c r="D1350" i="176" s="1"/>
  <c r="D1351" i="176" s="1"/>
  <c r="D1352" i="176" s="1"/>
  <c r="D1353" i="176" s="1"/>
  <c r="D1354" i="176" s="1"/>
  <c r="D1355" i="176" s="1"/>
  <c r="D1356" i="176" s="1"/>
  <c r="D1357" i="176" s="1"/>
  <c r="D1358" i="176" s="1"/>
  <c r="D1359" i="176" s="1"/>
  <c r="D1360" i="176" s="1"/>
  <c r="D1361" i="176" s="1"/>
  <c r="D1362" i="176" s="1"/>
  <c r="D1363" i="176" s="1"/>
  <c r="D1364" i="176" s="1"/>
  <c r="D1365" i="176" s="1"/>
  <c r="D1366" i="176" s="1"/>
  <c r="D1367" i="176" s="1"/>
  <c r="D1368" i="176" s="1"/>
  <c r="D1369" i="176" s="1"/>
  <c r="D1370" i="176" s="1"/>
  <c r="D1371" i="176" s="1"/>
  <c r="D1372" i="176" s="1"/>
  <c r="D1373" i="176" s="1"/>
  <c r="D1374" i="176" s="1"/>
  <c r="D1375" i="176" s="1"/>
  <c r="D1376" i="176" s="1"/>
  <c r="D1377" i="176" s="1"/>
  <c r="D1378" i="176" s="1"/>
  <c r="D1379" i="176" s="1"/>
  <c r="D1380" i="176" s="1"/>
  <c r="D1381" i="176" s="1"/>
  <c r="D1382" i="176" s="1"/>
  <c r="D1383" i="176" s="1"/>
  <c r="D1384" i="176" s="1"/>
  <c r="D1385" i="176" s="1"/>
  <c r="D1386" i="176" s="1"/>
  <c r="D1387" i="176" s="1"/>
  <c r="D1388" i="176" s="1"/>
  <c r="D1389" i="176" s="1"/>
  <c r="D1390" i="176" s="1"/>
  <c r="D1391" i="176" s="1"/>
  <c r="D1392" i="176" s="1"/>
  <c r="D1393" i="176" s="1"/>
  <c r="D1394" i="176" s="1"/>
  <c r="D1395" i="176" s="1"/>
  <c r="D1396" i="176" s="1"/>
  <c r="D1397" i="176" s="1"/>
  <c r="D1398" i="176" s="1"/>
  <c r="D1399" i="176" s="1"/>
  <c r="D1400" i="176" s="1"/>
  <c r="D1401" i="176" s="1"/>
  <c r="D1402" i="176" s="1"/>
  <c r="D1403" i="176" s="1"/>
  <c r="D1404" i="176" s="1"/>
  <c r="D1405" i="176" s="1"/>
  <c r="D1406" i="176" s="1"/>
  <c r="D1407" i="176" s="1"/>
  <c r="D1408" i="176" s="1"/>
  <c r="D1409" i="176" s="1"/>
  <c r="D1410" i="176" s="1"/>
  <c r="D1411" i="176" s="1"/>
  <c r="D1412" i="176" s="1"/>
  <c r="D1413" i="176" s="1"/>
  <c r="D1414" i="176" s="1"/>
  <c r="D1415" i="176" s="1"/>
  <c r="D1416" i="176" s="1"/>
  <c r="D1417" i="176" s="1"/>
  <c r="D1418" i="176" s="1"/>
  <c r="D1419" i="176" s="1"/>
  <c r="D1420" i="176" s="1"/>
  <c r="D1421" i="176" s="1"/>
  <c r="D1422" i="176" s="1"/>
  <c r="D1423" i="176" s="1"/>
  <c r="D1424" i="176" s="1"/>
  <c r="D1425" i="176" s="1"/>
  <c r="D1426" i="176" s="1"/>
  <c r="D1427" i="176" s="1"/>
  <c r="D1428" i="176" s="1"/>
  <c r="D1429" i="176" s="1"/>
  <c r="D1430" i="176" s="1"/>
  <c r="D1431" i="176" s="1"/>
  <c r="D1432" i="176" s="1"/>
  <c r="D1433" i="176" s="1"/>
  <c r="D1434" i="176" s="1"/>
  <c r="D1435" i="176" s="1"/>
  <c r="D1436" i="176" s="1"/>
  <c r="D1437" i="176" s="1"/>
  <c r="D1438" i="176" s="1"/>
  <c r="D1439" i="176" s="1"/>
  <c r="D1440" i="176" s="1"/>
  <c r="D1441" i="176" s="1"/>
  <c r="D1442" i="176" s="1"/>
  <c r="D1443" i="176" s="1"/>
  <c r="D1444" i="176" s="1"/>
  <c r="D1445" i="176" s="1"/>
  <c r="D1446" i="176" s="1"/>
  <c r="D1447" i="176" s="1"/>
  <c r="D1448" i="176" s="1"/>
  <c r="D1449" i="176" s="1"/>
  <c r="D1450" i="176" s="1"/>
  <c r="D1451" i="176" s="1"/>
  <c r="D1452" i="176" s="1"/>
  <c r="D1453" i="176" s="1"/>
  <c r="D1454" i="176" s="1"/>
  <c r="D1455" i="176" s="1"/>
  <c r="D1456" i="176" s="1"/>
  <c r="D1457" i="176" s="1"/>
  <c r="D1458" i="176" s="1"/>
  <c r="D1459" i="176" s="1"/>
  <c r="D1460" i="176" s="1"/>
  <c r="D1461" i="176" s="1"/>
  <c r="D1462" i="176" s="1"/>
  <c r="D1463" i="176" s="1"/>
  <c r="D1464" i="176" s="1"/>
  <c r="D1465" i="176" s="1"/>
  <c r="D1466" i="176" s="1"/>
  <c r="D1467" i="176" s="1"/>
  <c r="D1468" i="176" s="1"/>
  <c r="D1469" i="176" s="1"/>
  <c r="D1470" i="176" s="1"/>
  <c r="D1471" i="176" s="1"/>
  <c r="D1472" i="176" s="1"/>
  <c r="D1473" i="176" s="1"/>
  <c r="D1474" i="176" s="1"/>
  <c r="D1475" i="176" s="1"/>
  <c r="D1476" i="176" s="1"/>
  <c r="D1477" i="176" s="1"/>
  <c r="D1478" i="176" s="1"/>
  <c r="D1479" i="176" s="1"/>
  <c r="D1480" i="176" s="1"/>
  <c r="D1481" i="176" s="1"/>
  <c r="D1482" i="176" s="1"/>
  <c r="D1483" i="176" s="1"/>
  <c r="D1484" i="176" s="1"/>
  <c r="D1485" i="176" s="1"/>
  <c r="D1486" i="176" s="1"/>
  <c r="D1487" i="176" s="1"/>
  <c r="D1488" i="176" s="1"/>
  <c r="D1489" i="176" s="1"/>
  <c r="D1490" i="176" s="1"/>
  <c r="D1491" i="176" s="1"/>
  <c r="D1492" i="176" s="1"/>
  <c r="D1493" i="176" s="1"/>
  <c r="D1494" i="176" s="1"/>
  <c r="D1495" i="176" s="1"/>
  <c r="D1496" i="176" s="1"/>
  <c r="D1497" i="176" s="1"/>
  <c r="D1498" i="176" s="1"/>
  <c r="D1499" i="176" s="1"/>
  <c r="D1500" i="176" s="1"/>
  <c r="D1501" i="176" s="1"/>
  <c r="D1502" i="176" s="1"/>
  <c r="D1503" i="176" s="1"/>
  <c r="D1504" i="176" s="1"/>
  <c r="D1505" i="176" s="1"/>
  <c r="D1506" i="176" s="1"/>
  <c r="D1507" i="176" s="1"/>
  <c r="D1508" i="176" s="1"/>
  <c r="D1509" i="176" s="1"/>
  <c r="D1510" i="176" s="1"/>
  <c r="D1511" i="176" s="1"/>
  <c r="D1512" i="176" s="1"/>
  <c r="D1513" i="176" s="1"/>
  <c r="D1514" i="176" s="1"/>
  <c r="D1515" i="176" s="1"/>
  <c r="D1516" i="176" s="1"/>
  <c r="D1517" i="176" s="1"/>
  <c r="D1518" i="176" s="1"/>
  <c r="D1519" i="176" s="1"/>
  <c r="D1520" i="176" s="1"/>
  <c r="D1521" i="176" s="1"/>
  <c r="D1522" i="176" s="1"/>
  <c r="D1523" i="176" s="1"/>
  <c r="D1524" i="176" s="1"/>
  <c r="D1525" i="176" s="1"/>
  <c r="D1526" i="176" s="1"/>
  <c r="D1527" i="176" s="1"/>
  <c r="D1528" i="176" s="1"/>
  <c r="D1529" i="176" s="1"/>
  <c r="D1530" i="176" s="1"/>
  <c r="D1531" i="176" s="1"/>
  <c r="D1532" i="176" s="1"/>
  <c r="D1533" i="176" s="1"/>
  <c r="D1534" i="176" s="1"/>
  <c r="D1535" i="176" s="1"/>
  <c r="D1536" i="176" s="1"/>
  <c r="D1537" i="176" s="1"/>
  <c r="D1538" i="176" s="1"/>
  <c r="D1539" i="176" s="1"/>
  <c r="D1540" i="176" s="1"/>
  <c r="D1541" i="176" s="1"/>
  <c r="D1542" i="176" s="1"/>
  <c r="D1543" i="176" s="1"/>
  <c r="D1544" i="176" s="1"/>
  <c r="D1545" i="176" s="1"/>
  <c r="D1546" i="176" s="1"/>
  <c r="D1547" i="176" s="1"/>
  <c r="D1548" i="176" s="1"/>
  <c r="D1549" i="176" s="1"/>
  <c r="D1550" i="176" s="1"/>
  <c r="D1551" i="176" s="1"/>
  <c r="D1552" i="176" s="1"/>
  <c r="D1553" i="176" s="1"/>
  <c r="D1554" i="176" s="1"/>
  <c r="D1555" i="176" s="1"/>
  <c r="D1556" i="176" s="1"/>
  <c r="D1557" i="176" s="1"/>
  <c r="D1558" i="176" s="1"/>
  <c r="D1559" i="176" s="1"/>
  <c r="D1560" i="176" s="1"/>
  <c r="D1561" i="176" s="1"/>
  <c r="D1562" i="176" s="1"/>
  <c r="D1563" i="176" s="1"/>
  <c r="D1564" i="176" s="1"/>
  <c r="D1565" i="176" s="1"/>
  <c r="D1566" i="176" s="1"/>
  <c r="D1567" i="176" s="1"/>
  <c r="D1568" i="176" s="1"/>
  <c r="D1569" i="176" s="1"/>
  <c r="D1570" i="176" s="1"/>
  <c r="D1571" i="176" s="1"/>
  <c r="D1572" i="176" s="1"/>
  <c r="D1573" i="176" s="1"/>
  <c r="D1574" i="176" s="1"/>
  <c r="D1575" i="176" s="1"/>
  <c r="D1576" i="176" s="1"/>
  <c r="D1577" i="176" s="1"/>
  <c r="D1578" i="176" s="1"/>
  <c r="D1579" i="176" s="1"/>
  <c r="D1580" i="176" s="1"/>
  <c r="D1581" i="176" s="1"/>
  <c r="D1582" i="176" s="1"/>
  <c r="D1583" i="176" s="1"/>
  <c r="D1584" i="176" s="1"/>
  <c r="D1585" i="176" s="1"/>
  <c r="D1586" i="176" s="1"/>
  <c r="D1587" i="176" s="1"/>
  <c r="D1588" i="176" s="1"/>
  <c r="D1589" i="176" s="1"/>
  <c r="D1590" i="176" s="1"/>
  <c r="D1591" i="176" s="1"/>
  <c r="D1592" i="176" s="1"/>
  <c r="D1593" i="176" s="1"/>
  <c r="D1594" i="176" s="1"/>
  <c r="D1595" i="176" s="1"/>
  <c r="D1596" i="176" s="1"/>
  <c r="D1597" i="176" s="1"/>
  <c r="D1598" i="176" s="1"/>
  <c r="D1599" i="176" s="1"/>
  <c r="D1600" i="176" s="1"/>
  <c r="D1601" i="176" s="1"/>
  <c r="D1602" i="176" s="1"/>
  <c r="D1603" i="176" s="1"/>
  <c r="D1604" i="176" s="1"/>
  <c r="D1605" i="176" s="1"/>
  <c r="D1606" i="176" s="1"/>
  <c r="D1607" i="176" s="1"/>
  <c r="D1608" i="176" s="1"/>
  <c r="D1609" i="176" s="1"/>
  <c r="D1610" i="176" s="1"/>
  <c r="D1611" i="176" s="1"/>
  <c r="D1612" i="176" s="1"/>
  <c r="D1613" i="176" s="1"/>
  <c r="D1614" i="176" s="1"/>
  <c r="D1615" i="176" s="1"/>
  <c r="D1616" i="176" s="1"/>
  <c r="D1617" i="176" s="1"/>
  <c r="D1618" i="176" s="1"/>
  <c r="D1619" i="176" s="1"/>
  <c r="D1620" i="176" s="1"/>
  <c r="D1621" i="176" s="1"/>
  <c r="D1622" i="176" s="1"/>
  <c r="D1623" i="176" s="1"/>
  <c r="D1624" i="176" s="1"/>
  <c r="D1625" i="176" s="1"/>
  <c r="D1626" i="176" s="1"/>
  <c r="D1627" i="176" s="1"/>
  <c r="D1628" i="176" s="1"/>
  <c r="D1629" i="176" s="1"/>
  <c r="D1630" i="176" s="1"/>
  <c r="D1631" i="176" s="1"/>
  <c r="D1632" i="176" s="1"/>
  <c r="D1633" i="176" s="1"/>
  <c r="D1634" i="176" s="1"/>
  <c r="D1635" i="176" s="1"/>
  <c r="D1636" i="176" s="1"/>
  <c r="D1637" i="176" s="1"/>
  <c r="D1638" i="176" s="1"/>
  <c r="D1639" i="176" s="1"/>
  <c r="D1640" i="176" s="1"/>
  <c r="D1641" i="176" s="1"/>
  <c r="D1642" i="176" s="1"/>
  <c r="D1643" i="176" s="1"/>
  <c r="D1644" i="176" s="1"/>
  <c r="D1645" i="176" s="1"/>
  <c r="D1646" i="176" s="1"/>
  <c r="D1647" i="176" s="1"/>
  <c r="D1648" i="176" s="1"/>
  <c r="D1649" i="176" s="1"/>
  <c r="D1650" i="176" s="1"/>
  <c r="D1651" i="176" s="1"/>
  <c r="D1652" i="176" s="1"/>
  <c r="D1653" i="176" s="1"/>
  <c r="D1654" i="176" s="1"/>
  <c r="D1655" i="176" s="1"/>
  <c r="D1656" i="176" s="1"/>
  <c r="D1657" i="176" s="1"/>
  <c r="D1658" i="176" s="1"/>
  <c r="D1659" i="176" s="1"/>
  <c r="D1660" i="176" s="1"/>
  <c r="D1661" i="176" s="1"/>
  <c r="D1662" i="176" s="1"/>
  <c r="D1663" i="176" s="1"/>
  <c r="D1664" i="176" s="1"/>
  <c r="D1665" i="176" s="1"/>
  <c r="D1666" i="176" s="1"/>
  <c r="D1667" i="176" s="1"/>
  <c r="D1668" i="176" s="1"/>
  <c r="D1669" i="176" s="1"/>
  <c r="D1670" i="176" s="1"/>
  <c r="D1671" i="176" s="1"/>
  <c r="D1672" i="176" s="1"/>
  <c r="D1673" i="176" s="1"/>
  <c r="D1674" i="176" s="1"/>
  <c r="D1675" i="176" s="1"/>
  <c r="D1676" i="176" s="1"/>
  <c r="D1677" i="176" s="1"/>
  <c r="D1678" i="176" s="1"/>
  <c r="D1679" i="176" s="1"/>
  <c r="D1680" i="176" s="1"/>
  <c r="D1681" i="176" s="1"/>
  <c r="D1682" i="176" s="1"/>
  <c r="D1683" i="176" s="1"/>
  <c r="D1684" i="176" s="1"/>
  <c r="D1685" i="176" s="1"/>
  <c r="D1686" i="176" s="1"/>
  <c r="D1687" i="176" s="1"/>
  <c r="D1688" i="176" s="1"/>
  <c r="D1689" i="176" s="1"/>
  <c r="D1690" i="176" s="1"/>
  <c r="D1691" i="176" s="1"/>
  <c r="D1692" i="176" s="1"/>
  <c r="D1693" i="176" s="1"/>
  <c r="D1694" i="176" s="1"/>
  <c r="D1695" i="176" s="1"/>
  <c r="D1696" i="176" s="1"/>
  <c r="D1697" i="176" s="1"/>
  <c r="D1698" i="176" s="1"/>
  <c r="D1699" i="176" s="1"/>
  <c r="D1700" i="176" s="1"/>
  <c r="D1701" i="176" s="1"/>
  <c r="D1702" i="176" s="1"/>
  <c r="D1703" i="176" s="1"/>
  <c r="D1704" i="176" s="1"/>
  <c r="D1705" i="176" s="1"/>
  <c r="D1706" i="176" s="1"/>
  <c r="D1707" i="176" s="1"/>
  <c r="D1708" i="176" s="1"/>
  <c r="D1709" i="176" s="1"/>
  <c r="D1710" i="176" s="1"/>
  <c r="D1711" i="176" s="1"/>
  <c r="D1712" i="176" s="1"/>
  <c r="D1713" i="176" s="1"/>
  <c r="D1714" i="176" s="1"/>
  <c r="D1715" i="176" s="1"/>
  <c r="D1716" i="176" s="1"/>
  <c r="D1717" i="176" s="1"/>
  <c r="D1718" i="176" s="1"/>
  <c r="D1719" i="176" s="1"/>
  <c r="D1720" i="176" s="1"/>
  <c r="D1721" i="176" s="1"/>
  <c r="D1722" i="176" s="1"/>
  <c r="D1723" i="176" s="1"/>
  <c r="D1724" i="176" s="1"/>
  <c r="D1725" i="176" s="1"/>
  <c r="D1726" i="176" s="1"/>
  <c r="D1727" i="176" s="1"/>
  <c r="D1728" i="176" s="1"/>
  <c r="D1729" i="176" s="1"/>
  <c r="D1730" i="176" s="1"/>
  <c r="D1731" i="176" s="1"/>
  <c r="D1732" i="176" s="1"/>
  <c r="D1733" i="176" s="1"/>
  <c r="D1734" i="176" s="1"/>
  <c r="D1735" i="176" s="1"/>
  <c r="D1736" i="176" s="1"/>
  <c r="D1737" i="176" s="1"/>
  <c r="D1738" i="176" s="1"/>
  <c r="D1739" i="176" s="1"/>
  <c r="D1740" i="176" s="1"/>
  <c r="D1741" i="176" s="1"/>
  <c r="D1742" i="176" s="1"/>
  <c r="D1743" i="176" s="1"/>
  <c r="D1744" i="176" s="1"/>
  <c r="D1745" i="176" s="1"/>
  <c r="D1746" i="176" s="1"/>
  <c r="D1747" i="176" s="1"/>
  <c r="D1748" i="176" s="1"/>
  <c r="D1749" i="176" s="1"/>
  <c r="D1750" i="176" s="1"/>
  <c r="D1751" i="176" s="1"/>
  <c r="D1752" i="176" s="1"/>
  <c r="D1753" i="176" s="1"/>
  <c r="D1754" i="176" s="1"/>
  <c r="D1755" i="176" s="1"/>
  <c r="D1756" i="176" s="1"/>
  <c r="D1757" i="176" s="1"/>
  <c r="D1758" i="176" s="1"/>
  <c r="D1759" i="176" s="1"/>
  <c r="D1760" i="176" s="1"/>
  <c r="D1761" i="176" s="1"/>
  <c r="D1762" i="176" s="1"/>
  <c r="D1763" i="176" s="1"/>
  <c r="D1764" i="176" s="1"/>
  <c r="D1765" i="176" s="1"/>
  <c r="D1766" i="176" s="1"/>
  <c r="D1767" i="176" s="1"/>
  <c r="D1768" i="176" s="1"/>
  <c r="D1769" i="176" s="1"/>
  <c r="D1770" i="176" s="1"/>
  <c r="D1771" i="176" s="1"/>
  <c r="D1772" i="176" s="1"/>
  <c r="D1773" i="176" s="1"/>
  <c r="D1774" i="176" s="1"/>
  <c r="D1775" i="176" s="1"/>
  <c r="D1776" i="176" s="1"/>
  <c r="D1777" i="176" s="1"/>
  <c r="D1778" i="176" s="1"/>
  <c r="D1779" i="176" s="1"/>
  <c r="D1780" i="176" s="1"/>
  <c r="D1781" i="176" s="1"/>
  <c r="D1782" i="176" s="1"/>
  <c r="D1783" i="176" s="1"/>
  <c r="D1784" i="176" s="1"/>
  <c r="D1785" i="176" s="1"/>
  <c r="D1786" i="176" s="1"/>
  <c r="D1787" i="176" s="1"/>
  <c r="D1788" i="176" s="1"/>
  <c r="D1789" i="176" s="1"/>
  <c r="D1790" i="176" s="1"/>
  <c r="D1791" i="176" s="1"/>
  <c r="D1792" i="176" s="1"/>
  <c r="D1793" i="176" s="1"/>
  <c r="D1794" i="176" s="1"/>
  <c r="D1795" i="176" s="1"/>
  <c r="D1796" i="176" s="1"/>
  <c r="D1797" i="176" s="1"/>
  <c r="D1798" i="176" s="1"/>
  <c r="D1799" i="176" s="1"/>
  <c r="D1800" i="176" s="1"/>
  <c r="D1801" i="176" s="1"/>
  <c r="D1802" i="176" s="1"/>
  <c r="D1803" i="176" s="1"/>
  <c r="D1804" i="176" s="1"/>
  <c r="D1805" i="176" s="1"/>
  <c r="D1806" i="176" s="1"/>
  <c r="D1807" i="176" s="1"/>
  <c r="D1808" i="176" s="1"/>
  <c r="D1809" i="176" s="1"/>
  <c r="D1810" i="176" s="1"/>
  <c r="D1811" i="176" s="1"/>
  <c r="D1812" i="176" s="1"/>
  <c r="D1813" i="176" s="1"/>
  <c r="D1814" i="176" s="1"/>
  <c r="D1815" i="176" s="1"/>
  <c r="D1816" i="176" s="1"/>
  <c r="D1817" i="176" s="1"/>
  <c r="D1818" i="176" s="1"/>
  <c r="D1819" i="176" s="1"/>
  <c r="D1820" i="176" s="1"/>
  <c r="D1821" i="176" s="1"/>
  <c r="D1822" i="176" s="1"/>
  <c r="D1823" i="176" s="1"/>
  <c r="D1824" i="176" s="1"/>
  <c r="D1825" i="176" s="1"/>
  <c r="D1826" i="176" s="1"/>
  <c r="D1827" i="176" s="1"/>
  <c r="D1828" i="176" s="1"/>
  <c r="D1829" i="176" s="1"/>
  <c r="D1830" i="176" s="1"/>
  <c r="D1831" i="176" s="1"/>
  <c r="D1832" i="176" s="1"/>
  <c r="D1833" i="176" s="1"/>
  <c r="D1834" i="176" s="1"/>
  <c r="D1835" i="176" s="1"/>
  <c r="D1836" i="176" s="1"/>
  <c r="D1837" i="176" s="1"/>
  <c r="D1838" i="176" s="1"/>
  <c r="D1839" i="176" s="1"/>
  <c r="D1840" i="176" s="1"/>
  <c r="D1841" i="176" s="1"/>
  <c r="D1842" i="176" s="1"/>
  <c r="D1843" i="176" s="1"/>
  <c r="D1844" i="176" s="1"/>
  <c r="D1845" i="176" s="1"/>
  <c r="D1846" i="176" s="1"/>
  <c r="D1847" i="176" s="1"/>
  <c r="D1848" i="176" s="1"/>
  <c r="D1849" i="176" s="1"/>
  <c r="D1850" i="176" s="1"/>
  <c r="D1851" i="176" s="1"/>
  <c r="D1852" i="176" s="1"/>
  <c r="D1853" i="176" s="1"/>
  <c r="D1854" i="176" s="1"/>
  <c r="D1855" i="176" s="1"/>
  <c r="D1856" i="176" s="1"/>
  <c r="D1857" i="176" s="1"/>
  <c r="D1858" i="176" s="1"/>
  <c r="D1859" i="176" s="1"/>
  <c r="D1860" i="176" s="1"/>
  <c r="D1861" i="176" s="1"/>
  <c r="D1862" i="176" s="1"/>
  <c r="D1863" i="176" s="1"/>
  <c r="D1864" i="176" s="1"/>
  <c r="D1865" i="176" s="1"/>
  <c r="D1866" i="176" s="1"/>
  <c r="D1867" i="176" s="1"/>
  <c r="D1868" i="176" s="1"/>
  <c r="D1869" i="176" s="1"/>
  <c r="D1870" i="176" s="1"/>
  <c r="D1871" i="176" s="1"/>
  <c r="D1872" i="176" s="1"/>
  <c r="D1873" i="176" s="1"/>
  <c r="D1874" i="176" s="1"/>
  <c r="D1875" i="176" s="1"/>
  <c r="D1876" i="176" s="1"/>
  <c r="D1877" i="176" s="1"/>
  <c r="D1878" i="176" s="1"/>
  <c r="D1879" i="176" s="1"/>
  <c r="D1880" i="176" s="1"/>
  <c r="D1881" i="176" s="1"/>
  <c r="D1882" i="176" s="1"/>
  <c r="D1883" i="176" s="1"/>
  <c r="D1884" i="176" s="1"/>
  <c r="D1885" i="176" s="1"/>
  <c r="D1886" i="176" s="1"/>
  <c r="D1887" i="176" s="1"/>
  <c r="D1888" i="176" s="1"/>
  <c r="D1889" i="176" s="1"/>
  <c r="D1890" i="176" s="1"/>
  <c r="D1891" i="176" s="1"/>
  <c r="D1892" i="176" s="1"/>
  <c r="D1893" i="176" s="1"/>
  <c r="D1894" i="176" s="1"/>
  <c r="D1895" i="176" s="1"/>
  <c r="D1896" i="176" s="1"/>
  <c r="D1897" i="176" s="1"/>
  <c r="D1898" i="176" s="1"/>
  <c r="D1899" i="176" s="1"/>
  <c r="D1900" i="176" s="1"/>
  <c r="D1901" i="176" s="1"/>
  <c r="D1902" i="176" s="1"/>
  <c r="D1903" i="176" s="1"/>
  <c r="D1904" i="176" s="1"/>
  <c r="D1905" i="176" s="1"/>
  <c r="D1906" i="176" s="1"/>
  <c r="D1907" i="176" s="1"/>
  <c r="D1908" i="176" s="1"/>
  <c r="D1909" i="176" s="1"/>
  <c r="D1910" i="176" s="1"/>
  <c r="D1911" i="176" s="1"/>
  <c r="D1912" i="176" s="1"/>
  <c r="D1913" i="176" s="1"/>
  <c r="D1914" i="176" s="1"/>
  <c r="D1915" i="176" s="1"/>
  <c r="D1916" i="176" s="1"/>
  <c r="D1917" i="176" s="1"/>
  <c r="D1918" i="176" s="1"/>
  <c r="D1919" i="176" s="1"/>
  <c r="D1920" i="176" s="1"/>
  <c r="D1921" i="176" s="1"/>
  <c r="D1922" i="176" s="1"/>
  <c r="D1923" i="176" s="1"/>
  <c r="D1924" i="176" s="1"/>
  <c r="D1925" i="176" s="1"/>
  <c r="D1926" i="176" s="1"/>
  <c r="D1927" i="176" s="1"/>
  <c r="D1928" i="176" s="1"/>
  <c r="D1929" i="176" s="1"/>
  <c r="D1930" i="176" s="1"/>
  <c r="D1931" i="176" s="1"/>
  <c r="D1932" i="176" s="1"/>
  <c r="D1933" i="176" s="1"/>
  <c r="D1934" i="176" s="1"/>
  <c r="D1935" i="176" s="1"/>
  <c r="D1936" i="176" s="1"/>
  <c r="D1937" i="176" s="1"/>
  <c r="D1938" i="176" s="1"/>
  <c r="D1939" i="176" s="1"/>
  <c r="D1940" i="176" s="1"/>
  <c r="D1941" i="176" s="1"/>
  <c r="D1942" i="176" s="1"/>
  <c r="D1943" i="176" s="1"/>
  <c r="D1944" i="176" s="1"/>
  <c r="D1945" i="176" s="1"/>
  <c r="D1946" i="176" s="1"/>
  <c r="D1947" i="176" s="1"/>
  <c r="D1948" i="176" s="1"/>
  <c r="D1949" i="176" s="1"/>
  <c r="D1950" i="176" s="1"/>
  <c r="D1951" i="176" s="1"/>
  <c r="D1952" i="176" s="1"/>
  <c r="D1953" i="176" s="1"/>
  <c r="D1954" i="176" s="1"/>
  <c r="D1955" i="176" s="1"/>
  <c r="D1956" i="176" s="1"/>
  <c r="D1957" i="176" s="1"/>
  <c r="C1276" i="176"/>
  <c r="C705" i="176"/>
  <c r="C706" i="176" s="1"/>
  <c r="C707" i="176" s="1"/>
  <c r="C708" i="176" s="1"/>
  <c r="C709" i="176" s="1"/>
  <c r="C710" i="176" s="1"/>
  <c r="C711" i="176" s="1"/>
  <c r="C712" i="176" s="1"/>
  <c r="C713" i="176" s="1"/>
  <c r="C500" i="176"/>
  <c r="C583" i="176"/>
  <c r="C515" i="176"/>
  <c r="D1194" i="176"/>
  <c r="D1195" i="176" s="1"/>
  <c r="C1015" i="176"/>
  <c r="C1292" i="176"/>
  <c r="D1156" i="176"/>
  <c r="D1302" i="176" l="1"/>
  <c r="D1303" i="176" s="1"/>
  <c r="D1304" i="176" s="1"/>
  <c r="D1305" i="176" s="1"/>
  <c r="D1306" i="176" s="1"/>
  <c r="D520" i="176"/>
  <c r="D521" i="176" s="1"/>
  <c r="D522" i="176" s="1"/>
  <c r="D523" i="176" s="1"/>
  <c r="D524" i="176" s="1"/>
  <c r="D525" i="176" s="1"/>
  <c r="D526" i="176" s="1"/>
  <c r="D527" i="176" s="1"/>
  <c r="D528" i="176" s="1"/>
  <c r="D529" i="176" s="1"/>
  <c r="D530" i="176" s="1"/>
  <c r="D703" i="176"/>
  <c r="D1288" i="176"/>
  <c r="D1289" i="176" s="1"/>
  <c r="E619" i="176"/>
  <c r="E620" i="176" s="1"/>
  <c r="E628" i="176" s="1"/>
  <c r="D1030" i="176"/>
  <c r="D1196" i="176"/>
  <c r="D1197" i="176" s="1"/>
  <c r="D1198" i="176" s="1"/>
  <c r="D1199" i="176" s="1"/>
  <c r="D1200" i="176" s="1"/>
  <c r="D1201" i="176" s="1"/>
  <c r="D1202" i="176" s="1"/>
  <c r="E1175" i="176"/>
  <c r="E1162" i="176"/>
  <c r="D1187" i="176"/>
  <c r="D1188" i="176" s="1"/>
  <c r="C1157" i="176"/>
  <c r="D1157" i="176"/>
  <c r="C714" i="176"/>
  <c r="D497" i="176"/>
  <c r="D579" i="176"/>
  <c r="C1277" i="176"/>
  <c r="C522" i="176"/>
  <c r="C1293" i="176"/>
  <c r="C1016" i="176"/>
  <c r="C1017" i="176" s="1"/>
  <c r="D707" i="176"/>
  <c r="D708" i="176" s="1"/>
  <c r="D709" i="176" s="1"/>
  <c r="D710" i="176" s="1"/>
  <c r="D711" i="176" s="1"/>
  <c r="D712" i="176" s="1"/>
  <c r="D713" i="176" s="1"/>
  <c r="C501" i="176"/>
  <c r="C1195" i="176"/>
  <c r="C1196" i="176" s="1"/>
  <c r="C516" i="176"/>
  <c r="C584" i="176"/>
  <c r="D1203" i="176" l="1"/>
  <c r="D1189" i="176"/>
  <c r="D1190" i="176" s="1"/>
  <c r="D1191" i="176" s="1"/>
  <c r="E1176" i="176"/>
  <c r="E1177" i="176" s="1"/>
  <c r="D714" i="176"/>
  <c r="C523" i="176"/>
  <c r="C524" i="176" s="1"/>
  <c r="C1278" i="176"/>
  <c r="C1294" i="176"/>
  <c r="C502" i="176"/>
  <c r="C1303" i="176"/>
  <c r="C596" i="176"/>
  <c r="C585" i="176"/>
  <c r="C1197" i="176"/>
  <c r="C1018" i="176"/>
  <c r="D1204" i="176" l="1"/>
  <c r="C1279" i="176"/>
  <c r="C586" i="176"/>
  <c r="C1304" i="176"/>
  <c r="C503" i="176"/>
  <c r="C837" i="176"/>
  <c r="C1019" i="176"/>
  <c r="C1198" i="176"/>
  <c r="C525" i="176"/>
  <c r="C1295" i="176"/>
  <c r="D1205" i="176" l="1"/>
  <c r="D1206" i="176" s="1"/>
  <c r="D1207" i="176" s="1"/>
  <c r="D1208" i="176" s="1"/>
  <c r="D1209" i="176" s="1"/>
  <c r="D1210" i="176" s="1"/>
  <c r="D1211" i="176" s="1"/>
  <c r="D1212" i="176" s="1"/>
  <c r="D1213" i="176" s="1"/>
  <c r="D1214" i="176" s="1"/>
  <c r="C1280" i="176"/>
  <c r="C1199" i="176"/>
  <c r="C504" i="176"/>
  <c r="C526" i="176"/>
  <c r="C599" i="176"/>
  <c r="C1020" i="176"/>
  <c r="C838" i="176"/>
  <c r="C1305" i="176"/>
  <c r="D1298" i="176" l="1"/>
  <c r="D1215" i="176"/>
  <c r="D892" i="176"/>
  <c r="C1021" i="176"/>
  <c r="C1200" i="176"/>
  <c r="C839" i="176"/>
  <c r="C600" i="176"/>
  <c r="C601" i="176" s="1"/>
  <c r="C602" i="176" s="1"/>
  <c r="C603" i="176" s="1"/>
  <c r="C505" i="176"/>
  <c r="C1306" i="176"/>
  <c r="C1201" i="176" l="1"/>
  <c r="C1296" i="176"/>
  <c r="C587" i="176"/>
  <c r="C506" i="176"/>
  <c r="C604" i="176"/>
  <c r="C605" i="176" s="1"/>
  <c r="C606" i="176" s="1"/>
  <c r="C607" i="176" s="1"/>
  <c r="C527" i="176"/>
  <c r="C528" i="176" s="1"/>
  <c r="C1022" i="176"/>
  <c r="C1023" i="176" s="1"/>
  <c r="C588" i="176" l="1"/>
  <c r="C608" i="176"/>
  <c r="C529" i="176"/>
  <c r="C507" i="176"/>
  <c r="C1297" i="176"/>
  <c r="C1202" i="176"/>
  <c r="C1203" i="176" s="1"/>
  <c r="C1204" i="176" s="1"/>
  <c r="C609" i="176" l="1"/>
  <c r="C610" i="176" s="1"/>
  <c r="C611" i="176" s="1"/>
  <c r="C1205" i="176"/>
  <c r="C508" i="176"/>
  <c r="C530" i="176"/>
  <c r="C531" i="176" s="1"/>
  <c r="C532" i="176" s="1"/>
  <c r="C533" i="176" s="1"/>
  <c r="C534" i="176" s="1"/>
  <c r="C535" i="176" s="1"/>
  <c r="C536" i="176" s="1"/>
  <c r="C537" i="176" s="1"/>
  <c r="C1307" i="176"/>
  <c r="C538" i="176" l="1"/>
  <c r="C539" i="176" s="1"/>
  <c r="C540" i="176" s="1"/>
  <c r="C541" i="176" s="1"/>
  <c r="C542" i="176" s="1"/>
  <c r="C543" i="176" s="1"/>
  <c r="C544" i="176" s="1"/>
  <c r="C545" i="176" s="1"/>
  <c r="C546" i="176" s="1"/>
  <c r="C547" i="176" s="1"/>
  <c r="C548" i="176" s="1"/>
  <c r="C549" i="176" s="1"/>
  <c r="C550" i="176" s="1"/>
  <c r="C551" i="176" s="1"/>
  <c r="C552" i="176" s="1"/>
  <c r="C553" i="176" s="1"/>
  <c r="C554" i="176" s="1"/>
  <c r="C555" i="176" s="1"/>
  <c r="C556" i="176" s="1"/>
  <c r="C557" i="176" s="1"/>
  <c r="C558" i="176" s="1"/>
  <c r="C559" i="176" s="1"/>
  <c r="C560" i="176" s="1"/>
  <c r="C561" i="176" s="1"/>
  <c r="C562" i="176" s="1"/>
  <c r="C563" i="176" s="1"/>
  <c r="C564" i="176" s="1"/>
  <c r="C565" i="176" s="1"/>
  <c r="C566" i="176" s="1"/>
  <c r="C567" i="176" s="1"/>
  <c r="C568" i="176" s="1"/>
  <c r="C569" i="176" s="1"/>
  <c r="C570" i="176" s="1"/>
  <c r="C571" i="176" s="1"/>
  <c r="C572" i="176" s="1"/>
  <c r="C573" i="176" s="1"/>
  <c r="C574" i="176" s="1"/>
  <c r="C575" i="176" s="1"/>
  <c r="C576" i="176" s="1"/>
  <c r="C577" i="176" s="1"/>
  <c r="C578" i="176" s="1"/>
  <c r="C900" i="176"/>
  <c r="C901" i="176" s="1"/>
  <c r="C509" i="176"/>
  <c r="C1206" i="176"/>
  <c r="C1308" i="176"/>
  <c r="C1309" i="176" s="1"/>
  <c r="C1310" i="176" s="1"/>
  <c r="C840" i="176"/>
  <c r="C902" i="176" l="1"/>
  <c r="C903" i="176" s="1"/>
  <c r="C904" i="176" s="1"/>
  <c r="C905" i="176" s="1"/>
  <c r="C1024" i="176"/>
  <c r="C1207" i="176"/>
  <c r="C510" i="176"/>
  <c r="C1311" i="176"/>
  <c r="C906" i="176" l="1"/>
  <c r="C907" i="176" s="1"/>
  <c r="C908" i="176" s="1"/>
  <c r="C909" i="176" s="1"/>
  <c r="C910" i="176" s="1"/>
  <c r="C1208" i="176"/>
  <c r="C1025" i="176"/>
  <c r="C841" i="176"/>
  <c r="C842" i="176" s="1"/>
  <c r="C843" i="176" s="1"/>
  <c r="C844" i="176" s="1"/>
  <c r="C845" i="176" s="1"/>
  <c r="C846" i="176" s="1"/>
  <c r="C847" i="176" s="1"/>
  <c r="C848" i="176" s="1"/>
  <c r="C849" i="176" s="1"/>
  <c r="C1312" i="176"/>
  <c r="C511" i="176"/>
  <c r="C911" i="176" l="1"/>
  <c r="C850" i="176"/>
  <c r="C851" i="176" s="1"/>
  <c r="C852" i="176" s="1"/>
  <c r="C853" i="176" s="1"/>
  <c r="C854" i="176" s="1"/>
  <c r="C855" i="176" s="1"/>
  <c r="C856" i="176" s="1"/>
  <c r="C857" i="176" s="1"/>
  <c r="C858" i="176" s="1"/>
  <c r="C859" i="176" s="1"/>
  <c r="C860" i="176" s="1"/>
  <c r="C861" i="176" s="1"/>
  <c r="C862" i="176" s="1"/>
  <c r="C863" i="176" s="1"/>
  <c r="C864" i="176" s="1"/>
  <c r="C865" i="176" s="1"/>
  <c r="C866" i="176" s="1"/>
  <c r="C867" i="176" s="1"/>
  <c r="C868" i="176" s="1"/>
  <c r="C869" i="176" s="1"/>
  <c r="C870" i="176" s="1"/>
  <c r="C871" i="176" s="1"/>
  <c r="C872" i="176" s="1"/>
  <c r="C873" i="176" s="1"/>
  <c r="C874" i="176" s="1"/>
  <c r="C875" i="176" s="1"/>
  <c r="C876" i="176" s="1"/>
  <c r="C877" i="176" s="1"/>
  <c r="C878" i="176" s="1"/>
  <c r="C879" i="176" s="1"/>
  <c r="C880" i="176" s="1"/>
  <c r="C881" i="176" s="1"/>
  <c r="C882" i="176" s="1"/>
  <c r="C883" i="176" s="1"/>
  <c r="C884" i="176" s="1"/>
  <c r="C885" i="176" s="1"/>
  <c r="C886" i="176" s="1"/>
  <c r="C887" i="176" s="1"/>
  <c r="C888" i="176" s="1"/>
  <c r="C889" i="176" s="1"/>
  <c r="C890" i="176" s="1"/>
  <c r="C891" i="176" s="1"/>
  <c r="C1209" i="176"/>
  <c r="C512" i="176"/>
  <c r="C1026" i="176"/>
  <c r="C1313" i="176"/>
  <c r="C1314" i="176" l="1"/>
  <c r="C1027" i="176"/>
  <c r="C1210" i="176"/>
  <c r="C912" i="176" l="1"/>
  <c r="C1211" i="176"/>
  <c r="C1028" i="176"/>
  <c r="C1315" i="176"/>
  <c r="C1029" i="176" l="1"/>
  <c r="C1030" i="176" s="1"/>
  <c r="C913" i="176" l="1"/>
  <c r="C914" i="176" s="1"/>
  <c r="C915" i="176" s="1"/>
  <c r="C916" i="176" s="1"/>
  <c r="C917" i="176" s="1"/>
  <c r="C612" i="176"/>
  <c r="C1212" i="176"/>
  <c r="C918" i="176" l="1"/>
  <c r="C1213" i="176"/>
  <c r="C1214" i="176" s="1"/>
  <c r="C613" i="176"/>
  <c r="C1215" i="176" l="1"/>
  <c r="C1216" i="176" s="1"/>
  <c r="C1217" i="176" s="1"/>
  <c r="C1218" i="176" s="1"/>
  <c r="C1219" i="176" s="1"/>
  <c r="C1220" i="176" s="1"/>
  <c r="C1221" i="176" s="1"/>
  <c r="C1222" i="176" s="1"/>
  <c r="C1223" i="176" s="1"/>
  <c r="C1224" i="176" s="1"/>
  <c r="C1225" i="176" s="1"/>
  <c r="C1226" i="176" s="1"/>
  <c r="C1227" i="176" s="1"/>
  <c r="C1228" i="176" s="1"/>
  <c r="C1229" i="176" s="1"/>
  <c r="C1230" i="176" s="1"/>
  <c r="C919" i="176"/>
  <c r="C920" i="176" s="1"/>
  <c r="C921" i="176" l="1"/>
  <c r="C922" i="176" s="1"/>
  <c r="C923" i="176" s="1"/>
  <c r="C924" i="176" s="1"/>
  <c r="C925" i="176" s="1"/>
  <c r="C926" i="176" s="1"/>
  <c r="C927" i="176" s="1"/>
  <c r="C928" i="176" s="1"/>
  <c r="C929" i="176" s="1"/>
  <c r="C930" i="176" s="1"/>
  <c r="C931" i="176" s="1"/>
  <c r="C932" i="176" s="1"/>
  <c r="C933" i="176" s="1"/>
  <c r="C934" i="176" s="1"/>
  <c r="C935" i="176" s="1"/>
  <c r="C936" i="176" s="1"/>
  <c r="C937" i="176" s="1"/>
  <c r="C938" i="176" s="1"/>
  <c r="C939" i="176" s="1"/>
  <c r="C940" i="176" s="1"/>
  <c r="C941" i="176" s="1"/>
  <c r="C942" i="176" s="1"/>
  <c r="C943" i="176" s="1"/>
  <c r="C944" i="176" s="1"/>
  <c r="C945" i="176" s="1"/>
  <c r="C946" i="176" s="1"/>
  <c r="C947" i="176" s="1"/>
  <c r="C948" i="176" s="1"/>
  <c r="C949" i="176" s="1"/>
  <c r="C950" i="176" s="1"/>
  <c r="C951" i="176" s="1"/>
  <c r="C952" i="176" s="1"/>
  <c r="C953" i="176" s="1"/>
  <c r="C954" i="176" s="1"/>
  <c r="C955" i="176" s="1"/>
  <c r="C956" i="176" s="1"/>
  <c r="C957" i="176" s="1"/>
  <c r="C958" i="176" s="1"/>
  <c r="C959" i="176" s="1"/>
  <c r="C960" i="176" s="1"/>
  <c r="C961" i="176" s="1"/>
  <c r="C962" i="176" s="1"/>
  <c r="C963" i="176" s="1"/>
  <c r="C964" i="176" s="1"/>
  <c r="C965" i="176" s="1"/>
  <c r="C966" i="176" s="1"/>
  <c r="C967" i="176" s="1"/>
  <c r="C968" i="176" s="1"/>
  <c r="C969" i="176" s="1"/>
  <c r="C970" i="176" s="1"/>
  <c r="C971" i="176" s="1"/>
  <c r="C972" i="176" s="1"/>
  <c r="C973" i="176" s="1"/>
  <c r="C974" i="176" s="1"/>
  <c r="C975" i="176" s="1"/>
  <c r="C976" i="176" s="1"/>
  <c r="C977" i="176" s="1"/>
  <c r="C978" i="176" s="1"/>
  <c r="C979" i="176" s="1"/>
  <c r="C980" i="176" s="1"/>
  <c r="C981" i="176" s="1"/>
  <c r="C982" i="176" s="1"/>
  <c r="C983" i="176" s="1"/>
  <c r="C984" i="176" s="1"/>
  <c r="C985" i="176" s="1"/>
  <c r="C986" i="176" s="1"/>
  <c r="C987" i="176" s="1"/>
  <c r="C988" i="176" s="1"/>
  <c r="C989" i="176" s="1"/>
  <c r="C990" i="176" s="1"/>
  <c r="C991" i="176" s="1"/>
  <c r="C992" i="176" s="1"/>
  <c r="C993" i="176" s="1"/>
  <c r="C994" i="176" s="1"/>
  <c r="C995" i="176" s="1"/>
  <c r="C996" i="176" s="1"/>
  <c r="C997" i="176" s="1"/>
  <c r="C998" i="176" s="1"/>
  <c r="C614" i="176" l="1"/>
  <c r="C615" i="176" l="1"/>
  <c r="C616" i="176" l="1"/>
  <c r="C617" i="176" l="1"/>
  <c r="C618" i="176" s="1"/>
  <c r="C619" i="176" l="1"/>
  <c r="C620" i="176" s="1"/>
  <c r="C621" i="176" l="1"/>
  <c r="C622" i="176" s="1"/>
  <c r="C623" i="176" s="1"/>
  <c r="C624" i="176" s="1"/>
  <c r="C625" i="176" s="1"/>
  <c r="C626" i="176" s="1"/>
  <c r="C627" i="176" s="1"/>
  <c r="C628" i="176" s="1"/>
  <c r="C629" i="176" s="1"/>
  <c r="C630" i="176" s="1"/>
  <c r="C631" i="176" s="1"/>
  <c r="C632" i="176" s="1"/>
  <c r="C633" i="176" s="1"/>
  <c r="C634" i="176" s="1"/>
  <c r="C635" i="176" s="1"/>
  <c r="C636" i="176" s="1"/>
  <c r="B398" i="176"/>
  <c r="B399" i="176" s="1"/>
  <c r="B400" i="176" s="1"/>
  <c r="B401" i="176" s="1"/>
  <c r="B402" i="176" s="1"/>
  <c r="B403" i="176" s="1"/>
  <c r="B404" i="176" s="1"/>
  <c r="B405" i="176" s="1"/>
  <c r="B406" i="176" s="1"/>
  <c r="B407" i="176" s="1"/>
  <c r="B408" i="176" s="1"/>
  <c r="B409" i="176" s="1"/>
  <c r="B410" i="176" s="1"/>
  <c r="B411" i="176" s="1"/>
  <c r="B412" i="176" s="1"/>
  <c r="B413" i="176" s="1"/>
  <c r="B414" i="176" s="1"/>
  <c r="B415" i="176" s="1"/>
  <c r="B416" i="176" s="1"/>
  <c r="B417" i="176" s="1"/>
  <c r="B418" i="176" s="1"/>
  <c r="C398" i="176"/>
  <c r="C399" i="176" s="1"/>
  <c r="C400" i="176" s="1"/>
  <c r="C401" i="176" s="1"/>
  <c r="C402" i="176" s="1"/>
  <c r="C403" i="176" s="1"/>
  <c r="C404" i="176" s="1"/>
  <c r="C405" i="176" s="1"/>
  <c r="C406" i="176" s="1"/>
  <c r="C407" i="176" s="1"/>
  <c r="C408" i="176" s="1"/>
  <c r="C409" i="176" s="1"/>
  <c r="C410" i="176" s="1"/>
  <c r="C411" i="176" s="1"/>
  <c r="C412" i="176" s="1"/>
  <c r="C413" i="176" s="1"/>
  <c r="C414" i="176" s="1"/>
  <c r="C415" i="176" s="1"/>
  <c r="C416" i="176" s="1"/>
  <c r="C417" i="176" s="1"/>
  <c r="C418" i="176" s="1"/>
  <c r="C419" i="176" s="1"/>
  <c r="C420" i="176" s="1"/>
  <c r="C421" i="176" s="1"/>
  <c r="C422" i="176" s="1"/>
  <c r="C423" i="176" s="1"/>
  <c r="C424" i="176" s="1"/>
  <c r="C425" i="176" s="1"/>
  <c r="C426" i="176" s="1"/>
  <c r="C427" i="176" s="1"/>
  <c r="C428" i="176" s="1"/>
  <c r="C429" i="176" s="1"/>
  <c r="C430" i="176" s="1"/>
  <c r="C431" i="176" s="1"/>
  <c r="C432" i="176" s="1"/>
  <c r="C433" i="176" s="1"/>
  <c r="C434" i="176" s="1"/>
  <c r="C435" i="176" s="1"/>
  <c r="C436" i="176" s="1"/>
  <c r="C437" i="176" s="1"/>
  <c r="C438" i="176" s="1"/>
  <c r="C439" i="176" s="1"/>
  <c r="C440" i="176" s="1"/>
  <c r="C441" i="176" s="1"/>
  <c r="C442" i="176" s="1"/>
  <c r="C443" i="176" s="1"/>
  <c r="C444" i="176" s="1"/>
  <c r="C445" i="176" s="1"/>
  <c r="C446" i="176" s="1"/>
  <c r="C447" i="176" s="1"/>
  <c r="C448" i="176" s="1"/>
  <c r="C449" i="176" s="1"/>
  <c r="C450" i="176" s="1"/>
  <c r="C451" i="176" s="1"/>
  <c r="C452" i="176" s="1"/>
  <c r="C453" i="176" s="1"/>
  <c r="C454" i="176" s="1"/>
  <c r="C455" i="176" s="1"/>
  <c r="C456" i="176" s="1"/>
  <c r="C457" i="176" s="1"/>
  <c r="C458" i="176" s="1"/>
  <c r="C459" i="176" s="1"/>
  <c r="C460" i="176" s="1"/>
  <c r="C461" i="176" s="1"/>
  <c r="C462" i="176" s="1"/>
  <c r="C463" i="176" s="1"/>
  <c r="C464" i="176" s="1"/>
  <c r="C465" i="176" s="1"/>
  <c r="C466" i="176" s="1"/>
  <c r="C467" i="176" s="1"/>
  <c r="C468" i="176" s="1"/>
  <c r="C469" i="176" s="1"/>
  <c r="C470" i="176" s="1"/>
  <c r="C471" i="176" s="1"/>
  <c r="C472" i="176" s="1"/>
  <c r="C473" i="176" s="1"/>
  <c r="C474" i="176" s="1"/>
  <c r="C475" i="176" s="1"/>
  <c r="C476" i="176" s="1"/>
  <c r="C477" i="176" s="1"/>
  <c r="C478" i="176" s="1"/>
  <c r="C479" i="176" s="1"/>
  <c r="C480" i="176" s="1"/>
  <c r="C481" i="176" s="1"/>
  <c r="C482" i="176" s="1"/>
  <c r="C483" i="176" s="1"/>
  <c r="C484" i="176" s="1"/>
  <c r="C485" i="176" s="1"/>
  <c r="C486" i="176" s="1"/>
  <c r="C487" i="176" s="1"/>
  <c r="C488" i="176" s="1"/>
  <c r="C489" i="176" s="1"/>
  <c r="C490" i="176" s="1"/>
  <c r="C491" i="176" s="1"/>
  <c r="C492" i="176" s="1"/>
  <c r="C493" i="176" s="1"/>
  <c r="C494" i="176" s="1"/>
  <c r="C495" i="176" s="1"/>
  <c r="C496" i="176" s="1"/>
  <c r="E398" i="176"/>
  <c r="E399" i="176" s="1"/>
  <c r="E400" i="176" s="1"/>
  <c r="D398" i="176"/>
  <c r="D399" i="176" s="1"/>
  <c r="D400" i="176" s="1"/>
  <c r="D401" i="176" s="1"/>
  <c r="D597" i="176"/>
  <c r="C637" i="176" l="1"/>
  <c r="C638" i="176" s="1"/>
  <c r="C639" i="176" s="1"/>
  <c r="C640" i="176" s="1"/>
  <c r="C641" i="176" s="1"/>
  <c r="C642" i="176" s="1"/>
  <c r="C643" i="176" s="1"/>
  <c r="C644" i="176" s="1"/>
  <c r="C645" i="176" s="1"/>
  <c r="C646" i="176" s="1"/>
  <c r="C647" i="176" s="1"/>
  <c r="C648" i="176" s="1"/>
  <c r="C649" i="176" s="1"/>
  <c r="C650" i="176" s="1"/>
  <c r="C651" i="176" s="1"/>
  <c r="C652" i="176" s="1"/>
  <c r="C653" i="176" s="1"/>
  <c r="C654" i="176" s="1"/>
  <c r="C655" i="176" s="1"/>
  <c r="C656" i="176" s="1"/>
  <c r="C657" i="176" s="1"/>
  <c r="C658" i="176" s="1"/>
  <c r="C659" i="176" s="1"/>
  <c r="C660" i="176" s="1"/>
  <c r="C661" i="176" s="1"/>
  <c r="C662" i="176" s="1"/>
  <c r="I406" i="176"/>
  <c r="I413" i="176"/>
  <c r="I409" i="176"/>
  <c r="I416" i="176"/>
  <c r="I398" i="176"/>
  <c r="I417" i="176"/>
  <c r="I405" i="176"/>
  <c r="I412" i="176"/>
  <c r="D402" i="176"/>
  <c r="I401" i="176"/>
  <c r="I399" i="176"/>
  <c r="I407" i="176"/>
  <c r="I410" i="176"/>
  <c r="I414" i="176"/>
  <c r="I400" i="176"/>
  <c r="I404" i="176"/>
  <c r="I408" i="176"/>
  <c r="I411" i="176"/>
  <c r="I415" i="176"/>
  <c r="I418" i="176"/>
  <c r="B419" i="176"/>
  <c r="C663" i="176" l="1"/>
  <c r="C664" i="176" s="1"/>
  <c r="C665" i="176" s="1"/>
  <c r="C666" i="176" s="1"/>
  <c r="C667" i="176" s="1"/>
  <c r="C668" i="176" s="1"/>
  <c r="C669" i="176" s="1"/>
  <c r="C670" i="176" s="1"/>
  <c r="C671" i="176" s="1"/>
  <c r="C672" i="176" s="1"/>
  <c r="C673" i="176" s="1"/>
  <c r="C674" i="176" s="1"/>
  <c r="C675" i="176" s="1"/>
  <c r="C676" i="176" s="1"/>
  <c r="C677" i="176" s="1"/>
  <c r="C678" i="176" s="1"/>
  <c r="C679" i="176" s="1"/>
  <c r="C680" i="176" s="1"/>
  <c r="C681" i="176" s="1"/>
  <c r="C682" i="176" s="1"/>
  <c r="C683" i="176" s="1"/>
  <c r="C684" i="176" s="1"/>
  <c r="C685" i="176" s="1"/>
  <c r="C686" i="176" s="1"/>
  <c r="D403" i="176"/>
  <c r="I403" i="176" s="1"/>
  <c r="I402" i="176"/>
  <c r="B420" i="176"/>
  <c r="I419" i="176"/>
  <c r="C687" i="176" l="1"/>
  <c r="C688" i="176" s="1"/>
  <c r="C689" i="176" s="1"/>
  <c r="C690" i="176" s="1"/>
  <c r="C691" i="176" s="1"/>
  <c r="B421" i="176"/>
  <c r="I420" i="176"/>
  <c r="C692" i="176" l="1"/>
  <c r="C693" i="176" s="1"/>
  <c r="C694" i="176" s="1"/>
  <c r="C695" i="176" s="1"/>
  <c r="C696" i="176" s="1"/>
  <c r="C697" i="176" s="1"/>
  <c r="C698" i="176" s="1"/>
  <c r="C699" i="176" s="1"/>
  <c r="C700" i="176" s="1"/>
  <c r="C701" i="176" s="1"/>
  <c r="C702" i="176" s="1"/>
  <c r="C1281" i="176" s="1"/>
  <c r="C1282" i="176" s="1"/>
  <c r="C1283" i="176" s="1"/>
  <c r="C1284" i="176" s="1"/>
  <c r="C1285" i="176" s="1"/>
  <c r="C1286" i="176" s="1"/>
  <c r="C1287" i="176" s="1"/>
  <c r="C1288" i="176" s="1"/>
  <c r="C1289" i="176" s="1"/>
  <c r="B422" i="176"/>
  <c r="I421" i="176"/>
  <c r="I422" i="176" l="1"/>
  <c r="B423" i="176"/>
  <c r="I423" i="176" l="1"/>
  <c r="B424" i="176" l="1"/>
  <c r="B425" i="176" l="1"/>
  <c r="I424" i="176"/>
  <c r="I425" i="176" l="1"/>
  <c r="B426" i="176"/>
  <c r="B427" i="176" l="1"/>
  <c r="I426" i="176"/>
  <c r="B428" i="176" l="1"/>
  <c r="I427" i="176"/>
  <c r="B429" i="176" l="1"/>
  <c r="I428" i="176"/>
  <c r="I429" i="176" l="1"/>
  <c r="B430" i="176"/>
  <c r="B431" i="176" l="1"/>
  <c r="I430" i="176"/>
  <c r="B432" i="176" l="1"/>
  <c r="I431" i="176"/>
  <c r="B433" i="176" l="1"/>
  <c r="I432" i="176"/>
  <c r="I433" i="176" l="1"/>
  <c r="B434" i="176"/>
  <c r="B435" i="176" l="1"/>
  <c r="I434" i="176"/>
  <c r="B436" i="176" l="1"/>
  <c r="I435" i="176"/>
  <c r="B437" i="176" l="1"/>
  <c r="I436" i="176"/>
  <c r="I437" i="176" l="1"/>
  <c r="B438" i="176" l="1"/>
  <c r="B439" i="176" l="1"/>
  <c r="I438" i="176"/>
  <c r="B440" i="176" l="1"/>
  <c r="I439" i="176"/>
  <c r="I440" i="176" l="1"/>
  <c r="B441" i="176"/>
  <c r="B442" i="176" l="1"/>
  <c r="I441" i="176"/>
  <c r="B443" i="176" l="1"/>
  <c r="I442" i="176"/>
  <c r="B444" i="176" l="1"/>
  <c r="I443" i="176"/>
  <c r="I444" i="176" l="1"/>
  <c r="B445" i="176"/>
  <c r="B446" i="176" l="1"/>
  <c r="I445" i="176"/>
  <c r="B447" i="176" l="1"/>
  <c r="I446" i="176"/>
  <c r="I447" i="176" l="1"/>
  <c r="B448" i="176" l="1"/>
  <c r="B449" i="176" l="1"/>
  <c r="I448" i="176"/>
  <c r="B450" i="176" l="1"/>
  <c r="I449" i="176"/>
  <c r="I450" i="176" l="1"/>
  <c r="B451" i="176" l="1"/>
  <c r="B452" i="176" l="1"/>
  <c r="I451" i="176"/>
  <c r="B453" i="176" l="1"/>
  <c r="I452" i="176"/>
  <c r="B454" i="176" l="1"/>
  <c r="I453" i="176"/>
  <c r="I454" i="176" l="1"/>
  <c r="B455" i="176"/>
  <c r="B456" i="176" l="1"/>
  <c r="I455" i="176"/>
  <c r="B457" i="176" l="1"/>
  <c r="I456" i="176"/>
  <c r="B458" i="176" l="1"/>
  <c r="I457" i="176"/>
  <c r="I458" i="176" l="1"/>
  <c r="B459" i="176"/>
  <c r="B460" i="176" l="1"/>
  <c r="I459" i="176"/>
  <c r="B461" i="176" l="1"/>
  <c r="I460" i="176"/>
  <c r="B462" i="176" l="1"/>
  <c r="I461" i="176"/>
  <c r="I462" i="176" l="1"/>
  <c r="B463" i="176"/>
  <c r="B464" i="176" l="1"/>
  <c r="I463" i="176"/>
  <c r="B465" i="176" l="1"/>
  <c r="I464" i="176"/>
  <c r="B466" i="176" l="1"/>
  <c r="I465" i="176"/>
  <c r="I466" i="176" l="1"/>
  <c r="B467" i="176"/>
  <c r="B468" i="176" l="1"/>
  <c r="I467" i="176"/>
  <c r="B469" i="176" l="1"/>
  <c r="I468" i="176"/>
  <c r="B470" i="176" l="1"/>
  <c r="I469" i="176"/>
  <c r="I470" i="176" l="1"/>
  <c r="B471" i="176"/>
  <c r="B472" i="176" l="1"/>
  <c r="I471" i="176"/>
  <c r="B473" i="176" l="1"/>
  <c r="I472" i="176"/>
  <c r="B474" i="176" l="1"/>
  <c r="I473" i="176"/>
  <c r="I474" i="176" l="1"/>
  <c r="B475" i="176"/>
  <c r="I475" i="176" l="1"/>
  <c r="B476" i="176" l="1"/>
  <c r="B477" i="176" l="1"/>
  <c r="I476" i="176"/>
  <c r="I477" i="176" l="1"/>
  <c r="B478" i="176"/>
  <c r="I478" i="176" l="1"/>
  <c r="B479" i="176" l="1"/>
  <c r="B480" i="176" l="1"/>
  <c r="I479" i="176"/>
  <c r="I480" i="176" l="1"/>
  <c r="B481" i="176"/>
  <c r="B482" i="176" l="1"/>
  <c r="I481" i="176"/>
  <c r="B483" i="176" l="1"/>
  <c r="I482" i="176"/>
  <c r="B484" i="176" l="1"/>
  <c r="I483" i="176"/>
  <c r="I484" i="176" l="1"/>
  <c r="B485" i="176"/>
  <c r="B486" i="176" l="1"/>
  <c r="I485" i="176"/>
  <c r="B487" i="176" l="1"/>
  <c r="I486" i="176"/>
  <c r="B488" i="176" l="1"/>
  <c r="I487" i="176"/>
  <c r="I488" i="176" l="1"/>
  <c r="B489" i="176" l="1"/>
  <c r="B490" i="176" l="1"/>
  <c r="I489" i="176"/>
  <c r="I490" i="176" l="1"/>
  <c r="B491" i="176" l="1"/>
  <c r="B492" i="176" l="1"/>
  <c r="I491" i="176"/>
  <c r="I492" i="176" l="1"/>
  <c r="B493" i="176"/>
  <c r="B494" i="176" l="1"/>
  <c r="I493" i="176"/>
  <c r="B495" i="176" l="1"/>
  <c r="I494" i="176"/>
  <c r="B496" i="176" l="1"/>
  <c r="I495" i="176"/>
  <c r="I496" i="176" l="1"/>
  <c r="B497" i="176" l="1"/>
  <c r="B498" i="176" l="1"/>
  <c r="I497" i="176"/>
  <c r="I498" i="176" l="1"/>
  <c r="B499" i="176" l="1"/>
  <c r="B500" i="176" l="1"/>
  <c r="I499" i="176"/>
  <c r="B501" i="176" l="1"/>
  <c r="I500" i="176"/>
  <c r="B502" i="176" l="1"/>
  <c r="I501" i="176"/>
  <c r="B503" i="176" l="1"/>
  <c r="I502" i="176"/>
  <c r="B504" i="176" l="1"/>
  <c r="I503" i="176"/>
  <c r="B505" i="176" l="1"/>
  <c r="I504" i="176"/>
  <c r="B506" i="176" l="1"/>
  <c r="I505" i="176"/>
  <c r="B507" i="176" l="1"/>
  <c r="I506" i="176"/>
  <c r="B508" i="176" l="1"/>
  <c r="I507" i="176"/>
  <c r="B509" i="176" l="1"/>
  <c r="I508" i="176"/>
  <c r="B510" i="176" l="1"/>
  <c r="I509" i="176"/>
  <c r="B511" i="176" l="1"/>
  <c r="I510" i="176"/>
  <c r="B512" i="176" l="1"/>
  <c r="I511" i="176"/>
  <c r="I512" i="176" l="1"/>
  <c r="B513" i="176" l="1"/>
  <c r="B514" i="176" l="1"/>
  <c r="I513" i="176"/>
  <c r="B515" i="176" l="1"/>
  <c r="I514" i="176"/>
  <c r="B516" i="176" l="1"/>
  <c r="I515" i="176"/>
  <c r="I516" i="176" l="1"/>
  <c r="B517" i="176" l="1"/>
  <c r="B518" i="176" l="1"/>
  <c r="B519" i="176" s="1"/>
  <c r="I517" i="176"/>
  <c r="I519" i="176" l="1"/>
  <c r="B520" i="176"/>
  <c r="I520" i="176" s="1"/>
  <c r="I518" i="176"/>
  <c r="B521" i="176" l="1"/>
  <c r="B522" i="176" s="1"/>
  <c r="I521" i="176" l="1"/>
  <c r="B523" i="176"/>
  <c r="I522" i="176"/>
  <c r="B524" i="176" l="1"/>
  <c r="I523" i="176"/>
  <c r="B525" i="176" l="1"/>
  <c r="I524" i="176"/>
  <c r="B526" i="176" l="1"/>
  <c r="I525" i="176"/>
  <c r="I526" i="176" l="1"/>
  <c r="B527" i="176" l="1"/>
  <c r="B528" i="176" l="1"/>
  <c r="I527" i="176"/>
  <c r="I528" i="176" l="1"/>
  <c r="B529" i="176"/>
  <c r="B530" i="176" l="1"/>
  <c r="B531" i="176" s="1"/>
  <c r="I529" i="176"/>
  <c r="I531" i="176" l="1"/>
  <c r="B532" i="176"/>
  <c r="I530" i="176"/>
  <c r="B533" i="176" l="1"/>
  <c r="I532" i="176"/>
  <c r="I533" i="176" l="1"/>
  <c r="B534" i="176" l="1"/>
  <c r="B535" i="176" l="1"/>
  <c r="I534" i="176"/>
  <c r="I535" i="176" l="1"/>
  <c r="B536" i="176" l="1"/>
  <c r="I536" i="176" l="1"/>
  <c r="B537" i="176"/>
  <c r="B538" i="176" l="1"/>
  <c r="I537" i="176"/>
  <c r="I538" i="176" l="1"/>
  <c r="B539" i="176"/>
  <c r="B540" i="176" l="1"/>
  <c r="I539" i="176"/>
  <c r="I540" i="176" l="1"/>
  <c r="B541" i="176" l="1"/>
  <c r="B542" i="176" l="1"/>
  <c r="I541" i="176"/>
  <c r="I542" i="176" l="1"/>
  <c r="B543" i="176" l="1"/>
  <c r="I543" i="176" l="1"/>
  <c r="B544" i="176"/>
  <c r="I544" i="176" l="1"/>
  <c r="B545" i="176"/>
  <c r="I545" i="176" l="1"/>
  <c r="B546" i="176"/>
  <c r="B547" i="176" l="1"/>
  <c r="I546" i="176"/>
  <c r="I547" i="176" l="1"/>
  <c r="B548" i="176" l="1"/>
  <c r="B549" i="176" l="1"/>
  <c r="I548" i="176"/>
  <c r="I549" i="176" l="1"/>
  <c r="B550" i="176" l="1"/>
  <c r="I550" i="176" l="1"/>
  <c r="B551" i="176"/>
  <c r="I551" i="176" l="1"/>
  <c r="B552" i="176"/>
  <c r="I552" i="176" l="1"/>
  <c r="B553" i="176"/>
  <c r="I553" i="176" l="1"/>
  <c r="B554" i="176"/>
  <c r="B555" i="176" l="1"/>
  <c r="I554" i="176"/>
  <c r="I555" i="176" l="1"/>
  <c r="B556" i="176"/>
  <c r="I556" i="176" l="1"/>
  <c r="B557" i="176" l="1"/>
  <c r="I557" i="176" l="1"/>
  <c r="B558" i="176"/>
  <c r="I558" i="176" l="1"/>
  <c r="B559" i="176" l="1"/>
  <c r="I559" i="176" l="1"/>
  <c r="B560" i="176"/>
  <c r="I560" i="176" l="1"/>
  <c r="B561" i="176"/>
  <c r="I561" i="176" l="1"/>
  <c r="B562" i="176"/>
  <c r="I562" i="176" l="1"/>
  <c r="B563" i="176"/>
  <c r="B564" i="176" l="1"/>
  <c r="I563" i="176"/>
  <c r="I564" i="176" l="1"/>
  <c r="B565" i="176"/>
  <c r="I565" i="176" l="1"/>
  <c r="B566" i="176" l="1"/>
  <c r="I566" i="176" l="1"/>
  <c r="B567" i="176"/>
  <c r="I567" i="176" l="1"/>
  <c r="B568" i="176" l="1"/>
  <c r="B569" i="176" l="1"/>
  <c r="B570" i="176" s="1"/>
  <c r="I568" i="176"/>
  <c r="I570" i="176" l="1"/>
  <c r="B571" i="176"/>
  <c r="I569" i="176"/>
  <c r="B572" i="176" l="1"/>
  <c r="I571" i="176"/>
  <c r="B573" i="176" l="1"/>
  <c r="I572" i="176"/>
  <c r="I573" i="176" l="1"/>
  <c r="B574" i="176"/>
  <c r="I574" i="176" l="1"/>
  <c r="B575" i="176" l="1"/>
  <c r="I575" i="176" l="1"/>
  <c r="B576" i="176"/>
  <c r="I576" i="176" l="1"/>
  <c r="B577" i="176" l="1"/>
  <c r="I577" i="176" l="1"/>
  <c r="B578" i="176"/>
  <c r="D900" i="176"/>
  <c r="D901" i="176" s="1"/>
  <c r="I578" i="176" l="1"/>
  <c r="B579" i="176"/>
  <c r="D902" i="176"/>
  <c r="I579" i="176" l="1"/>
  <c r="B580" i="176"/>
  <c r="B581" i="176" s="1"/>
  <c r="D903" i="176"/>
  <c r="B582" i="176" l="1"/>
  <c r="I582" i="176" s="1"/>
  <c r="I581" i="176"/>
  <c r="I580" i="176"/>
  <c r="D904" i="176"/>
  <c r="D905" i="176" s="1"/>
  <c r="D906" i="176" s="1"/>
  <c r="D907" i="176" s="1"/>
  <c r="D908" i="176" s="1"/>
  <c r="B583" i="176" l="1"/>
  <c r="I583" i="176" s="1"/>
  <c r="D909" i="176"/>
  <c r="B584" i="176" l="1"/>
  <c r="B585" i="176" s="1"/>
  <c r="D910" i="176"/>
  <c r="I584" i="176" l="1"/>
  <c r="I585" i="176"/>
  <c r="B586" i="176"/>
  <c r="D911" i="176"/>
  <c r="I586" i="176" l="1"/>
  <c r="B587" i="176"/>
  <c r="D912" i="176"/>
  <c r="I587" i="176" l="1"/>
  <c r="B588" i="176"/>
  <c r="D833" i="176"/>
  <c r="I588" i="176" l="1"/>
  <c r="B589" i="176"/>
  <c r="D913" i="176"/>
  <c r="D914" i="176" s="1"/>
  <c r="D915" i="176" s="1"/>
  <c r="D916" i="176" s="1"/>
  <c r="D917" i="176" s="1"/>
  <c r="C715" i="176"/>
  <c r="C716" i="176" s="1"/>
  <c r="C717" i="176" s="1"/>
  <c r="C718" i="176" s="1"/>
  <c r="C719" i="176" s="1"/>
  <c r="C720" i="176" s="1"/>
  <c r="C721" i="176" s="1"/>
  <c r="D715" i="176"/>
  <c r="D716" i="176" s="1"/>
  <c r="E715" i="176"/>
  <c r="B590" i="176" l="1"/>
  <c r="I589" i="176"/>
  <c r="D918" i="176"/>
  <c r="D717" i="176"/>
  <c r="C722" i="176"/>
  <c r="E716" i="176"/>
  <c r="E717" i="176" s="1"/>
  <c r="E718" i="176" s="1"/>
  <c r="B591" i="176" l="1"/>
  <c r="I590" i="176"/>
  <c r="D919" i="176"/>
  <c r="D718" i="176"/>
  <c r="C723" i="176"/>
  <c r="C724" i="176" s="1"/>
  <c r="B592" i="176" l="1"/>
  <c r="I591" i="176"/>
  <c r="D920" i="176"/>
  <c r="C725" i="176"/>
  <c r="D719" i="176"/>
  <c r="B593" i="176" l="1"/>
  <c r="I592" i="176"/>
  <c r="D720" i="176"/>
  <c r="D721" i="176" s="1"/>
  <c r="C726" i="176"/>
  <c r="B594" i="176" l="1"/>
  <c r="B595" i="176" s="1"/>
  <c r="I595" i="176" s="1"/>
  <c r="I593" i="176"/>
  <c r="D722" i="176"/>
  <c r="I594" i="176" l="1"/>
  <c r="B596" i="176"/>
  <c r="D723" i="176"/>
  <c r="D724" i="176" s="1"/>
  <c r="B597" i="176" l="1"/>
  <c r="I596" i="176"/>
  <c r="C727" i="176"/>
  <c r="I597" i="176" l="1"/>
  <c r="B598" i="176"/>
  <c r="C728" i="176"/>
  <c r="I598" i="176" l="1"/>
  <c r="B599" i="176"/>
  <c r="B600" i="176" s="1"/>
  <c r="B601" i="176" s="1"/>
  <c r="B602" i="176" s="1"/>
  <c r="B603" i="176" s="1"/>
  <c r="B604" i="176" s="1"/>
  <c r="B605" i="176" s="1"/>
  <c r="B606" i="176" s="1"/>
  <c r="B607" i="176" s="1"/>
  <c r="B608" i="176" s="1"/>
  <c r="B609" i="176" s="1"/>
  <c r="B610" i="176" s="1"/>
  <c r="B611" i="176" s="1"/>
  <c r="B612" i="176" s="1"/>
  <c r="B613" i="176" s="1"/>
  <c r="B614" i="176" s="1"/>
  <c r="B615" i="176" s="1"/>
  <c r="B616" i="176" s="1"/>
  <c r="B617" i="176" s="1"/>
  <c r="B618" i="176" s="1"/>
  <c r="B619" i="176" s="1"/>
  <c r="B620" i="176" s="1"/>
  <c r="C729" i="176"/>
  <c r="I620" i="176" l="1"/>
  <c r="B621" i="176"/>
  <c r="C730" i="176"/>
  <c r="I621" i="176" l="1"/>
  <c r="B622" i="176"/>
  <c r="C731" i="176"/>
  <c r="B623" i="176" l="1"/>
  <c r="I622" i="176"/>
  <c r="C732" i="176"/>
  <c r="I623" i="176" l="1"/>
  <c r="B624" i="176"/>
  <c r="C733" i="176"/>
  <c r="B625" i="176" l="1"/>
  <c r="I624" i="176"/>
  <c r="C734" i="176"/>
  <c r="B626" i="176" l="1"/>
  <c r="I625" i="176"/>
  <c r="C735" i="176"/>
  <c r="I626" i="176" l="1"/>
  <c r="B627" i="176"/>
  <c r="C736" i="176"/>
  <c r="I627" i="176" l="1"/>
  <c r="B628" i="176"/>
  <c r="C737" i="176"/>
  <c r="C738" i="176" s="1"/>
  <c r="B629" i="176" l="1"/>
  <c r="I628" i="176"/>
  <c r="C739" i="176"/>
  <c r="B630" i="176" l="1"/>
  <c r="I629" i="176"/>
  <c r="C740" i="176"/>
  <c r="C741" i="176" s="1"/>
  <c r="I630" i="176" l="1"/>
  <c r="B631" i="176"/>
  <c r="C742" i="176"/>
  <c r="I631" i="176" l="1"/>
  <c r="B632" i="176"/>
  <c r="C743" i="176"/>
  <c r="B633" i="176" l="1"/>
  <c r="I632" i="176"/>
  <c r="C744" i="176"/>
  <c r="B634" i="176" l="1"/>
  <c r="I633" i="176"/>
  <c r="C745" i="176"/>
  <c r="B635" i="176" l="1"/>
  <c r="I634" i="176"/>
  <c r="C746" i="176"/>
  <c r="I635" i="176" l="1"/>
  <c r="B636" i="176"/>
  <c r="C747" i="176"/>
  <c r="I636" i="176" l="1"/>
  <c r="B637" i="176"/>
  <c r="C748" i="176"/>
  <c r="I637" i="176" l="1"/>
  <c r="B638" i="176"/>
  <c r="C749" i="176"/>
  <c r="I638" i="176" l="1"/>
  <c r="B639" i="176"/>
  <c r="C750" i="176"/>
  <c r="I639" i="176" l="1"/>
  <c r="B640" i="176"/>
  <c r="C751" i="176"/>
  <c r="B641" i="176" l="1"/>
  <c r="I640" i="176"/>
  <c r="C752" i="176"/>
  <c r="B642" i="176" l="1"/>
  <c r="I641" i="176"/>
  <c r="C753" i="176"/>
  <c r="I642" i="176" l="1"/>
  <c r="B643" i="176"/>
  <c r="C754" i="176"/>
  <c r="C755" i="176" s="1"/>
  <c r="B644" i="176" l="1"/>
  <c r="I643" i="176"/>
  <c r="C756" i="176"/>
  <c r="B645" i="176" l="1"/>
  <c r="I644" i="176"/>
  <c r="C757" i="176"/>
  <c r="C758" i="176" s="1"/>
  <c r="I645" i="176" l="1"/>
  <c r="B646" i="176"/>
  <c r="C759" i="176"/>
  <c r="B647" i="176" l="1"/>
  <c r="I646" i="176"/>
  <c r="C760" i="176"/>
  <c r="I647" i="176" l="1"/>
  <c r="B648" i="176"/>
  <c r="C761" i="176"/>
  <c r="I648" i="176" l="1"/>
  <c r="B649" i="176"/>
  <c r="C762" i="176"/>
  <c r="B650" i="176" l="1"/>
  <c r="I649" i="176"/>
  <c r="C763" i="176"/>
  <c r="B651" i="176" l="1"/>
  <c r="I650" i="176"/>
  <c r="C764" i="176"/>
  <c r="I651" i="176" l="1"/>
  <c r="B652" i="176"/>
  <c r="C765" i="176"/>
  <c r="B653" i="176" l="1"/>
  <c r="I652" i="176"/>
  <c r="C766" i="176"/>
  <c r="B654" i="176" l="1"/>
  <c r="I653" i="176"/>
  <c r="C767" i="176"/>
  <c r="I654" i="176" l="1"/>
  <c r="B655" i="176"/>
  <c r="C768" i="176"/>
  <c r="B656" i="176" l="1"/>
  <c r="I655" i="176"/>
  <c r="C769" i="176"/>
  <c r="B657" i="176" l="1"/>
  <c r="I656" i="176"/>
  <c r="C770" i="176"/>
  <c r="B658" i="176" l="1"/>
  <c r="I657" i="176"/>
  <c r="C771" i="176"/>
  <c r="C772" i="176" s="1"/>
  <c r="I658" i="176" l="1"/>
  <c r="B659" i="176"/>
  <c r="C773" i="176"/>
  <c r="B660" i="176" l="1"/>
  <c r="I659" i="176"/>
  <c r="C774" i="176"/>
  <c r="C775" i="176" s="1"/>
  <c r="I660" i="176" l="1"/>
  <c r="B661" i="176"/>
  <c r="C776" i="176"/>
  <c r="I661" i="176" l="1"/>
  <c r="B662" i="176"/>
  <c r="C777" i="176"/>
  <c r="B663" i="176" l="1"/>
  <c r="I662" i="176"/>
  <c r="C778" i="176"/>
  <c r="B664" i="176" l="1"/>
  <c r="I663" i="176"/>
  <c r="C779" i="176"/>
  <c r="B665" i="176" l="1"/>
  <c r="I664" i="176"/>
  <c r="C780" i="176"/>
  <c r="I665" i="176" l="1"/>
  <c r="B666" i="176"/>
  <c r="C781" i="176"/>
  <c r="I666" i="176" l="1"/>
  <c r="B667" i="176"/>
  <c r="C782" i="176"/>
  <c r="I667" i="176" l="1"/>
  <c r="B668" i="176" l="1"/>
  <c r="C783" i="176"/>
  <c r="B669" i="176" l="1"/>
  <c r="I668" i="176"/>
  <c r="C784" i="176"/>
  <c r="B670" i="176" l="1"/>
  <c r="I669" i="176"/>
  <c r="C785" i="176"/>
  <c r="B671" i="176" l="1"/>
  <c r="I670" i="176"/>
  <c r="C786" i="176"/>
  <c r="I671" i="176" l="1"/>
  <c r="B672" i="176"/>
  <c r="C787" i="176"/>
  <c r="B673" i="176" l="1"/>
  <c r="I672" i="176"/>
  <c r="C788" i="176"/>
  <c r="I673" i="176" l="1"/>
  <c r="B674" i="176"/>
  <c r="C789" i="176"/>
  <c r="I674" i="176" l="1"/>
  <c r="B675" i="176"/>
  <c r="C790" i="176"/>
  <c r="B676" i="176" l="1"/>
  <c r="I675" i="176"/>
  <c r="C791" i="176"/>
  <c r="C792" i="176" s="1"/>
  <c r="I676" i="176" l="1"/>
  <c r="C793" i="176"/>
  <c r="B677" i="176" l="1"/>
  <c r="C794" i="176"/>
  <c r="I677" i="176" l="1"/>
  <c r="B678" i="176"/>
  <c r="C795" i="176"/>
  <c r="B679" i="176" l="1"/>
  <c r="I678" i="176"/>
  <c r="C796" i="176"/>
  <c r="B680" i="176" l="1"/>
  <c r="I679" i="176"/>
  <c r="C797" i="176"/>
  <c r="B681" i="176" l="1"/>
  <c r="I680" i="176"/>
  <c r="C798" i="176"/>
  <c r="B682" i="176" l="1"/>
  <c r="I681" i="176"/>
  <c r="C799" i="176"/>
  <c r="B683" i="176" l="1"/>
  <c r="I682" i="176"/>
  <c r="C800" i="176"/>
  <c r="I683" i="176" l="1"/>
  <c r="B684" i="176"/>
  <c r="C801" i="176"/>
  <c r="B685" i="176" l="1"/>
  <c r="I684" i="176"/>
  <c r="C802" i="176"/>
  <c r="B686" i="176" l="1"/>
  <c r="I685" i="176"/>
  <c r="C803" i="176"/>
  <c r="B687" i="176" l="1"/>
  <c r="I686" i="176"/>
  <c r="C804" i="176"/>
  <c r="B688" i="176" l="1"/>
  <c r="I687" i="176"/>
  <c r="C805" i="176"/>
  <c r="I688" i="176" l="1"/>
  <c r="B689" i="176"/>
  <c r="C806" i="176"/>
  <c r="I689" i="176" l="1"/>
  <c r="B690" i="176"/>
  <c r="B691" i="176" l="1"/>
  <c r="I690" i="176"/>
  <c r="I691" i="176" l="1"/>
  <c r="B692" i="176"/>
  <c r="B693" i="176" l="1"/>
  <c r="I692" i="176"/>
  <c r="I693" i="176" l="1"/>
  <c r="B694" i="176"/>
  <c r="B695" i="176" l="1"/>
  <c r="I694" i="176"/>
  <c r="I695" i="176" l="1"/>
  <c r="B696" i="176"/>
  <c r="B697" i="176" l="1"/>
  <c r="I696" i="176"/>
  <c r="B698" i="176" l="1"/>
  <c r="I697" i="176"/>
  <c r="B699" i="176" l="1"/>
  <c r="I698" i="176"/>
  <c r="I699" i="176" l="1"/>
  <c r="B700" i="176"/>
  <c r="I700" i="176" l="1"/>
  <c r="B701" i="176"/>
  <c r="B702" i="176" l="1"/>
  <c r="I701" i="176"/>
  <c r="I702" i="176" l="1"/>
  <c r="B703" i="176" l="1"/>
  <c r="I703" i="176" l="1"/>
  <c r="B704" i="176"/>
  <c r="B705" i="176" l="1"/>
  <c r="I704" i="176"/>
  <c r="B706" i="176" l="1"/>
  <c r="I705" i="176"/>
  <c r="I706" i="176" l="1"/>
  <c r="B707" i="176"/>
  <c r="I707" i="176" l="1"/>
  <c r="B708" i="176"/>
  <c r="B709" i="176" l="1"/>
  <c r="I708" i="176"/>
  <c r="I709" i="176" l="1"/>
  <c r="B710" i="176"/>
  <c r="B711" i="176" l="1"/>
  <c r="I710" i="176"/>
  <c r="I711" i="176" l="1"/>
  <c r="B712" i="176"/>
  <c r="B713" i="176" l="1"/>
  <c r="I712" i="176"/>
  <c r="B714" i="176" l="1"/>
  <c r="I713" i="176"/>
  <c r="I714" i="176" l="1"/>
  <c r="B715" i="176"/>
  <c r="B716" i="176" l="1"/>
  <c r="I715" i="176"/>
  <c r="B717" i="176" l="1"/>
  <c r="I716" i="176"/>
  <c r="I717" i="176" l="1"/>
  <c r="B718" i="176"/>
  <c r="I718" i="176" l="1"/>
  <c r="B719" i="176"/>
  <c r="I719" i="176" l="1"/>
  <c r="B720" i="176"/>
  <c r="B721" i="176" l="1"/>
  <c r="I720" i="176"/>
  <c r="B722" i="176" l="1"/>
  <c r="I721" i="176"/>
  <c r="B723" i="176" l="1"/>
  <c r="B724" i="176" s="1"/>
  <c r="I724" i="176" s="1"/>
  <c r="I722" i="176"/>
  <c r="B725" i="176" l="1"/>
  <c r="I723" i="176"/>
  <c r="B726" i="176" l="1"/>
  <c r="I725" i="176"/>
  <c r="I726" i="176" l="1"/>
  <c r="B727" i="176"/>
  <c r="B728" i="176" l="1"/>
  <c r="I727" i="176"/>
  <c r="I728" i="176" l="1"/>
  <c r="B729" i="176"/>
  <c r="B730" i="176" l="1"/>
  <c r="I729" i="176"/>
  <c r="I730" i="176" l="1"/>
  <c r="B731" i="176"/>
  <c r="B732" i="176" l="1"/>
  <c r="I731" i="176"/>
  <c r="B733" i="176" l="1"/>
  <c r="I732" i="176"/>
  <c r="B734" i="176" l="1"/>
  <c r="I733" i="176"/>
  <c r="I734" i="176" l="1"/>
  <c r="B735" i="176"/>
  <c r="I735" i="176" l="1"/>
  <c r="B736" i="176"/>
  <c r="B737" i="176" l="1"/>
  <c r="I736" i="176"/>
  <c r="B738" i="176" l="1"/>
  <c r="I737" i="176"/>
  <c r="I738" i="176" l="1"/>
  <c r="B739" i="176"/>
  <c r="B740" i="176" l="1"/>
  <c r="B741" i="176" s="1"/>
  <c r="I741" i="176" s="1"/>
  <c r="I739" i="176"/>
  <c r="I740" i="176" l="1"/>
  <c r="B742" i="176"/>
  <c r="B743" i="176" l="1"/>
  <c r="I742" i="176"/>
  <c r="I743" i="176" l="1"/>
  <c r="B744" i="176"/>
  <c r="B745" i="176" l="1"/>
  <c r="I744" i="176"/>
  <c r="B746" i="176" l="1"/>
  <c r="I745" i="176"/>
  <c r="B747" i="176" l="1"/>
  <c r="I746" i="176"/>
  <c r="I747" i="176" l="1"/>
  <c r="B748" i="176"/>
  <c r="B749" i="176" l="1"/>
  <c r="I748" i="176"/>
  <c r="I749" i="176" l="1"/>
  <c r="B750" i="176"/>
  <c r="B751" i="176" l="1"/>
  <c r="I750" i="176"/>
  <c r="B752" i="176" l="1"/>
  <c r="I751" i="176"/>
  <c r="I752" i="176" l="1"/>
  <c r="B753" i="176"/>
  <c r="I753" i="176" l="1"/>
  <c r="B754" i="176"/>
  <c r="B755" i="176" l="1"/>
  <c r="I754" i="176"/>
  <c r="I755" i="176" l="1"/>
  <c r="B756" i="176"/>
  <c r="B757" i="176" l="1"/>
  <c r="B758" i="176" s="1"/>
  <c r="I758" i="176" s="1"/>
  <c r="I756" i="176"/>
  <c r="I757" i="176" l="1"/>
  <c r="B759" i="176"/>
  <c r="I759" i="176" l="1"/>
  <c r="B760" i="176"/>
  <c r="B761" i="176" l="1"/>
  <c r="I760" i="176"/>
  <c r="B762" i="176" l="1"/>
  <c r="I761" i="176"/>
  <c r="I762" i="176" l="1"/>
  <c r="B763" i="176"/>
  <c r="I763" i="176" l="1"/>
  <c r="B764" i="176"/>
  <c r="I764" i="176" l="1"/>
  <c r="B765" i="176"/>
  <c r="B766" i="176" l="1"/>
  <c r="I765" i="176"/>
  <c r="I766" i="176" l="1"/>
  <c r="B767" i="176"/>
  <c r="I767" i="176" l="1"/>
  <c r="B768" i="176"/>
  <c r="I768" i="176" l="1"/>
  <c r="B769" i="176"/>
  <c r="B770" i="176" l="1"/>
  <c r="I769" i="176"/>
  <c r="B771" i="176" l="1"/>
  <c r="I770" i="176"/>
  <c r="I771" i="176" l="1"/>
  <c r="B772" i="176"/>
  <c r="I772" i="176" l="1"/>
  <c r="B773" i="176"/>
  <c r="I773" i="176" l="1"/>
  <c r="B774" i="176"/>
  <c r="B775" i="176" s="1"/>
  <c r="I775" i="176" s="1"/>
  <c r="I774" i="176" l="1"/>
  <c r="B776" i="176"/>
  <c r="I776" i="176" l="1"/>
  <c r="B777" i="176"/>
  <c r="B778" i="176" l="1"/>
  <c r="I777" i="176"/>
  <c r="I778" i="176" l="1"/>
  <c r="B779" i="176"/>
  <c r="B780" i="176" l="1"/>
  <c r="I779" i="176"/>
  <c r="I780" i="176" l="1"/>
  <c r="B781" i="176"/>
  <c r="B782" i="176" l="1"/>
  <c r="I781" i="176"/>
  <c r="B783" i="176" l="1"/>
  <c r="I782" i="176"/>
  <c r="B784" i="176" l="1"/>
  <c r="I783" i="176"/>
  <c r="B785" i="176" l="1"/>
  <c r="I784" i="176"/>
  <c r="I785" i="176" l="1"/>
  <c r="B786" i="176"/>
  <c r="I786" i="176" l="1"/>
  <c r="B787" i="176"/>
  <c r="I787" i="176" l="1"/>
  <c r="B788" i="176"/>
  <c r="I788" i="176" l="1"/>
  <c r="B789" i="176"/>
  <c r="B790" i="176" l="1"/>
  <c r="I789" i="176"/>
  <c r="I790" i="176" l="1"/>
  <c r="B791" i="176"/>
  <c r="B792" i="176" s="1"/>
  <c r="I792" i="176" s="1"/>
  <c r="B793" i="176" l="1"/>
  <c r="I791" i="176"/>
  <c r="B794" i="176" l="1"/>
  <c r="I793" i="176"/>
  <c r="B795" i="176" l="1"/>
  <c r="I794" i="176"/>
  <c r="I795" i="176" l="1"/>
  <c r="B796" i="176"/>
  <c r="B797" i="176" l="1"/>
  <c r="I796" i="176"/>
  <c r="B798" i="176" l="1"/>
  <c r="I797" i="176"/>
  <c r="B799" i="176" l="1"/>
  <c r="I798" i="176"/>
  <c r="B800" i="176" l="1"/>
  <c r="I799" i="176"/>
  <c r="B801" i="176" l="1"/>
  <c r="I800" i="176"/>
  <c r="I801" i="176" l="1"/>
  <c r="B802" i="176"/>
  <c r="I802" i="176" l="1"/>
  <c r="B803" i="176"/>
  <c r="I803" i="176" l="1"/>
  <c r="B804" i="176"/>
  <c r="B805" i="176" l="1"/>
  <c r="I804" i="176"/>
  <c r="B806" i="176" l="1"/>
  <c r="I805" i="176"/>
  <c r="I806" i="176" l="1"/>
  <c r="C999" i="176" l="1"/>
  <c r="C1000" i="176" s="1"/>
  <c r="D999" i="176"/>
  <c r="D1000" i="176" s="1"/>
  <c r="D1001" i="176" s="1"/>
  <c r="D1002" i="176" s="1"/>
  <c r="D1003" i="176" s="1"/>
  <c r="D1004" i="176" s="1"/>
  <c r="D1005" i="176" s="1"/>
  <c r="D1006" i="176" s="1"/>
  <c r="D1007" i="176" s="1"/>
  <c r="D1008" i="176" s="1"/>
  <c r="D1009" i="176" s="1"/>
  <c r="D1010" i="176" s="1"/>
  <c r="D1011" i="176" s="1"/>
  <c r="D1012" i="176" s="1"/>
  <c r="D1013" i="176" s="1"/>
  <c r="E999" i="176"/>
  <c r="E1000" i="176" s="1"/>
  <c r="C1001" i="176" l="1"/>
  <c r="C1002" i="176" l="1"/>
  <c r="C1003" i="176" l="1"/>
  <c r="C1004" i="176" l="1"/>
  <c r="C1005" i="176" l="1"/>
  <c r="C1006" i="176" l="1"/>
  <c r="C1007" i="176" l="1"/>
  <c r="C1008" i="176" l="1"/>
  <c r="C1009" i="176" l="1"/>
  <c r="C1010" i="176" l="1"/>
  <c r="C1011" i="176" l="1"/>
  <c r="C1012" i="176" l="1"/>
  <c r="J23" i="397" l="1"/>
  <c r="J7" i="397"/>
  <c r="J93" i="397" l="1"/>
  <c r="J31" i="397" s="1"/>
  <c r="L7" i="397"/>
  <c r="L23" i="397"/>
  <c r="L93" i="397" l="1"/>
  <c r="L63" i="397" s="1"/>
  <c r="L49" i="397" s="1"/>
  <c r="L48" i="397" s="1"/>
  <c r="L40" i="397" s="1"/>
  <c r="L31" i="397" s="1"/>
  <c r="D1158" i="176"/>
  <c r="D1159" i="176" s="1"/>
  <c r="D1160" i="176" s="1"/>
  <c r="D1161" i="176" s="1"/>
  <c r="D1162" i="176" s="1"/>
  <c r="D1163" i="176" s="1"/>
  <c r="D1164" i="176" s="1"/>
  <c r="D1165" i="176" s="1"/>
  <c r="D1166" i="176" s="1"/>
  <c r="D1167" i="176" s="1"/>
  <c r="D1168" i="176" s="1"/>
  <c r="C1158" i="176"/>
  <c r="C1159" i="176" s="1"/>
  <c r="C1160" i="176" s="1"/>
  <c r="C1161" i="176" s="1"/>
  <c r="C1162" i="176" s="1"/>
  <c r="C1163" i="176" s="1"/>
  <c r="C1164" i="176" s="1"/>
  <c r="C1165" i="176" s="1"/>
  <c r="C1166" i="176" s="1"/>
  <c r="C1167" i="176" s="1"/>
  <c r="C1168" i="176" s="1"/>
  <c r="C1169" i="176" l="1"/>
  <c r="C1170" i="176" s="1"/>
  <c r="C1171" i="176" s="1"/>
  <c r="C1172" i="176" s="1"/>
  <c r="C1173" i="176" s="1"/>
  <c r="C1174" i="176" s="1"/>
  <c r="C1175" i="176" s="1"/>
  <c r="C1176" i="176" s="1"/>
  <c r="C1177" i="176" s="1"/>
  <c r="D1169" i="176"/>
  <c r="D1170" i="176" s="1"/>
  <c r="D1171" i="176" s="1"/>
  <c r="D1172" i="176" s="1"/>
  <c r="D1173" i="176" s="1"/>
  <c r="D1174" i="176" s="1"/>
  <c r="D1175" i="176" s="1"/>
  <c r="D1176" i="176" s="1"/>
  <c r="D1177" i="176" s="1"/>
  <c r="D1178" i="176" l="1"/>
  <c r="D1179" i="176" s="1"/>
  <c r="D1180" i="176" s="1"/>
  <c r="D1181" i="176" s="1"/>
  <c r="D1182" i="176" s="1"/>
  <c r="D1183" i="176" s="1"/>
  <c r="D1184" i="176" s="1"/>
  <c r="C1178" i="176"/>
  <c r="C1179" i="176" s="1"/>
  <c r="C1180" i="176" s="1"/>
  <c r="C1181" i="176" s="1"/>
  <c r="C1182" i="176" s="1"/>
  <c r="C1183" i="176" s="1"/>
  <c r="C1184" i="176" s="1"/>
  <c r="D1290" i="176" l="1"/>
  <c r="D1185" i="176"/>
  <c r="C1231" i="176"/>
  <c r="C1232" i="176" s="1"/>
  <c r="C1233" i="176" s="1"/>
  <c r="D1231" i="176"/>
  <c r="E1231" i="176"/>
  <c r="E1232" i="176" s="1"/>
  <c r="E1233" i="176" s="1"/>
  <c r="C1234" i="176" l="1"/>
  <c r="D1232" i="176"/>
  <c r="C1235" i="176" l="1"/>
  <c r="C1236" i="176" l="1"/>
  <c r="C1237" i="176" l="1"/>
  <c r="C1238" i="176" l="1"/>
  <c r="C1239" i="176" l="1"/>
  <c r="C1240" i="176" l="1"/>
  <c r="C1241" i="176" l="1"/>
  <c r="C1242" i="176" l="1"/>
  <c r="C1243" i="176" l="1"/>
  <c r="C1244" i="176" l="1"/>
  <c r="C1245" i="176" l="1"/>
  <c r="C1246" i="176" l="1"/>
  <c r="C1247" i="176" l="1"/>
  <c r="C1248" i="176" l="1"/>
  <c r="C1249" i="176" l="1"/>
  <c r="C1250" i="176" l="1"/>
  <c r="C1251" i="176" l="1"/>
  <c r="C1252" i="176" l="1"/>
  <c r="C1253" i="176" s="1"/>
  <c r="C1254" i="176" l="1"/>
  <c r="C1255" i="176" l="1"/>
  <c r="C1256" i="176" l="1"/>
  <c r="C1257" i="176" l="1"/>
  <c r="C1258" i="176" l="1"/>
  <c r="C1259" i="176" l="1"/>
  <c r="C1260" i="176" l="1"/>
  <c r="C1261" i="176" l="1"/>
  <c r="C1262" i="176" l="1"/>
  <c r="C1263" i="176" l="1"/>
  <c r="C1264" i="176" l="1"/>
  <c r="C1265" i="176" l="1"/>
  <c r="C1266" i="176" l="1"/>
  <c r="C1267" i="176" l="1"/>
  <c r="C1268" i="176" l="1"/>
  <c r="C1269" i="176" l="1"/>
  <c r="C1270" i="176" l="1"/>
  <c r="C1271" i="176" l="1"/>
  <c r="C1272" i="176" l="1"/>
  <c r="C1273" i="176" l="1"/>
  <c r="D1307" i="176"/>
  <c r="D1308" i="176" s="1"/>
  <c r="D1309" i="176" l="1"/>
  <c r="D1310" i="176" l="1"/>
  <c r="D1311" i="176" l="1"/>
  <c r="D1312" i="176" l="1"/>
  <c r="D1313" i="176" l="1"/>
  <c r="D1314" i="176" l="1"/>
  <c r="D1315" i="176" l="1"/>
  <c r="D1316" i="176" l="1"/>
  <c r="D599" i="176"/>
  <c r="D600" i="176" s="1"/>
  <c r="D1274" i="176"/>
  <c r="I599" i="176" l="1"/>
  <c r="D601" i="176"/>
  <c r="I600" i="176"/>
  <c r="D602" i="176" l="1"/>
  <c r="I601" i="176"/>
  <c r="I602" i="176" l="1"/>
  <c r="D603" i="176"/>
  <c r="I603" i="176" l="1"/>
  <c r="D604" i="176"/>
  <c r="D605" i="176" l="1"/>
  <c r="D606" i="176" s="1"/>
  <c r="I604" i="176"/>
  <c r="I606" i="176" l="1"/>
  <c r="D607" i="176"/>
  <c r="I607" i="176" s="1"/>
  <c r="I605" i="176"/>
  <c r="D608" i="176" l="1"/>
  <c r="I608" i="176" l="1"/>
  <c r="D609" i="176"/>
  <c r="D610" i="176" l="1"/>
  <c r="I609" i="176"/>
  <c r="D611" i="176" l="1"/>
  <c r="I611" i="176" s="1"/>
  <c r="I610" i="176"/>
  <c r="D612" i="176" l="1"/>
  <c r="D613" i="176" s="1"/>
  <c r="I612" i="176" l="1"/>
  <c r="I613" i="176"/>
  <c r="D614" i="176"/>
  <c r="D615" i="176" l="1"/>
  <c r="I614" i="176"/>
  <c r="D616" i="176" l="1"/>
  <c r="I615" i="176"/>
  <c r="I616" i="176" l="1"/>
  <c r="D617" i="176"/>
  <c r="D618" i="176" s="1"/>
  <c r="I618" i="176" s="1"/>
  <c r="I617" i="176" l="1"/>
  <c r="D619" i="176" l="1"/>
  <c r="I619" i="176" s="1"/>
  <c r="C1031" i="176"/>
  <c r="C1032" i="176" s="1"/>
  <c r="D1031" i="176"/>
  <c r="D1032" i="176" s="1"/>
  <c r="D1033" i="176" s="1"/>
  <c r="E1031" i="176"/>
  <c r="E1032" i="176" s="1"/>
  <c r="D1153" i="176"/>
  <c r="E1033" i="176" l="1"/>
  <c r="C1033" i="176"/>
  <c r="E1034" i="176" l="1"/>
  <c r="C1034" i="176" l="1"/>
  <c r="C1035" i="176" l="1"/>
  <c r="C1036" i="176" l="1"/>
  <c r="C1037" i="176" l="1"/>
  <c r="C1038" i="176" l="1"/>
  <c r="C1039" i="176" l="1"/>
  <c r="C1040" i="176" l="1"/>
  <c r="C1041" i="176" l="1"/>
  <c r="C1042" i="176" l="1"/>
  <c r="C1043" i="176" l="1"/>
  <c r="C1044" i="176" l="1"/>
  <c r="C1045" i="176" l="1"/>
  <c r="C1046" i="176" l="1"/>
  <c r="C1047" i="176" l="1"/>
  <c r="C1048" i="176" l="1"/>
  <c r="C1049" i="176" l="1"/>
  <c r="C1050" i="176" l="1"/>
  <c r="C1051" i="176" l="1"/>
  <c r="C1052" i="176" l="1"/>
  <c r="C1053" i="176" l="1"/>
  <c r="C1054" i="176" l="1"/>
  <c r="C1055" i="176" l="1"/>
  <c r="C1056" i="176" l="1"/>
  <c r="C1057" i="176" l="1"/>
  <c r="C1058" i="176" l="1"/>
  <c r="C1059" i="176" l="1"/>
  <c r="C1060" i="176" l="1"/>
  <c r="C1061" i="176" l="1"/>
  <c r="C1062" i="176" l="1"/>
  <c r="C1063" i="176" l="1"/>
  <c r="C1064" i="176" l="1"/>
  <c r="C1065" i="176" l="1"/>
  <c r="C1066" i="176" l="1"/>
  <c r="C1067" i="176" l="1"/>
  <c r="C1068" i="176" l="1"/>
  <c r="C1069" i="176" l="1"/>
  <c r="C1070" i="176" l="1"/>
  <c r="C1071" i="176" l="1"/>
  <c r="C1072" i="176" l="1"/>
  <c r="C1073" i="176" l="1"/>
  <c r="C1074" i="176" l="1"/>
  <c r="C1075" i="176" l="1"/>
  <c r="C1076" i="176" l="1"/>
  <c r="C1077" i="176" l="1"/>
  <c r="C1078" i="176" l="1"/>
  <c r="C1079" i="176" l="1"/>
  <c r="C1080" i="176" l="1"/>
  <c r="C1081" i="176" l="1"/>
  <c r="C1082" i="176" l="1"/>
  <c r="C1083" i="176" l="1"/>
  <c r="C1084" i="176" l="1"/>
  <c r="C1085" i="176" l="1"/>
  <c r="C1086" i="176" l="1"/>
  <c r="C1087" i="176" l="1"/>
  <c r="C1088" i="176" l="1"/>
  <c r="C1089" i="176" l="1"/>
  <c r="C1090" i="176" l="1"/>
  <c r="C1091" i="176" l="1"/>
  <c r="C1092" i="176" l="1"/>
  <c r="C1093" i="176" l="1"/>
  <c r="C1094" i="176" l="1"/>
  <c r="C1095" i="176" l="1"/>
  <c r="C1096" i="176" l="1"/>
  <c r="C1097" i="176" l="1"/>
  <c r="C1098" i="176" l="1"/>
  <c r="C1099" i="176" l="1"/>
  <c r="C1100" i="176" l="1"/>
  <c r="C1101" i="176" l="1"/>
  <c r="C1102" i="176" l="1"/>
  <c r="C1103" i="176" l="1"/>
  <c r="C1104" i="176" l="1"/>
  <c r="C1105" i="176" l="1"/>
  <c r="C1106" i="176" l="1"/>
  <c r="C1107" i="176" l="1"/>
  <c r="C1108" i="176" s="1"/>
  <c r="C1109" i="176" l="1"/>
  <c r="C1110" i="176" l="1"/>
  <c r="C1111" i="176" l="1"/>
  <c r="C1112" i="176" l="1"/>
  <c r="C1113" i="176" l="1"/>
  <c r="C1114" i="176" l="1"/>
  <c r="C1115" i="176" l="1"/>
  <c r="C1116" i="176" l="1"/>
  <c r="C1117" i="176" l="1"/>
  <c r="C1118" i="176" l="1"/>
  <c r="C1119" i="176" l="1"/>
  <c r="C1120" i="176" l="1"/>
  <c r="C1121" i="176" l="1"/>
  <c r="C1122" i="176" l="1"/>
  <c r="C1123" i="176" l="1"/>
  <c r="C1124" i="176" l="1"/>
  <c r="C1125" i="176" l="1"/>
  <c r="C1126" i="176" l="1"/>
  <c r="C1127" i="176" l="1"/>
  <c r="C1128" i="176" l="1"/>
  <c r="C1129" i="176" l="1"/>
  <c r="C1130" i="176" l="1"/>
  <c r="C1131" i="176" l="1"/>
  <c r="C1132" i="176" l="1"/>
  <c r="C1133" i="176" l="1"/>
  <c r="C1134" i="176" l="1"/>
  <c r="C1135" i="176" l="1"/>
  <c r="C1136" i="176" l="1"/>
  <c r="C1137" i="176" l="1"/>
  <c r="C1138" i="176" l="1"/>
  <c r="C1139" i="176" l="1"/>
  <c r="C1140" i="176" l="1"/>
  <c r="C1141" i="176" l="1"/>
  <c r="C1142" i="176" l="1"/>
  <c r="C1143" i="176" l="1"/>
  <c r="C1144" i="176" l="1"/>
  <c r="C1145" i="176" l="1"/>
  <c r="C1146" i="176" l="1"/>
  <c r="C1147" i="176" l="1"/>
  <c r="C1148" i="176" l="1"/>
  <c r="C1149" i="176" l="1"/>
  <c r="C1150" i="176" l="1"/>
  <c r="C1151" i="176" l="1"/>
  <c r="C1152" i="176" l="1"/>
  <c r="B807" i="176" l="1"/>
  <c r="B808" i="176" s="1"/>
  <c r="B809" i="176" s="1"/>
  <c r="B810" i="176" s="1"/>
  <c r="B811" i="176" s="1"/>
  <c r="B812" i="176" s="1"/>
  <c r="B813" i="176" s="1"/>
  <c r="B814" i="176" s="1"/>
  <c r="B815" i="176" s="1"/>
  <c r="B816" i="176" s="1"/>
  <c r="B817" i="176" s="1"/>
  <c r="B818" i="176" s="1"/>
  <c r="B819" i="176" s="1"/>
  <c r="B820" i="176" s="1"/>
  <c r="B821" i="176" s="1"/>
  <c r="B822" i="176" s="1"/>
  <c r="B823" i="176" s="1"/>
  <c r="B824" i="176" s="1"/>
  <c r="B825" i="176" s="1"/>
  <c r="B826" i="176" s="1"/>
  <c r="B827" i="176" s="1"/>
  <c r="B828" i="176" s="1"/>
  <c r="B829" i="176" s="1"/>
  <c r="B830" i="176" s="1"/>
  <c r="B831" i="176" s="1"/>
  <c r="B832" i="176" s="1"/>
  <c r="B833" i="176" s="1"/>
  <c r="C807" i="176"/>
  <c r="C808" i="176" s="1"/>
  <c r="B834" i="176" l="1"/>
  <c r="I833" i="176"/>
  <c r="C809" i="176"/>
  <c r="I808" i="176"/>
  <c r="I807" i="176"/>
  <c r="B835" i="176" l="1"/>
  <c r="I834" i="176"/>
  <c r="I809" i="176"/>
  <c r="C810" i="176"/>
  <c r="B836" i="176" l="1"/>
  <c r="I835" i="176"/>
  <c r="C811" i="176"/>
  <c r="I810" i="176"/>
  <c r="B837" i="176" l="1"/>
  <c r="I836" i="176"/>
  <c r="I811" i="176"/>
  <c r="C812" i="176"/>
  <c r="B838" i="176" l="1"/>
  <c r="I837" i="176"/>
  <c r="C813" i="176"/>
  <c r="I812" i="176"/>
  <c r="B839" i="176" l="1"/>
  <c r="I838" i="176"/>
  <c r="C814" i="176"/>
  <c r="I813" i="176"/>
  <c r="B840" i="176" l="1"/>
  <c r="I839" i="176"/>
  <c r="I814" i="176"/>
  <c r="C815" i="176"/>
  <c r="B841" i="176" l="1"/>
  <c r="I840" i="176"/>
  <c r="C816" i="176"/>
  <c r="I815" i="176"/>
  <c r="B842" i="176" l="1"/>
  <c r="I841" i="176"/>
  <c r="C817" i="176"/>
  <c r="I816" i="176"/>
  <c r="B843" i="176" l="1"/>
  <c r="I842" i="176"/>
  <c r="I817" i="176"/>
  <c r="C818" i="176"/>
  <c r="B844" i="176" l="1"/>
  <c r="I843" i="176"/>
  <c r="C819" i="176"/>
  <c r="I818" i="176"/>
  <c r="B845" i="176" l="1"/>
  <c r="I844" i="176"/>
  <c r="I819" i="176"/>
  <c r="C820" i="176"/>
  <c r="B846" i="176" l="1"/>
  <c r="I845" i="176"/>
  <c r="C821" i="176"/>
  <c r="I820" i="176"/>
  <c r="B847" i="176" l="1"/>
  <c r="I846" i="176"/>
  <c r="C822" i="176"/>
  <c r="I821" i="176"/>
  <c r="B848" i="176" l="1"/>
  <c r="I847" i="176"/>
  <c r="I822" i="176"/>
  <c r="C823" i="176"/>
  <c r="B849" i="176" l="1"/>
  <c r="I848" i="176"/>
  <c r="C824" i="176"/>
  <c r="I823" i="176"/>
  <c r="B850" i="176" l="1"/>
  <c r="I849" i="176"/>
  <c r="C825" i="176"/>
  <c r="I824" i="176"/>
  <c r="B851" i="176" l="1"/>
  <c r="I850" i="176"/>
  <c r="I825" i="176"/>
  <c r="C826" i="176"/>
  <c r="B852" i="176" l="1"/>
  <c r="I851" i="176"/>
  <c r="C827" i="176"/>
  <c r="I826" i="176"/>
  <c r="B853" i="176" l="1"/>
  <c r="I852" i="176"/>
  <c r="I827" i="176"/>
  <c r="C828" i="176"/>
  <c r="B854" i="176" l="1"/>
  <c r="I853" i="176"/>
  <c r="C829" i="176"/>
  <c r="I828" i="176"/>
  <c r="B855" i="176" l="1"/>
  <c r="I854" i="176"/>
  <c r="C830" i="176"/>
  <c r="I829" i="176"/>
  <c r="B856" i="176" l="1"/>
  <c r="I855" i="176"/>
  <c r="I830" i="176"/>
  <c r="C831" i="176"/>
  <c r="B857" i="176" l="1"/>
  <c r="I856" i="176"/>
  <c r="C832" i="176"/>
  <c r="I832" i="176" s="1"/>
  <c r="I831" i="176"/>
  <c r="B858" i="176" l="1"/>
  <c r="I857" i="176"/>
  <c r="B859" i="176" l="1"/>
  <c r="I858" i="176"/>
  <c r="B860" i="176" l="1"/>
  <c r="I859" i="176"/>
  <c r="B861" i="176" l="1"/>
  <c r="I860" i="176"/>
  <c r="B862" i="176" l="1"/>
  <c r="I861" i="176"/>
  <c r="B863" i="176" l="1"/>
  <c r="I862" i="176"/>
  <c r="B864" i="176" l="1"/>
  <c r="I863" i="176"/>
  <c r="B865" i="176" l="1"/>
  <c r="I864" i="176"/>
  <c r="B866" i="176" l="1"/>
  <c r="I865" i="176"/>
  <c r="B867" i="176" l="1"/>
  <c r="I866" i="176"/>
  <c r="B868" i="176" l="1"/>
  <c r="I867" i="176"/>
  <c r="B869" i="176" l="1"/>
  <c r="I868" i="176"/>
  <c r="B870" i="176" l="1"/>
  <c r="I869" i="176"/>
  <c r="B871" i="176" l="1"/>
  <c r="I870" i="176"/>
  <c r="B872" i="176" l="1"/>
  <c r="I871" i="176"/>
  <c r="B873" i="176" l="1"/>
  <c r="I872" i="176"/>
  <c r="B874" i="176" l="1"/>
  <c r="I873" i="176"/>
  <c r="B875" i="176" l="1"/>
  <c r="I874" i="176"/>
  <c r="B876" i="176" l="1"/>
  <c r="I875" i="176"/>
  <c r="B877" i="176" l="1"/>
  <c r="I876" i="176"/>
  <c r="B878" i="176" l="1"/>
  <c r="I877" i="176"/>
  <c r="B879" i="176" l="1"/>
  <c r="I878" i="176"/>
  <c r="B880" i="176" l="1"/>
  <c r="I879" i="176"/>
  <c r="B881" i="176" l="1"/>
  <c r="I880" i="176"/>
  <c r="B882" i="176" l="1"/>
  <c r="I881" i="176"/>
  <c r="B883" i="176" l="1"/>
  <c r="I882" i="176"/>
  <c r="B884" i="176" l="1"/>
  <c r="I883" i="176"/>
  <c r="B885" i="176" l="1"/>
  <c r="I884" i="176"/>
  <c r="B886" i="176" l="1"/>
  <c r="I885" i="176"/>
  <c r="B887" i="176" l="1"/>
  <c r="I886" i="176"/>
  <c r="B888" i="176" l="1"/>
  <c r="I887" i="176"/>
  <c r="B889" i="176" l="1"/>
  <c r="I888" i="176"/>
  <c r="B890" i="176" l="1"/>
  <c r="I889" i="176"/>
  <c r="B891" i="176" l="1"/>
  <c r="I890" i="176"/>
  <c r="B892" i="176" l="1"/>
  <c r="I891" i="176"/>
  <c r="B893" i="176" l="1"/>
  <c r="I892" i="176"/>
  <c r="B894" i="176" l="1"/>
  <c r="I893" i="176"/>
  <c r="B895" i="176" l="1"/>
  <c r="I894" i="176"/>
  <c r="B896" i="176" l="1"/>
  <c r="I895" i="176"/>
  <c r="B897" i="176" l="1"/>
  <c r="I896" i="176"/>
  <c r="B898" i="176" l="1"/>
  <c r="I897" i="176"/>
  <c r="B899" i="176" l="1"/>
  <c r="I898" i="176"/>
  <c r="B900" i="176" l="1"/>
  <c r="I899" i="176"/>
  <c r="B901" i="176" l="1"/>
  <c r="I900" i="176"/>
  <c r="B902" i="176" l="1"/>
  <c r="I901" i="176"/>
  <c r="B903" i="176" l="1"/>
  <c r="I902" i="176"/>
  <c r="B904" i="176" l="1"/>
  <c r="I903" i="176"/>
  <c r="B905" i="176" l="1"/>
  <c r="I904" i="176"/>
  <c r="B906" i="176" l="1"/>
  <c r="I905" i="176"/>
  <c r="B907" i="176" l="1"/>
  <c r="I906" i="176"/>
  <c r="B908" i="176" l="1"/>
  <c r="I907" i="176"/>
  <c r="B909" i="176" l="1"/>
  <c r="I908" i="176"/>
  <c r="B910" i="176" l="1"/>
  <c r="I909" i="176"/>
  <c r="B911" i="176" l="1"/>
  <c r="I910" i="176"/>
  <c r="B912" i="176" l="1"/>
  <c r="I911" i="176"/>
  <c r="B913" i="176" l="1"/>
  <c r="I912" i="176"/>
  <c r="B914" i="176" l="1"/>
  <c r="I913" i="176"/>
  <c r="B915" i="176" l="1"/>
  <c r="I914" i="176"/>
  <c r="B916" i="176" l="1"/>
  <c r="I915" i="176"/>
  <c r="B917" i="176" l="1"/>
  <c r="I916" i="176"/>
  <c r="B918" i="176" l="1"/>
  <c r="I917" i="176"/>
  <c r="B919" i="176" l="1"/>
  <c r="I918" i="176"/>
  <c r="B920" i="176" l="1"/>
  <c r="I919" i="176"/>
  <c r="B921" i="176" l="1"/>
  <c r="I920" i="176"/>
  <c r="B922" i="176" l="1"/>
  <c r="I921" i="176"/>
  <c r="B923" i="176" l="1"/>
  <c r="I922" i="176"/>
  <c r="B924" i="176" l="1"/>
  <c r="I923" i="176"/>
  <c r="B925" i="176" l="1"/>
  <c r="I924" i="176"/>
  <c r="B926" i="176" l="1"/>
  <c r="I925" i="176"/>
  <c r="B927" i="176" l="1"/>
  <c r="I926" i="176"/>
  <c r="B928" i="176" l="1"/>
  <c r="I927" i="176"/>
  <c r="B929" i="176" l="1"/>
  <c r="I928" i="176"/>
  <c r="B930" i="176" l="1"/>
  <c r="I929" i="176"/>
  <c r="B931" i="176" l="1"/>
  <c r="I930" i="176"/>
  <c r="B932" i="176" l="1"/>
  <c r="I931" i="176"/>
  <c r="B933" i="176" l="1"/>
  <c r="I932" i="176"/>
  <c r="B934" i="176" l="1"/>
  <c r="I933" i="176"/>
  <c r="B935" i="176" l="1"/>
  <c r="I934" i="176"/>
  <c r="B936" i="176" l="1"/>
  <c r="I935" i="176"/>
  <c r="B937" i="176" l="1"/>
  <c r="I936" i="176"/>
  <c r="B938" i="176" l="1"/>
  <c r="I937" i="176"/>
  <c r="B939" i="176" l="1"/>
  <c r="I938" i="176"/>
  <c r="B940" i="176" l="1"/>
  <c r="I939" i="176"/>
  <c r="B941" i="176" l="1"/>
  <c r="I940" i="176"/>
  <c r="B942" i="176" l="1"/>
  <c r="I941" i="176"/>
  <c r="B943" i="176" l="1"/>
  <c r="I942" i="176"/>
  <c r="B944" i="176" l="1"/>
  <c r="I943" i="176"/>
  <c r="B945" i="176" l="1"/>
  <c r="I944" i="176"/>
  <c r="B946" i="176" l="1"/>
  <c r="I945" i="176"/>
  <c r="B947" i="176" l="1"/>
  <c r="I946" i="176"/>
  <c r="B948" i="176" l="1"/>
  <c r="I947" i="176"/>
  <c r="B949" i="176" l="1"/>
  <c r="I948" i="176"/>
  <c r="B950" i="176" l="1"/>
  <c r="I949" i="176"/>
  <c r="B951" i="176" l="1"/>
  <c r="I950" i="176"/>
  <c r="B952" i="176" l="1"/>
  <c r="I951" i="176"/>
  <c r="B953" i="176" l="1"/>
  <c r="I952" i="176"/>
  <c r="B954" i="176" l="1"/>
  <c r="I953" i="176"/>
  <c r="B955" i="176" l="1"/>
  <c r="I954" i="176"/>
  <c r="B956" i="176" l="1"/>
  <c r="I955" i="176"/>
  <c r="B957" i="176" l="1"/>
  <c r="I956" i="176"/>
  <c r="B958" i="176" l="1"/>
  <c r="I957" i="176"/>
  <c r="B959" i="176" l="1"/>
  <c r="I958" i="176"/>
  <c r="B960" i="176" l="1"/>
  <c r="I959" i="176"/>
  <c r="B961" i="176" l="1"/>
  <c r="I960" i="176"/>
  <c r="B962" i="176" l="1"/>
  <c r="I961" i="176"/>
  <c r="B963" i="176" l="1"/>
  <c r="I962" i="176"/>
  <c r="B964" i="176" l="1"/>
  <c r="I963" i="176"/>
  <c r="B965" i="176" l="1"/>
  <c r="I964" i="176"/>
  <c r="B966" i="176" l="1"/>
  <c r="I965" i="176"/>
  <c r="B967" i="176" l="1"/>
  <c r="I966" i="176"/>
  <c r="B968" i="176" l="1"/>
  <c r="I967" i="176"/>
  <c r="B969" i="176" l="1"/>
  <c r="I968" i="176"/>
  <c r="B970" i="176" l="1"/>
  <c r="I969" i="176"/>
  <c r="B971" i="176" l="1"/>
  <c r="I970" i="176"/>
  <c r="B972" i="176" l="1"/>
  <c r="I971" i="176"/>
  <c r="B973" i="176" l="1"/>
  <c r="I972" i="176"/>
  <c r="B974" i="176" l="1"/>
  <c r="I973" i="176"/>
  <c r="B975" i="176" l="1"/>
  <c r="I974" i="176"/>
  <c r="I975" i="176" l="1"/>
  <c r="B976" i="176" l="1"/>
  <c r="B977" i="176" l="1"/>
  <c r="I976" i="176"/>
  <c r="B978" i="176" l="1"/>
  <c r="I977" i="176"/>
  <c r="B979" i="176" l="1"/>
  <c r="I978" i="176"/>
  <c r="B980" i="176" l="1"/>
  <c r="I979" i="176"/>
  <c r="B981" i="176" l="1"/>
  <c r="I980" i="176"/>
  <c r="B982" i="176" l="1"/>
  <c r="I981" i="176"/>
  <c r="B983" i="176" l="1"/>
  <c r="I982" i="176"/>
  <c r="B984" i="176" l="1"/>
  <c r="I983" i="176"/>
  <c r="B985" i="176" l="1"/>
  <c r="I984" i="176"/>
  <c r="B986" i="176" l="1"/>
  <c r="I985" i="176"/>
  <c r="B987" i="176" l="1"/>
  <c r="I986" i="176"/>
  <c r="B988" i="176" l="1"/>
  <c r="I987" i="176"/>
  <c r="B989" i="176" l="1"/>
  <c r="I988" i="176"/>
  <c r="B990" i="176" l="1"/>
  <c r="I989" i="176"/>
  <c r="B991" i="176" l="1"/>
  <c r="I990" i="176"/>
  <c r="B992" i="176" l="1"/>
  <c r="I991" i="176"/>
  <c r="B993" i="176" l="1"/>
  <c r="I992" i="176"/>
  <c r="B994" i="176" l="1"/>
  <c r="I993" i="176"/>
  <c r="B995" i="176" l="1"/>
  <c r="I994" i="176"/>
  <c r="B996" i="176" l="1"/>
  <c r="I995" i="176"/>
  <c r="B997" i="176" l="1"/>
  <c r="I996" i="176"/>
  <c r="B998" i="176" l="1"/>
  <c r="I997" i="176"/>
  <c r="B999" i="176" l="1"/>
  <c r="I998" i="176"/>
  <c r="B1000" i="176" l="1"/>
  <c r="I999" i="176"/>
  <c r="B1001" i="176" l="1"/>
  <c r="I1000" i="176"/>
  <c r="B1002" i="176" l="1"/>
  <c r="I1001" i="176"/>
  <c r="B1003" i="176" l="1"/>
  <c r="I1002" i="176"/>
  <c r="B1004" i="176" l="1"/>
  <c r="I1003" i="176"/>
  <c r="B1005" i="176" l="1"/>
  <c r="I1004" i="176"/>
  <c r="B1006" i="176" l="1"/>
  <c r="I1005" i="176"/>
  <c r="B1007" i="176" l="1"/>
  <c r="I1006" i="176"/>
  <c r="B1008" i="176" l="1"/>
  <c r="I1007" i="176"/>
  <c r="B1009" i="176" l="1"/>
  <c r="I1008" i="176"/>
  <c r="B1010" i="176" l="1"/>
  <c r="I1009" i="176"/>
  <c r="B1011" i="176" l="1"/>
  <c r="I1010" i="176"/>
  <c r="B1012" i="176" l="1"/>
  <c r="I1011" i="176"/>
  <c r="B1013" i="176" l="1"/>
  <c r="I1012" i="176"/>
  <c r="B1014" i="176" l="1"/>
  <c r="I1013" i="176"/>
  <c r="B1015" i="176" l="1"/>
  <c r="I1014" i="176"/>
  <c r="B1016" i="176" l="1"/>
  <c r="I1015" i="176"/>
  <c r="B1017" i="176" l="1"/>
  <c r="I1016" i="176"/>
  <c r="B1018" i="176" l="1"/>
  <c r="I1017" i="176"/>
  <c r="B1019" i="176" l="1"/>
  <c r="I1018" i="176"/>
  <c r="B1020" i="176" l="1"/>
  <c r="I1019" i="176"/>
  <c r="B1021" i="176" l="1"/>
  <c r="I1020" i="176"/>
  <c r="B1022" i="176" l="1"/>
  <c r="I1021" i="176"/>
  <c r="B1023" i="176" l="1"/>
  <c r="I1022" i="176"/>
  <c r="B1024" i="176" l="1"/>
  <c r="I1023" i="176"/>
  <c r="B1025" i="176" l="1"/>
  <c r="I1024" i="176"/>
  <c r="B1026" i="176" l="1"/>
  <c r="I1025" i="176"/>
  <c r="B1027" i="176" l="1"/>
  <c r="I1026" i="176"/>
  <c r="B1028" i="176" l="1"/>
  <c r="I1027" i="176"/>
  <c r="B1029" i="176" l="1"/>
  <c r="I1028" i="176"/>
  <c r="B1030" i="176" l="1"/>
  <c r="I1029" i="176"/>
  <c r="B1031" i="176" l="1"/>
  <c r="I1030" i="176"/>
  <c r="I1031" i="176" l="1"/>
  <c r="B1032" i="176"/>
  <c r="B1033" i="176" l="1"/>
  <c r="I1032" i="176"/>
  <c r="I1033" i="176" l="1"/>
  <c r="B1034" i="176" l="1"/>
  <c r="I1034" i="176" l="1"/>
  <c r="B1035" i="176"/>
  <c r="B1036" i="176" l="1"/>
  <c r="I1035" i="176"/>
  <c r="B1037" i="176" l="1"/>
  <c r="I1036" i="176"/>
  <c r="I1037" i="176" l="1"/>
  <c r="B1038" i="176"/>
  <c r="B1039" i="176" l="1"/>
  <c r="I1038" i="176"/>
  <c r="B1040" i="176" l="1"/>
  <c r="I1039" i="176"/>
  <c r="B1041" i="176" l="1"/>
  <c r="I1040" i="176"/>
  <c r="B1042" i="176" l="1"/>
  <c r="I1041" i="176"/>
  <c r="B1043" i="176" l="1"/>
  <c r="I1042" i="176"/>
  <c r="B1044" i="176" l="1"/>
  <c r="I1043" i="176"/>
  <c r="B1045" i="176" l="1"/>
  <c r="I1044" i="176"/>
  <c r="B1046" i="176" l="1"/>
  <c r="I1045" i="176"/>
  <c r="B1047" i="176" l="1"/>
  <c r="I1046" i="176"/>
  <c r="B1048" i="176" l="1"/>
  <c r="I1047" i="176"/>
  <c r="B1049" i="176" l="1"/>
  <c r="I1048" i="176"/>
  <c r="B1050" i="176" l="1"/>
  <c r="I1049" i="176"/>
  <c r="B1051" i="176" l="1"/>
  <c r="I1050" i="176"/>
  <c r="B1052" i="176" l="1"/>
  <c r="I1051" i="176"/>
  <c r="B1053" i="176" l="1"/>
  <c r="I1052" i="176"/>
  <c r="I1053" i="176" l="1"/>
  <c r="B1054" i="176" l="1"/>
  <c r="B1055" i="176" l="1"/>
  <c r="I1054" i="176"/>
  <c r="B1056" i="176" l="1"/>
  <c r="I1055" i="176"/>
  <c r="B1057" i="176" l="1"/>
  <c r="I1056" i="176"/>
  <c r="B1058" i="176" l="1"/>
  <c r="I1057" i="176"/>
  <c r="B1059" i="176" l="1"/>
  <c r="I1058" i="176"/>
  <c r="I1059" i="176" l="1"/>
  <c r="B1060" i="176"/>
  <c r="I1060" i="176" l="1"/>
  <c r="B1061" i="176"/>
  <c r="I1061" i="176" l="1"/>
  <c r="B1062" i="176"/>
  <c r="I1062" i="176" l="1"/>
  <c r="B1063" i="176"/>
  <c r="I1063" i="176" l="1"/>
  <c r="B1064" i="176"/>
  <c r="I1064" i="176" l="1"/>
  <c r="B1065" i="176"/>
  <c r="I1065" i="176" l="1"/>
  <c r="B1066" i="176"/>
  <c r="I1066" i="176" l="1"/>
  <c r="B1067" i="176"/>
  <c r="I1067" i="176" l="1"/>
  <c r="B1068" i="176"/>
  <c r="I1068" i="176" l="1"/>
  <c r="B1069" i="176"/>
  <c r="B1070" i="176" l="1"/>
  <c r="I1069" i="176"/>
  <c r="B1071" i="176" l="1"/>
  <c r="I1070" i="176"/>
  <c r="B1072" i="176" l="1"/>
  <c r="I1071" i="176"/>
  <c r="B1073" i="176" l="1"/>
  <c r="I1072" i="176"/>
  <c r="I1073" i="176" l="1"/>
  <c r="B1074" i="176" l="1"/>
  <c r="B1075" i="176" l="1"/>
  <c r="I1074" i="176"/>
  <c r="I1075" i="176" l="1"/>
  <c r="B1076" i="176"/>
  <c r="B1077" i="176" l="1"/>
  <c r="I1076" i="176"/>
  <c r="I1077" i="176" l="1"/>
  <c r="B1078" i="176"/>
  <c r="B1079" i="176" l="1"/>
  <c r="I1078" i="176"/>
  <c r="B1080" i="176" l="1"/>
  <c r="I1079" i="176"/>
  <c r="B1081" i="176" l="1"/>
  <c r="I1080" i="176"/>
  <c r="B1082" i="176" l="1"/>
  <c r="I1081" i="176"/>
  <c r="B1083" i="176" l="1"/>
  <c r="I1082" i="176"/>
  <c r="I1083" i="176" l="1"/>
  <c r="B1084" i="176"/>
  <c r="B1085" i="176" l="1"/>
  <c r="I1084" i="176"/>
  <c r="B1086" i="176" l="1"/>
  <c r="I1085" i="176"/>
  <c r="B1087" i="176" l="1"/>
  <c r="I1086" i="176"/>
  <c r="B1088" i="176" l="1"/>
  <c r="I1087" i="176"/>
  <c r="I1088" i="176" l="1"/>
  <c r="B1089" i="176"/>
  <c r="B1090" i="176" l="1"/>
  <c r="I1089" i="176"/>
  <c r="I1090" i="176" l="1"/>
  <c r="B1091" i="176"/>
  <c r="B1092" i="176" l="1"/>
  <c r="I1091" i="176"/>
  <c r="B1093" i="176" l="1"/>
  <c r="I1092" i="176"/>
  <c r="I1093" i="176" l="1"/>
  <c r="B1094" i="176" l="1"/>
  <c r="B1095" i="176" l="1"/>
  <c r="I1094" i="176"/>
  <c r="I1095" i="176" l="1"/>
  <c r="B1096" i="176"/>
  <c r="B1097" i="176" l="1"/>
  <c r="I1096" i="176"/>
  <c r="B1098" i="176" l="1"/>
  <c r="I1097" i="176"/>
  <c r="B1099" i="176" l="1"/>
  <c r="I1098" i="176"/>
  <c r="B1100" i="176" l="1"/>
  <c r="I1099" i="176"/>
  <c r="B1101" i="176" l="1"/>
  <c r="I1100" i="176"/>
  <c r="B1102" i="176" l="1"/>
  <c r="I1101" i="176"/>
  <c r="I1102" i="176" l="1"/>
  <c r="B1103" i="176"/>
  <c r="I1103" i="176" l="1"/>
  <c r="B1104" i="176"/>
  <c r="B1105" i="176" l="1"/>
  <c r="I1104" i="176"/>
  <c r="I1105" i="176" l="1"/>
  <c r="B1106" i="176"/>
  <c r="I1106" i="176" l="1"/>
  <c r="B1107" i="176"/>
  <c r="B1108" i="176" l="1"/>
  <c r="I1107" i="176"/>
  <c r="I1108" i="176" l="1"/>
  <c r="B1109" i="176"/>
  <c r="B1110" i="176" l="1"/>
  <c r="I1109" i="176"/>
  <c r="I1110" i="176" l="1"/>
  <c r="B1111" i="176"/>
  <c r="B1112" i="176" l="1"/>
  <c r="I1111" i="176"/>
  <c r="B1113" i="176" l="1"/>
  <c r="I1112" i="176"/>
  <c r="B1114" i="176" l="1"/>
  <c r="I1113" i="176"/>
  <c r="B1115" i="176" l="1"/>
  <c r="I1114" i="176"/>
  <c r="B1116" i="176" l="1"/>
  <c r="I1115" i="176"/>
  <c r="B1117" i="176" l="1"/>
  <c r="I1116" i="176"/>
  <c r="B1118" i="176" l="1"/>
  <c r="I1117" i="176"/>
  <c r="B1119" i="176" l="1"/>
  <c r="I1118" i="176"/>
  <c r="B1120" i="176" l="1"/>
  <c r="I1119" i="176"/>
  <c r="B1121" i="176" l="1"/>
  <c r="I1120" i="176"/>
  <c r="B1122" i="176" l="1"/>
  <c r="I1121" i="176"/>
  <c r="B1123" i="176" l="1"/>
  <c r="I1122" i="176"/>
  <c r="B1124" i="176" l="1"/>
  <c r="I1123" i="176"/>
  <c r="B1125" i="176" l="1"/>
  <c r="I1124" i="176"/>
  <c r="I1125" i="176" l="1"/>
  <c r="B1126" i="176" l="1"/>
  <c r="B1127" i="176" l="1"/>
  <c r="I1126" i="176"/>
  <c r="B1128" i="176" l="1"/>
  <c r="I1127" i="176"/>
  <c r="B1129" i="176" l="1"/>
  <c r="I1128" i="176"/>
  <c r="B1130" i="176" l="1"/>
  <c r="I1129" i="176"/>
  <c r="B1131" i="176" l="1"/>
  <c r="I1130" i="176"/>
  <c r="B1132" i="176" l="1"/>
  <c r="I1131" i="176"/>
  <c r="I1132" i="176" l="1"/>
  <c r="B1133" i="176"/>
  <c r="B1134" i="176" l="1"/>
  <c r="I1133" i="176"/>
  <c r="B1135" i="176" l="1"/>
  <c r="I1134" i="176"/>
  <c r="B1136" i="176" l="1"/>
  <c r="I1135" i="176"/>
  <c r="B1137" i="176" l="1"/>
  <c r="I1136" i="176"/>
  <c r="B1138" i="176" l="1"/>
  <c r="I1137" i="176"/>
  <c r="B1139" i="176" l="1"/>
  <c r="I1138" i="176"/>
  <c r="B1140" i="176" l="1"/>
  <c r="I1139" i="176"/>
  <c r="I1140" i="176" l="1"/>
  <c r="B1141" i="176"/>
  <c r="B1142" i="176" l="1"/>
  <c r="I1141" i="176"/>
  <c r="B1143" i="176" l="1"/>
  <c r="I1142" i="176"/>
  <c r="B1144" i="176" l="1"/>
  <c r="I1143" i="176"/>
  <c r="I1144" i="176" l="1"/>
  <c r="B1145" i="176" l="1"/>
  <c r="B1146" i="176" l="1"/>
  <c r="I1145" i="176"/>
  <c r="I1146" i="176" l="1"/>
  <c r="B1147" i="176"/>
  <c r="B1148" i="176" l="1"/>
  <c r="I1147" i="176"/>
  <c r="B1149" i="176" l="1"/>
  <c r="I1148" i="176"/>
  <c r="B1150" i="176" l="1"/>
  <c r="I1149" i="176"/>
  <c r="I1150" i="176" l="1"/>
  <c r="B1151" i="176" l="1"/>
  <c r="B1152" i="176" l="1"/>
  <c r="I1151" i="176"/>
  <c r="B1153" i="176" l="1"/>
  <c r="I1152" i="176"/>
  <c r="B1154" i="176" l="1"/>
  <c r="I1153" i="176"/>
  <c r="B1155" i="176" l="1"/>
  <c r="I1154" i="176"/>
  <c r="B1156" i="176" l="1"/>
  <c r="I1155" i="176"/>
  <c r="B1157" i="176" l="1"/>
  <c r="I1156" i="176"/>
  <c r="B1158" i="176" l="1"/>
  <c r="I1157" i="176"/>
  <c r="B1159" i="176" l="1"/>
  <c r="I1158" i="176"/>
  <c r="B1160" i="176" l="1"/>
  <c r="I1159" i="176"/>
  <c r="B1161" i="176" l="1"/>
  <c r="I1160" i="176"/>
  <c r="B1162" i="176" l="1"/>
  <c r="I1161" i="176"/>
  <c r="B1163" i="176" l="1"/>
  <c r="I1162" i="176"/>
  <c r="B1164" i="176" l="1"/>
  <c r="I1163" i="176"/>
  <c r="B1165" i="176" l="1"/>
  <c r="I1164" i="176"/>
  <c r="B1166" i="176" l="1"/>
  <c r="I1165" i="176"/>
  <c r="B1167" i="176" l="1"/>
  <c r="I1166" i="176"/>
  <c r="B1168" i="176" l="1"/>
  <c r="B1169" i="176" s="1"/>
  <c r="I1167" i="176"/>
  <c r="B1170" i="176" l="1"/>
  <c r="I1170" i="176" s="1"/>
  <c r="I1169" i="176"/>
  <c r="I1168" i="176"/>
  <c r="B1171" i="176" l="1"/>
  <c r="B1172" i="176" s="1"/>
  <c r="I1171" i="176" l="1"/>
  <c r="B1173" i="176"/>
  <c r="I1172" i="176"/>
  <c r="I1173" i="176" l="1"/>
  <c r="B1174" i="176" l="1"/>
  <c r="B1175" i="176" l="1"/>
  <c r="I1174" i="176"/>
  <c r="B1176" i="176" l="1"/>
  <c r="I1175" i="176"/>
  <c r="B1177" i="176" l="1"/>
  <c r="I1176" i="176"/>
  <c r="B1178" i="176" l="1"/>
  <c r="I1177" i="176"/>
  <c r="B1179" i="176" l="1"/>
  <c r="I1178" i="176"/>
  <c r="B1180" i="176" l="1"/>
  <c r="I1179" i="176"/>
  <c r="B1181" i="176" l="1"/>
  <c r="I1180" i="176"/>
  <c r="B1182" i="176" l="1"/>
  <c r="I1181" i="176"/>
  <c r="B1183" i="176" l="1"/>
  <c r="I1182" i="176"/>
  <c r="B1184" i="176" l="1"/>
  <c r="I1183" i="176"/>
  <c r="I1184" i="176" l="1"/>
  <c r="B1185" i="176" l="1"/>
  <c r="B1186" i="176" l="1"/>
  <c r="I1185" i="176"/>
  <c r="B1187" i="176" l="1"/>
  <c r="I1186" i="176"/>
  <c r="B1188" i="176" l="1"/>
  <c r="I1187" i="176"/>
  <c r="B1189" i="176" l="1"/>
  <c r="I1188" i="176"/>
  <c r="B1190" i="176" l="1"/>
  <c r="I1189" i="176"/>
  <c r="B1191" i="176" l="1"/>
  <c r="I1190" i="176"/>
  <c r="B1192" i="176" l="1"/>
  <c r="I1191" i="176"/>
  <c r="B1193" i="176" l="1"/>
  <c r="I1192" i="176"/>
  <c r="B1194" i="176" l="1"/>
  <c r="I1193" i="176"/>
  <c r="B1195" i="176" l="1"/>
  <c r="I1194" i="176"/>
  <c r="B1196" i="176" l="1"/>
  <c r="I1195" i="176"/>
  <c r="B1197" i="176" l="1"/>
  <c r="I1196" i="176"/>
  <c r="I1197" i="176" l="1"/>
  <c r="B1198" i="176"/>
  <c r="B1199" i="176" l="1"/>
  <c r="I1198" i="176"/>
  <c r="B1200" i="176" l="1"/>
  <c r="I1199" i="176"/>
  <c r="B1201" i="176" l="1"/>
  <c r="I1200" i="176"/>
  <c r="B1202" i="176" l="1"/>
  <c r="I1201" i="176"/>
  <c r="B1203" i="176" l="1"/>
  <c r="I1202" i="176"/>
  <c r="B1204" i="176" l="1"/>
  <c r="I1203" i="176"/>
  <c r="B1205" i="176" l="1"/>
  <c r="I1204" i="176"/>
  <c r="B1206" i="176" l="1"/>
  <c r="I1205" i="176"/>
  <c r="B1207" i="176" l="1"/>
  <c r="I1206" i="176"/>
  <c r="B1208" i="176" l="1"/>
  <c r="I1207" i="176"/>
  <c r="B1209" i="176" l="1"/>
  <c r="I1208" i="176"/>
  <c r="B1210" i="176" l="1"/>
  <c r="I1209" i="176"/>
  <c r="B1211" i="176" l="1"/>
  <c r="I1210" i="176"/>
  <c r="B1212" i="176" l="1"/>
  <c r="I1211" i="176"/>
  <c r="B1213" i="176" l="1"/>
  <c r="I1212" i="176"/>
  <c r="B1214" i="176" l="1"/>
  <c r="I1213" i="176"/>
  <c r="B1215" i="176" l="1"/>
  <c r="I1214" i="176"/>
  <c r="B1216" i="176" l="1"/>
  <c r="I1215" i="176"/>
  <c r="B1217" i="176" l="1"/>
  <c r="I1216" i="176"/>
  <c r="B1218" i="176" l="1"/>
  <c r="I1217" i="176"/>
  <c r="B1219" i="176" l="1"/>
  <c r="I1218" i="176"/>
  <c r="B1220" i="176" l="1"/>
  <c r="I1219" i="176"/>
  <c r="B1221" i="176" l="1"/>
  <c r="I1220" i="176"/>
  <c r="B1222" i="176" l="1"/>
  <c r="I1221" i="176"/>
  <c r="B1223" i="176" l="1"/>
  <c r="I1222" i="176"/>
  <c r="B1224" i="176" l="1"/>
  <c r="I1223" i="176"/>
  <c r="B1225" i="176" l="1"/>
  <c r="I1224" i="176"/>
  <c r="B1226" i="176" l="1"/>
  <c r="I1225" i="176"/>
  <c r="B1227" i="176" l="1"/>
  <c r="I1226" i="176"/>
  <c r="B1228" i="176" l="1"/>
  <c r="I1227" i="176"/>
  <c r="B1229" i="176" l="1"/>
  <c r="I1228" i="176"/>
  <c r="B1230" i="176" l="1"/>
  <c r="I1229" i="176"/>
  <c r="B1231" i="176" l="1"/>
  <c r="I1230" i="176"/>
  <c r="B1232" i="176" l="1"/>
  <c r="I1231" i="176"/>
  <c r="B1233" i="176" l="1"/>
  <c r="I1232" i="176"/>
  <c r="B1234" i="176" l="1"/>
  <c r="I1233" i="176"/>
  <c r="B1235" i="176" l="1"/>
  <c r="I1234" i="176"/>
  <c r="B1236" i="176" l="1"/>
  <c r="I1235" i="176"/>
  <c r="B1237" i="176" l="1"/>
  <c r="I1236" i="176"/>
  <c r="B1238" i="176" l="1"/>
  <c r="I1237" i="176"/>
  <c r="B1239" i="176" l="1"/>
  <c r="I1238" i="176"/>
  <c r="B1240" i="176" l="1"/>
  <c r="I1239" i="176"/>
  <c r="B1241" i="176" l="1"/>
  <c r="I1240" i="176"/>
  <c r="B1242" i="176" l="1"/>
  <c r="I1241" i="176"/>
  <c r="B1243" i="176" l="1"/>
  <c r="I1242" i="176"/>
  <c r="B1244" i="176" l="1"/>
  <c r="I1243" i="176"/>
  <c r="B1245" i="176" l="1"/>
  <c r="I1244" i="176"/>
  <c r="B1246" i="176" l="1"/>
  <c r="I1245" i="176"/>
  <c r="B1247" i="176" l="1"/>
  <c r="I1246" i="176"/>
  <c r="B1248" i="176" l="1"/>
  <c r="I1247" i="176"/>
  <c r="B1249" i="176" l="1"/>
  <c r="I1248" i="176"/>
  <c r="B1250" i="176" l="1"/>
  <c r="I1249" i="176"/>
  <c r="B1251" i="176" l="1"/>
  <c r="I1250" i="176"/>
  <c r="B1252" i="176" l="1"/>
  <c r="I1251" i="176"/>
  <c r="B1253" i="176" l="1"/>
  <c r="I1252" i="176"/>
  <c r="B1254" i="176" l="1"/>
  <c r="I1253" i="176"/>
  <c r="B1255" i="176" l="1"/>
  <c r="I1254" i="176"/>
  <c r="B1256" i="176" l="1"/>
  <c r="I1255" i="176"/>
  <c r="B1257" i="176" l="1"/>
  <c r="I1256" i="176"/>
  <c r="B1258" i="176" l="1"/>
  <c r="I1257" i="176"/>
  <c r="B1259" i="176" l="1"/>
  <c r="I1258" i="176"/>
  <c r="B1260" i="176" l="1"/>
  <c r="I1259" i="176"/>
  <c r="B1261" i="176" l="1"/>
  <c r="I1260" i="176"/>
  <c r="B1262" i="176" l="1"/>
  <c r="I1261" i="176"/>
  <c r="B1263" i="176" l="1"/>
  <c r="I1262" i="176"/>
  <c r="B1264" i="176" l="1"/>
  <c r="I1263" i="176"/>
  <c r="B1265" i="176" l="1"/>
  <c r="I1264" i="176"/>
  <c r="B1266" i="176" l="1"/>
  <c r="I1265" i="176"/>
  <c r="B1267" i="176" l="1"/>
  <c r="I1266" i="176"/>
  <c r="B1268" i="176" l="1"/>
  <c r="I1267" i="176"/>
  <c r="B1269" i="176" l="1"/>
  <c r="I1268" i="176"/>
  <c r="B1270" i="176" l="1"/>
  <c r="I1269" i="176"/>
  <c r="B1271" i="176" l="1"/>
  <c r="I1270" i="176"/>
  <c r="B1272" i="176" l="1"/>
  <c r="I1271" i="176"/>
  <c r="B1273" i="176" l="1"/>
  <c r="I1272" i="176"/>
  <c r="B1274" i="176" l="1"/>
  <c r="I1273" i="176"/>
  <c r="B1275" i="176" l="1"/>
  <c r="I1274" i="176"/>
  <c r="B1276" i="176" l="1"/>
  <c r="I1275" i="176"/>
  <c r="B1277" i="176" l="1"/>
  <c r="I1276" i="176"/>
  <c r="B1278" i="176" l="1"/>
  <c r="I1277" i="176"/>
  <c r="B1279" i="176" l="1"/>
  <c r="I1278" i="176"/>
  <c r="B1280" i="176" l="1"/>
  <c r="I1279" i="176"/>
  <c r="B1281" i="176" l="1"/>
  <c r="I1280" i="176"/>
  <c r="B1282" i="176" l="1"/>
  <c r="I1281" i="176"/>
  <c r="I1282" i="176" l="1"/>
  <c r="B1283" i="176"/>
  <c r="I1283" i="176" l="1"/>
  <c r="B1284" i="176"/>
  <c r="B1285" i="176" l="1"/>
  <c r="I1284" i="176"/>
  <c r="B1286" i="176" l="1"/>
  <c r="I1285" i="176"/>
  <c r="B1287" i="176" l="1"/>
  <c r="I1286" i="176"/>
  <c r="B1288" i="176" l="1"/>
  <c r="I1287" i="176"/>
  <c r="I1288" i="176" l="1"/>
  <c r="B1289" i="176"/>
  <c r="I1289" i="176" l="1"/>
  <c r="B1290" i="176"/>
  <c r="B1291" i="176" l="1"/>
  <c r="I1290" i="176"/>
  <c r="B1292" i="176" l="1"/>
  <c r="I1291" i="176"/>
  <c r="B1293" i="176" l="1"/>
  <c r="I1292" i="176"/>
  <c r="B1294" i="176" l="1"/>
  <c r="I1293" i="176"/>
  <c r="B1295" i="176" l="1"/>
  <c r="I1294" i="176"/>
  <c r="B1296" i="176" l="1"/>
  <c r="I1295" i="176"/>
  <c r="B1297" i="176" l="1"/>
  <c r="I1296" i="176"/>
  <c r="I1297" i="176" l="1"/>
  <c r="B1298" i="176"/>
  <c r="I1298" i="176" l="1"/>
  <c r="B1299" i="176"/>
  <c r="I1299" i="176" l="1"/>
  <c r="B1300" i="176"/>
  <c r="I1300" i="176" l="1"/>
  <c r="B1301" i="176"/>
  <c r="B1302" i="176" s="1"/>
  <c r="I1302" i="176" s="1"/>
  <c r="B1303" i="176" l="1"/>
  <c r="I1301" i="176"/>
  <c r="I1303" i="176" l="1"/>
  <c r="B1304" i="176"/>
  <c r="I1304" i="176" l="1"/>
  <c r="B1305" i="176"/>
  <c r="B1306" i="176" l="1"/>
  <c r="I1305" i="176"/>
  <c r="I1306" i="176" l="1"/>
  <c r="B1307" i="176"/>
  <c r="I1307" i="176" l="1"/>
  <c r="B1308" i="176"/>
  <c r="I1308" i="176" l="1"/>
  <c r="B1309" i="176"/>
  <c r="I1309" i="176" l="1"/>
  <c r="B1310" i="176"/>
  <c r="B1311" i="176" l="1"/>
  <c r="I1310" i="176"/>
  <c r="B1312" i="176" l="1"/>
  <c r="I1311" i="176"/>
  <c r="B1313" i="176" l="1"/>
  <c r="I1312" i="176"/>
  <c r="B1314" i="176" l="1"/>
  <c r="I1313" i="176"/>
  <c r="I1314" i="176" l="1"/>
  <c r="B1315" i="176"/>
  <c r="B1316" i="176" l="1"/>
  <c r="I1315" i="176"/>
  <c r="B1317" i="176" l="1"/>
  <c r="I1316" i="176"/>
  <c r="B1318" i="176" l="1"/>
  <c r="I1317" i="176"/>
  <c r="I1318" i="176" l="1"/>
  <c r="B1319" i="176"/>
  <c r="I1319" i="176" l="1"/>
  <c r="B1320" i="176"/>
  <c r="B1321" i="176" s="1"/>
  <c r="B1322" i="176" s="1"/>
  <c r="B1323" i="176" s="1"/>
  <c r="B1324" i="176" s="1"/>
  <c r="B1325" i="176" s="1"/>
  <c r="B1326" i="176" s="1"/>
  <c r="B1327" i="176" s="1"/>
  <c r="B1328" i="176" s="1"/>
  <c r="B1329" i="176" s="1"/>
  <c r="B1330" i="176" s="1"/>
  <c r="B1331" i="176" s="1"/>
  <c r="B1332" i="176" s="1"/>
  <c r="B1333" i="176" s="1"/>
  <c r="B1334" i="176" s="1"/>
  <c r="B1335" i="176" s="1"/>
  <c r="B1336" i="176" s="1"/>
  <c r="B1337" i="176" s="1"/>
  <c r="B1338" i="176" s="1"/>
  <c r="B1339" i="176" s="1"/>
  <c r="B1340" i="176" s="1"/>
  <c r="B1341" i="176" s="1"/>
  <c r="B1342" i="176" s="1"/>
  <c r="B1343" i="176" s="1"/>
  <c r="B1344" i="176" s="1"/>
  <c r="B1345" i="176" s="1"/>
  <c r="B1346" i="176" s="1"/>
  <c r="B1347" i="176" s="1"/>
  <c r="B1348" i="176" s="1"/>
  <c r="B1349" i="176" s="1"/>
  <c r="B1350" i="176" s="1"/>
  <c r="B1351" i="176" s="1"/>
  <c r="B1352" i="176" s="1"/>
  <c r="B1353" i="176" s="1"/>
  <c r="B1354" i="176" s="1"/>
  <c r="B1355" i="176" s="1"/>
  <c r="B1356" i="176" s="1"/>
  <c r="B1357" i="176" s="1"/>
  <c r="B1358" i="176" s="1"/>
  <c r="B1359" i="176" s="1"/>
  <c r="B1360" i="176" s="1"/>
  <c r="B1361" i="176" s="1"/>
  <c r="B1362" i="176" s="1"/>
  <c r="B1363" i="176" s="1"/>
  <c r="B1364" i="176" s="1"/>
  <c r="B1365" i="176" s="1"/>
  <c r="B1366" i="176" s="1"/>
  <c r="B1367" i="176" s="1"/>
  <c r="B1368" i="176" s="1"/>
  <c r="B1369" i="176" s="1"/>
  <c r="B1370" i="176" s="1"/>
  <c r="B1371" i="176" s="1"/>
  <c r="B1372" i="176" s="1"/>
  <c r="B1373" i="176" s="1"/>
  <c r="B1374" i="176" s="1"/>
  <c r="B1375" i="176" s="1"/>
  <c r="B1376" i="176" s="1"/>
  <c r="B1377" i="176" s="1"/>
  <c r="B1378" i="176" s="1"/>
  <c r="B1379" i="176" s="1"/>
  <c r="B1380" i="176" s="1"/>
  <c r="B1381" i="176" s="1"/>
  <c r="B1382" i="176" s="1"/>
  <c r="B1383" i="176" s="1"/>
  <c r="B1384" i="176" s="1"/>
  <c r="B1385" i="176" s="1"/>
  <c r="B1386" i="176" s="1"/>
  <c r="B1387" i="176" s="1"/>
  <c r="B1388" i="176" s="1"/>
  <c r="B1389" i="176" s="1"/>
  <c r="B1390" i="176" s="1"/>
  <c r="B1391" i="176" s="1"/>
  <c r="B1392" i="176" s="1"/>
  <c r="B1393" i="176" s="1"/>
  <c r="B1394" i="176" s="1"/>
  <c r="B1395" i="176" s="1"/>
  <c r="B1396" i="176" s="1"/>
  <c r="B1397" i="176" s="1"/>
  <c r="B1398" i="176" s="1"/>
  <c r="B1399" i="176" s="1"/>
  <c r="B1400" i="176" s="1"/>
  <c r="B1401" i="176" s="1"/>
  <c r="B1402" i="176" s="1"/>
  <c r="B1403" i="176" s="1"/>
  <c r="B1404" i="176" s="1"/>
  <c r="B1405" i="176" s="1"/>
  <c r="B1406" i="176" s="1"/>
  <c r="B1407" i="176" s="1"/>
  <c r="B1408" i="176" s="1"/>
  <c r="B1409" i="176" s="1"/>
  <c r="B1410" i="176" s="1"/>
  <c r="B1411" i="176" s="1"/>
  <c r="B1412" i="176" s="1"/>
  <c r="B1413" i="176" s="1"/>
  <c r="B1414" i="176" s="1"/>
  <c r="B1415" i="176" s="1"/>
  <c r="B1416" i="176" s="1"/>
  <c r="B1417" i="176" s="1"/>
  <c r="B1418" i="176" s="1"/>
  <c r="B1419" i="176" s="1"/>
  <c r="B1420" i="176" s="1"/>
  <c r="B1421" i="176" s="1"/>
  <c r="B1422" i="176" s="1"/>
  <c r="B1423" i="176" s="1"/>
  <c r="B1424" i="176" s="1"/>
  <c r="B1425" i="176" s="1"/>
  <c r="B1426" i="176" s="1"/>
  <c r="B1427" i="176" s="1"/>
  <c r="B1428" i="176" s="1"/>
  <c r="B1429" i="176" s="1"/>
  <c r="B1430" i="176" s="1"/>
  <c r="B1431" i="176" s="1"/>
  <c r="B1432" i="176" s="1"/>
  <c r="B1433" i="176" s="1"/>
  <c r="B1434" i="176" s="1"/>
  <c r="B1435" i="176" s="1"/>
  <c r="B1436" i="176" s="1"/>
  <c r="B1437" i="176" s="1"/>
  <c r="B1438" i="176" s="1"/>
  <c r="B1439" i="176" s="1"/>
  <c r="B1440" i="176" s="1"/>
  <c r="B1441" i="176" s="1"/>
  <c r="B1442" i="176" s="1"/>
  <c r="B1443" i="176" s="1"/>
  <c r="B1444" i="176" s="1"/>
  <c r="B1445" i="176" s="1"/>
  <c r="B1446" i="176" s="1"/>
  <c r="B1447" i="176" s="1"/>
  <c r="B1448" i="176" s="1"/>
  <c r="B1449" i="176" s="1"/>
  <c r="B1450" i="176" s="1"/>
  <c r="B1451" i="176" s="1"/>
  <c r="B1452" i="176" s="1"/>
  <c r="B1453" i="176" s="1"/>
  <c r="B1454" i="176" s="1"/>
  <c r="B1455" i="176" s="1"/>
  <c r="B1456" i="176" s="1"/>
  <c r="B1457" i="176" s="1"/>
  <c r="B1458" i="176" s="1"/>
  <c r="B1459" i="176" s="1"/>
  <c r="B1460" i="176" s="1"/>
  <c r="B1461" i="176" s="1"/>
  <c r="B1462" i="176" s="1"/>
  <c r="B1463" i="176" s="1"/>
  <c r="B1464" i="176" s="1"/>
  <c r="B1465" i="176" s="1"/>
  <c r="B1466" i="176" s="1"/>
  <c r="B1467" i="176" s="1"/>
  <c r="B1468" i="176" s="1"/>
  <c r="B1469" i="176" s="1"/>
  <c r="B1470" i="176" s="1"/>
  <c r="B1471" i="176" s="1"/>
  <c r="B1472" i="176" s="1"/>
  <c r="B1473" i="176" s="1"/>
  <c r="B1474" i="176" s="1"/>
  <c r="B1475" i="176" s="1"/>
  <c r="B1476" i="176" s="1"/>
  <c r="B1477" i="176" s="1"/>
  <c r="B1478" i="176" s="1"/>
  <c r="B1479" i="176" s="1"/>
  <c r="B1480" i="176" s="1"/>
  <c r="B1481" i="176" s="1"/>
  <c r="B1482" i="176" s="1"/>
  <c r="B1483" i="176" s="1"/>
  <c r="B1484" i="176" s="1"/>
  <c r="B1485" i="176" s="1"/>
  <c r="B1486" i="176" s="1"/>
  <c r="B1487" i="176" s="1"/>
  <c r="B1488" i="176" s="1"/>
  <c r="B1489" i="176" s="1"/>
  <c r="B1490" i="176" s="1"/>
  <c r="B1491" i="176" s="1"/>
  <c r="B1492" i="176" s="1"/>
  <c r="B1493" i="176" s="1"/>
  <c r="B1494" i="176" s="1"/>
  <c r="B1495" i="176" s="1"/>
  <c r="B1496" i="176" s="1"/>
  <c r="B1497" i="176" s="1"/>
  <c r="B1498" i="176" s="1"/>
  <c r="B1499" i="176" s="1"/>
  <c r="B1500" i="176" s="1"/>
  <c r="B1501" i="176" s="1"/>
  <c r="B1502" i="176" s="1"/>
  <c r="B1503" i="176" s="1"/>
  <c r="B1504" i="176" s="1"/>
  <c r="B1505" i="176" s="1"/>
  <c r="B1506" i="176" s="1"/>
  <c r="B1507" i="176" s="1"/>
  <c r="B1508" i="176" s="1"/>
  <c r="B1509" i="176" s="1"/>
  <c r="B1510" i="176" s="1"/>
  <c r="B1511" i="176" s="1"/>
  <c r="B1512" i="176" s="1"/>
  <c r="B1513" i="176" s="1"/>
  <c r="B1514" i="176" s="1"/>
  <c r="B1515" i="176" s="1"/>
  <c r="B1516" i="176" s="1"/>
  <c r="B1517" i="176" s="1"/>
  <c r="B1518" i="176" s="1"/>
  <c r="B1519" i="176" s="1"/>
  <c r="B1520" i="176" s="1"/>
  <c r="B1521" i="176" s="1"/>
  <c r="B1522" i="176" s="1"/>
  <c r="B1523" i="176" s="1"/>
  <c r="B1524" i="176" s="1"/>
  <c r="B1525" i="176" s="1"/>
  <c r="B1526" i="176" s="1"/>
  <c r="B1527" i="176" s="1"/>
  <c r="B1528" i="176" s="1"/>
  <c r="B1529" i="176" s="1"/>
  <c r="B1530" i="176" s="1"/>
  <c r="B1531" i="176" s="1"/>
  <c r="B1532" i="176" s="1"/>
  <c r="B1533" i="176" s="1"/>
  <c r="B1534" i="176" s="1"/>
  <c r="B1535" i="176" s="1"/>
  <c r="B1536" i="176" s="1"/>
  <c r="B1537" i="176" s="1"/>
  <c r="B1538" i="176" s="1"/>
  <c r="B1539" i="176" s="1"/>
  <c r="B1540" i="176" s="1"/>
  <c r="B1541" i="176" s="1"/>
  <c r="B1542" i="176" s="1"/>
  <c r="B1543" i="176" s="1"/>
  <c r="B1544" i="176" s="1"/>
  <c r="B1545" i="176" s="1"/>
  <c r="B1546" i="176" s="1"/>
  <c r="B1547" i="176" s="1"/>
  <c r="B1548" i="176" s="1"/>
  <c r="B1549" i="176" s="1"/>
  <c r="B1550" i="176" s="1"/>
  <c r="B1551" i="176" s="1"/>
  <c r="B1552" i="176" s="1"/>
  <c r="B1553" i="176" s="1"/>
  <c r="B1554" i="176" s="1"/>
  <c r="B1555" i="176" s="1"/>
  <c r="B1556" i="176" s="1"/>
  <c r="B1557" i="176" s="1"/>
  <c r="B1558" i="176" s="1"/>
  <c r="B1559" i="176" s="1"/>
  <c r="B1560" i="176" s="1"/>
  <c r="B1561" i="176" s="1"/>
  <c r="B1562" i="176" s="1"/>
  <c r="B1563" i="176" s="1"/>
  <c r="B1564" i="176" s="1"/>
  <c r="B1565" i="176" s="1"/>
  <c r="B1566" i="176" s="1"/>
  <c r="B1567" i="176" s="1"/>
  <c r="B1568" i="176" s="1"/>
  <c r="B1569" i="176" s="1"/>
  <c r="B1570" i="176" s="1"/>
  <c r="B1571" i="176" s="1"/>
  <c r="B1572" i="176" s="1"/>
  <c r="B1573" i="176" s="1"/>
  <c r="B1574" i="176" s="1"/>
  <c r="B1575" i="176" s="1"/>
  <c r="B1576" i="176" s="1"/>
  <c r="B1577" i="176" s="1"/>
  <c r="B1578" i="176" s="1"/>
  <c r="B1579" i="176" s="1"/>
  <c r="B1580" i="176" s="1"/>
  <c r="B1581" i="176" s="1"/>
  <c r="B1582" i="176" s="1"/>
  <c r="B1583" i="176" s="1"/>
  <c r="B1584" i="176" s="1"/>
  <c r="B1585" i="176" s="1"/>
  <c r="B1586" i="176" s="1"/>
  <c r="B1587" i="176" s="1"/>
  <c r="B1588" i="176" s="1"/>
  <c r="B1589" i="176" s="1"/>
  <c r="B1590" i="176" s="1"/>
  <c r="B1591" i="176" s="1"/>
  <c r="B1592" i="176" s="1"/>
  <c r="B1593" i="176" s="1"/>
  <c r="B1594" i="176" s="1"/>
  <c r="B1595" i="176" s="1"/>
  <c r="B1596" i="176" s="1"/>
  <c r="B1597" i="176" s="1"/>
  <c r="B1598" i="176" s="1"/>
  <c r="B1599" i="176" s="1"/>
  <c r="B1600" i="176" s="1"/>
  <c r="B1601" i="176" s="1"/>
  <c r="B1602" i="176" s="1"/>
  <c r="B1603" i="176" s="1"/>
  <c r="B1604" i="176" s="1"/>
  <c r="B1605" i="176" s="1"/>
  <c r="B1606" i="176" s="1"/>
  <c r="B1607" i="176" s="1"/>
  <c r="B1608" i="176" s="1"/>
  <c r="B1609" i="176" s="1"/>
  <c r="B1610" i="176" s="1"/>
  <c r="B1611" i="176" s="1"/>
  <c r="B1612" i="176" s="1"/>
  <c r="B1613" i="176" s="1"/>
  <c r="B1614" i="176" s="1"/>
  <c r="B1615" i="176" s="1"/>
  <c r="B1616" i="176" s="1"/>
  <c r="B1617" i="176" s="1"/>
  <c r="B1618" i="176" s="1"/>
  <c r="B1619" i="176" s="1"/>
  <c r="B1620" i="176" s="1"/>
  <c r="B1621" i="176" s="1"/>
  <c r="B1622" i="176" s="1"/>
  <c r="B1623" i="176" s="1"/>
  <c r="B1624" i="176" s="1"/>
  <c r="B1625" i="176" s="1"/>
  <c r="B1626" i="176" s="1"/>
  <c r="B1627" i="176" s="1"/>
  <c r="B1628" i="176" s="1"/>
  <c r="B1629" i="176" s="1"/>
  <c r="B1630" i="176" s="1"/>
  <c r="B1631" i="176" s="1"/>
  <c r="B1632" i="176" s="1"/>
  <c r="B1633" i="176" s="1"/>
  <c r="B1634" i="176" s="1"/>
  <c r="B1635" i="176" s="1"/>
  <c r="B1636" i="176" s="1"/>
  <c r="B1637" i="176" s="1"/>
  <c r="B1638" i="176" s="1"/>
  <c r="B1639" i="176" s="1"/>
  <c r="B1640" i="176" s="1"/>
  <c r="B1641" i="176" s="1"/>
  <c r="B1642" i="176" s="1"/>
  <c r="B1643" i="176" s="1"/>
  <c r="B1644" i="176" s="1"/>
  <c r="B1645" i="176" s="1"/>
  <c r="B1646" i="176" s="1"/>
  <c r="B1647" i="176" s="1"/>
  <c r="B1648" i="176" s="1"/>
  <c r="B1649" i="176" s="1"/>
  <c r="B1650" i="176" s="1"/>
  <c r="B1651" i="176" s="1"/>
  <c r="B1652" i="176" s="1"/>
  <c r="B1653" i="176" s="1"/>
  <c r="B1654" i="176" s="1"/>
  <c r="B1655" i="176" s="1"/>
  <c r="B1656" i="176" s="1"/>
  <c r="B1657" i="176" s="1"/>
  <c r="B1658" i="176" s="1"/>
  <c r="B1659" i="176" s="1"/>
  <c r="B1660" i="176" s="1"/>
  <c r="B1661" i="176" s="1"/>
  <c r="B1662" i="176" s="1"/>
  <c r="B1663" i="176" s="1"/>
  <c r="B1664" i="176" s="1"/>
  <c r="B1665" i="176" s="1"/>
  <c r="B1666" i="176" s="1"/>
  <c r="B1667" i="176" s="1"/>
  <c r="B1668" i="176" s="1"/>
  <c r="B1669" i="176" s="1"/>
  <c r="B1670" i="176" s="1"/>
  <c r="B1671" i="176" s="1"/>
  <c r="B1672" i="176" s="1"/>
  <c r="B1673" i="176" s="1"/>
  <c r="B1674" i="176" s="1"/>
  <c r="B1675" i="176" s="1"/>
  <c r="B1676" i="176" s="1"/>
  <c r="B1677" i="176" s="1"/>
  <c r="B1678" i="176" s="1"/>
  <c r="B1679" i="176" s="1"/>
  <c r="B1680" i="176" s="1"/>
  <c r="B1681" i="176" s="1"/>
  <c r="B1682" i="176" s="1"/>
  <c r="B1683" i="176" s="1"/>
  <c r="B1684" i="176" s="1"/>
  <c r="B1685" i="176" s="1"/>
  <c r="B1686" i="176" s="1"/>
  <c r="B1687" i="176" s="1"/>
  <c r="B1688" i="176" s="1"/>
  <c r="B1689" i="176" s="1"/>
  <c r="B1690" i="176" s="1"/>
  <c r="B1691" i="176" s="1"/>
  <c r="B1692" i="176" s="1"/>
  <c r="B1693" i="176" s="1"/>
  <c r="B1694" i="176" s="1"/>
  <c r="B1695" i="176" s="1"/>
  <c r="B1696" i="176" s="1"/>
  <c r="B1697" i="176" s="1"/>
  <c r="B1698" i="176" s="1"/>
  <c r="B1699" i="176" s="1"/>
  <c r="B1700" i="176" s="1"/>
  <c r="B1701" i="176" s="1"/>
  <c r="B1702" i="176" s="1"/>
  <c r="B1703" i="176" s="1"/>
  <c r="B1704" i="176" s="1"/>
  <c r="B1705" i="176" s="1"/>
  <c r="B1706" i="176" s="1"/>
  <c r="B1707" i="176" s="1"/>
  <c r="B1708" i="176" s="1"/>
  <c r="B1709" i="176" s="1"/>
  <c r="B1710" i="176" s="1"/>
  <c r="B1711" i="176" s="1"/>
  <c r="B1712" i="176" s="1"/>
  <c r="B1713" i="176" s="1"/>
  <c r="B1714" i="176" s="1"/>
  <c r="B1715" i="176" s="1"/>
  <c r="B1716" i="176" s="1"/>
  <c r="B1717" i="176" s="1"/>
  <c r="B1718" i="176" s="1"/>
  <c r="B1719" i="176" s="1"/>
  <c r="B1720" i="176" s="1"/>
  <c r="B1721" i="176" s="1"/>
  <c r="B1722" i="176" s="1"/>
  <c r="B1723" i="176" s="1"/>
  <c r="B1724" i="176" s="1"/>
  <c r="B1725" i="176" s="1"/>
  <c r="B1726" i="176" s="1"/>
  <c r="B1727" i="176" s="1"/>
  <c r="B1728" i="176" s="1"/>
  <c r="B1729" i="176" s="1"/>
  <c r="B1730" i="176" s="1"/>
  <c r="B1731" i="176" s="1"/>
  <c r="B1732" i="176" s="1"/>
  <c r="B1733" i="176" s="1"/>
  <c r="B1734" i="176" s="1"/>
  <c r="B1735" i="176" s="1"/>
  <c r="B1736" i="176" s="1"/>
  <c r="B1737" i="176" s="1"/>
  <c r="B1738" i="176" s="1"/>
  <c r="B1739" i="176" s="1"/>
  <c r="B1740" i="176" s="1"/>
  <c r="B1741" i="176" s="1"/>
  <c r="B1742" i="176" s="1"/>
  <c r="B1743" i="176" s="1"/>
  <c r="B1744" i="176" s="1"/>
  <c r="B1745" i="176" s="1"/>
  <c r="B1746" i="176" s="1"/>
  <c r="B1747" i="176" s="1"/>
  <c r="B1748" i="176" s="1"/>
  <c r="B1749" i="176" s="1"/>
  <c r="B1750" i="176" s="1"/>
  <c r="B1751" i="176" s="1"/>
  <c r="B1752" i="176" s="1"/>
  <c r="B1753" i="176" s="1"/>
  <c r="B1754" i="176" s="1"/>
  <c r="B1755" i="176" s="1"/>
  <c r="B1756" i="176" s="1"/>
  <c r="B1757" i="176" s="1"/>
  <c r="B1758" i="176" s="1"/>
  <c r="B1759" i="176" s="1"/>
  <c r="B1760" i="176" s="1"/>
  <c r="B1761" i="176" s="1"/>
  <c r="B1762" i="176" s="1"/>
  <c r="B1763" i="176" s="1"/>
  <c r="B1764" i="176" s="1"/>
  <c r="B1765" i="176" s="1"/>
  <c r="B1766" i="176" s="1"/>
  <c r="B1767" i="176" s="1"/>
  <c r="B1768" i="176" s="1"/>
  <c r="B1769" i="176" s="1"/>
  <c r="B1770" i="176" s="1"/>
  <c r="B1771" i="176" s="1"/>
  <c r="B1772" i="176" s="1"/>
  <c r="B1773" i="176" s="1"/>
  <c r="B1774" i="176" s="1"/>
  <c r="B1775" i="176" s="1"/>
  <c r="B1776" i="176" s="1"/>
  <c r="B1777" i="176" s="1"/>
  <c r="B1778" i="176" s="1"/>
  <c r="B1779" i="176" s="1"/>
  <c r="B1780" i="176" s="1"/>
  <c r="B1781" i="176" s="1"/>
  <c r="B1782" i="176" s="1"/>
  <c r="B1783" i="176" s="1"/>
  <c r="B1784" i="176" s="1"/>
  <c r="B1785" i="176" s="1"/>
  <c r="B1786" i="176" s="1"/>
  <c r="B1787" i="176" s="1"/>
  <c r="B1788" i="176" s="1"/>
  <c r="B1789" i="176" s="1"/>
  <c r="B1790" i="176" s="1"/>
  <c r="B1791" i="176" s="1"/>
  <c r="B1792" i="176" s="1"/>
  <c r="B1793" i="176" s="1"/>
  <c r="B1794" i="176" s="1"/>
  <c r="B1795" i="176" s="1"/>
  <c r="B1796" i="176" s="1"/>
  <c r="B1797" i="176" s="1"/>
  <c r="B1798" i="176" s="1"/>
  <c r="B1799" i="176" s="1"/>
  <c r="B1800" i="176" s="1"/>
  <c r="B1801" i="176" s="1"/>
  <c r="B1802" i="176" s="1"/>
  <c r="B1803" i="176" s="1"/>
  <c r="B1804" i="176" s="1"/>
  <c r="B1805" i="176" s="1"/>
  <c r="B1806" i="176" s="1"/>
  <c r="B1807" i="176" s="1"/>
  <c r="B1808" i="176" s="1"/>
  <c r="B1809" i="176" s="1"/>
  <c r="B1810" i="176" s="1"/>
  <c r="B1811" i="176" s="1"/>
  <c r="B1812" i="176" s="1"/>
  <c r="B1813" i="176" s="1"/>
  <c r="B1814" i="176" s="1"/>
  <c r="B1815" i="176" s="1"/>
  <c r="B1816" i="176" s="1"/>
  <c r="B1817" i="176" s="1"/>
  <c r="B1818" i="176" s="1"/>
  <c r="B1819" i="176" s="1"/>
  <c r="B1820" i="176" s="1"/>
  <c r="B1821" i="176" s="1"/>
  <c r="B1822" i="176" s="1"/>
  <c r="B1823" i="176" s="1"/>
  <c r="B1824" i="176" s="1"/>
  <c r="B1825" i="176" s="1"/>
  <c r="B1826" i="176" s="1"/>
  <c r="B1827" i="176" s="1"/>
  <c r="B1828" i="176" s="1"/>
  <c r="B1829" i="176" s="1"/>
  <c r="B1830" i="176" s="1"/>
  <c r="B1831" i="176" s="1"/>
  <c r="B1832" i="176" s="1"/>
  <c r="B1833" i="176" s="1"/>
  <c r="B1834" i="176" s="1"/>
  <c r="B1835" i="176" s="1"/>
  <c r="B1836" i="176" s="1"/>
  <c r="B1837" i="176" s="1"/>
  <c r="B1838" i="176" s="1"/>
  <c r="B1839" i="176" s="1"/>
  <c r="B1840" i="176" s="1"/>
  <c r="B1841" i="176" s="1"/>
  <c r="B1842" i="176" s="1"/>
  <c r="B1843" i="176" s="1"/>
  <c r="B1844" i="176" s="1"/>
  <c r="B1845" i="176" s="1"/>
  <c r="B1846" i="176" s="1"/>
  <c r="B1847" i="176" s="1"/>
  <c r="B1848" i="176" s="1"/>
  <c r="B1849" i="176" s="1"/>
  <c r="B1850" i="176" s="1"/>
  <c r="B1851" i="176" s="1"/>
  <c r="B1852" i="176" s="1"/>
  <c r="B1853" i="176" s="1"/>
  <c r="B1854" i="176" s="1"/>
  <c r="B1855" i="176" s="1"/>
  <c r="B1856" i="176" s="1"/>
  <c r="B1857" i="176" s="1"/>
  <c r="B1858" i="176" s="1"/>
  <c r="B1859" i="176" s="1"/>
  <c r="B1860" i="176" s="1"/>
  <c r="B1861" i="176" s="1"/>
  <c r="B1862" i="176" s="1"/>
  <c r="B1863" i="176" s="1"/>
  <c r="B1864" i="176" s="1"/>
  <c r="B1865" i="176" s="1"/>
  <c r="B1866" i="176" s="1"/>
  <c r="B1867" i="176" s="1"/>
  <c r="B1868" i="176" s="1"/>
  <c r="B1869" i="176" s="1"/>
  <c r="B1870" i="176" s="1"/>
  <c r="B1871" i="176" s="1"/>
  <c r="B1872" i="176" s="1"/>
  <c r="B1873" i="176" s="1"/>
  <c r="B1874" i="176" s="1"/>
  <c r="B1875" i="176" s="1"/>
  <c r="B1876" i="176" s="1"/>
  <c r="B1877" i="176" s="1"/>
  <c r="B1878" i="176" s="1"/>
  <c r="B1879" i="176" s="1"/>
  <c r="B1880" i="176" s="1"/>
  <c r="B1881" i="176" s="1"/>
  <c r="B1882" i="176" s="1"/>
  <c r="B1883" i="176" s="1"/>
  <c r="B1884" i="176" s="1"/>
  <c r="B1885" i="176" s="1"/>
  <c r="B1886" i="176" s="1"/>
  <c r="B1887" i="176" s="1"/>
  <c r="B1888" i="176" s="1"/>
  <c r="B1889" i="176" s="1"/>
  <c r="B1890" i="176" s="1"/>
  <c r="B1891" i="176" s="1"/>
  <c r="B1892" i="176" s="1"/>
  <c r="B1893" i="176" s="1"/>
  <c r="B1894" i="176" s="1"/>
  <c r="B1895" i="176" s="1"/>
  <c r="B1896" i="176" s="1"/>
  <c r="B1897" i="176" s="1"/>
  <c r="B1898" i="176" s="1"/>
  <c r="B1899" i="176" s="1"/>
  <c r="B1900" i="176" s="1"/>
  <c r="B1901" i="176" s="1"/>
  <c r="B1902" i="176" s="1"/>
  <c r="B1903" i="176" s="1"/>
  <c r="B1904" i="176" s="1"/>
  <c r="B1905" i="176" s="1"/>
  <c r="B1906" i="176" s="1"/>
  <c r="B1907" i="176" s="1"/>
  <c r="B1908" i="176" s="1"/>
  <c r="B1909" i="176" s="1"/>
  <c r="B1910" i="176" s="1"/>
  <c r="B1911" i="176" s="1"/>
  <c r="B1912" i="176" s="1"/>
  <c r="B1913" i="176" s="1"/>
  <c r="B1914" i="176" s="1"/>
  <c r="B1915" i="176" s="1"/>
  <c r="B1916" i="176" s="1"/>
  <c r="B1917" i="176" s="1"/>
  <c r="B1918" i="176" s="1"/>
  <c r="B1919" i="176" s="1"/>
  <c r="B1920" i="176" s="1"/>
  <c r="B1921" i="176" s="1"/>
  <c r="B1922" i="176" s="1"/>
  <c r="B1923" i="176" s="1"/>
  <c r="B1924" i="176" s="1"/>
  <c r="B1925" i="176" s="1"/>
  <c r="B1926" i="176" s="1"/>
  <c r="B1927" i="176" s="1"/>
  <c r="B1928" i="176" s="1"/>
  <c r="B1929" i="176" s="1"/>
  <c r="B1930" i="176" s="1"/>
  <c r="B1931" i="176" s="1"/>
  <c r="B1932" i="176" s="1"/>
  <c r="B1933" i="176" s="1"/>
  <c r="B1934" i="176" s="1"/>
  <c r="B1935" i="176" s="1"/>
  <c r="B1936" i="176" s="1"/>
  <c r="B1937" i="176" s="1"/>
  <c r="B1938" i="176" s="1"/>
  <c r="B1939" i="176" s="1"/>
  <c r="B1940" i="176" s="1"/>
  <c r="B1941" i="176" s="1"/>
  <c r="B1942" i="176" s="1"/>
  <c r="B1943" i="176" s="1"/>
  <c r="B1944" i="176" s="1"/>
  <c r="B1945" i="176" s="1"/>
  <c r="B1946" i="176" s="1"/>
  <c r="B1947" i="176" s="1"/>
  <c r="B1948" i="176" s="1"/>
  <c r="B1949" i="176" s="1"/>
  <c r="B1950" i="176" s="1"/>
  <c r="B1951" i="176" s="1"/>
  <c r="B1952" i="176" s="1"/>
  <c r="B1953" i="176" s="1"/>
  <c r="B1954" i="176" s="1"/>
  <c r="B1955" i="176" s="1"/>
  <c r="B1956" i="176" s="1"/>
  <c r="B1957" i="176" s="1"/>
  <c r="N1020" i="176" l="1"/>
  <c r="N1021" i="176"/>
  <c r="N1022" i="176"/>
  <c r="N1019" i="176" l="1"/>
  <c r="N1014" i="176" l="1"/>
  <c r="N1013" i="176" l="1"/>
  <c r="N51" i="176"/>
  <c r="N48" i="176" s="1"/>
  <c r="N47" i="176" s="1"/>
  <c r="N8" i="176" s="1"/>
  <c r="E52" i="409"/>
  <c r="E51" i="409"/>
  <c r="F54" i="409" s="1"/>
  <c r="D156" i="382" l="1"/>
  <c r="D161" i="382"/>
  <c r="G156" i="382"/>
  <c r="G161" i="382"/>
  <c r="G162" i="382"/>
  <c r="A214" i="176"/>
  <c r="A215" i="176"/>
  <c r="A216" i="176"/>
  <c r="A217" i="176"/>
  <c r="A218" i="176"/>
  <c r="A219" i="176"/>
  <c r="A220" i="176"/>
  <c r="A221" i="176"/>
  <c r="A222" i="176"/>
  <c r="A223" i="176"/>
  <c r="A224" i="176"/>
  <c r="A225" i="176"/>
  <c r="A226" i="176"/>
  <c r="A227" i="176"/>
  <c r="A228" i="176"/>
  <c r="A229" i="176"/>
  <c r="A230" i="176"/>
  <c r="A231" i="176"/>
  <c r="A232" i="176"/>
  <c r="A233" i="176"/>
  <c r="A234" i="176"/>
  <c r="A235" i="176"/>
  <c r="A236" i="176"/>
  <c r="A237" i="176"/>
  <c r="A238" i="176"/>
  <c r="A239" i="176"/>
  <c r="A240" i="176"/>
  <c r="A241" i="176"/>
  <c r="A242" i="176"/>
  <c r="A243" i="176"/>
  <c r="A244" i="176"/>
  <c r="A245" i="176"/>
  <c r="A246" i="176"/>
  <c r="A247" i="176"/>
  <c r="A248" i="176"/>
  <c r="A249" i="176"/>
  <c r="A250" i="176"/>
  <c r="A251" i="176"/>
  <c r="A252" i="176"/>
  <c r="A253" i="176"/>
  <c r="A254" i="176"/>
  <c r="A255" i="176"/>
  <c r="A256" i="176"/>
  <c r="A257" i="176"/>
  <c r="A258" i="176"/>
  <c r="A259" i="176"/>
  <c r="A260" i="176"/>
  <c r="A261" i="176"/>
  <c r="A262" i="176"/>
  <c r="A263" i="176"/>
  <c r="A264" i="176"/>
  <c r="A265" i="176"/>
  <c r="A266" i="176"/>
  <c r="A267" i="176"/>
  <c r="A268" i="176"/>
  <c r="A269" i="176"/>
  <c r="A270" i="176"/>
  <c r="A271" i="176"/>
  <c r="A272" i="176"/>
  <c r="A273" i="176"/>
  <c r="A274" i="176"/>
  <c r="A329" i="176"/>
  <c r="A331" i="176"/>
  <c r="A333" i="176"/>
  <c r="A335" i="176"/>
  <c r="A337" i="176"/>
  <c r="A339" i="176"/>
  <c r="A341" i="176"/>
  <c r="A343" i="176"/>
  <c r="A345" i="176"/>
  <c r="A347" i="176"/>
  <c r="A349" i="176"/>
  <c r="A351" i="176"/>
  <c r="A353" i="176"/>
  <c r="A355" i="176"/>
  <c r="A357" i="176"/>
  <c r="A359" i="176"/>
  <c r="A361" i="176"/>
  <c r="A363" i="176"/>
  <c r="A365" i="176"/>
  <c r="A366" i="176"/>
  <c r="A369" i="176"/>
  <c r="A371" i="176"/>
  <c r="A372" i="176"/>
  <c r="A374" i="176"/>
  <c r="A470" i="176"/>
  <c r="A473" i="176"/>
  <c r="A477" i="176"/>
  <c r="A480" i="176"/>
  <c r="A483" i="176"/>
  <c r="A486" i="176"/>
  <c r="A489" i="176"/>
  <c r="A573" i="176"/>
  <c r="A577" i="176"/>
  <c r="A581" i="176"/>
  <c r="A585" i="176"/>
  <c r="A787" i="176"/>
  <c r="A792" i="176"/>
  <c r="A797" i="176"/>
  <c r="A802" i="176"/>
  <c r="A807" i="176"/>
  <c r="A812" i="176"/>
  <c r="A819" i="176"/>
  <c r="A825" i="176"/>
  <c r="A830" i="176"/>
  <c r="A838" i="176"/>
  <c r="A846" i="176"/>
  <c r="A854" i="176"/>
  <c r="A863" i="176"/>
  <c r="A1076" i="176"/>
  <c r="A1207" i="176"/>
  <c r="A1240" i="176"/>
  <c r="A1291" i="176"/>
  <c r="A1298" i="176"/>
  <c r="A1315" i="176"/>
  <c r="A1325" i="176"/>
  <c r="A1337" i="176"/>
  <c r="A1352" i="176"/>
  <c r="A1365" i="176"/>
  <c r="A1378" i="176"/>
  <c r="A275" i="176"/>
  <c r="A277" i="176"/>
  <c r="A278" i="176"/>
  <c r="A279" i="176"/>
  <c r="A280" i="176"/>
  <c r="A281" i="176"/>
  <c r="A282" i="176"/>
  <c r="A283" i="176"/>
  <c r="A284" i="176"/>
  <c r="A285" i="176"/>
  <c r="A286" i="176"/>
  <c r="A287" i="176"/>
  <c r="A288" i="176"/>
  <c r="A289" i="176"/>
  <c r="A290" i="176"/>
  <c r="A291" i="176"/>
  <c r="A292" i="176"/>
  <c r="A293" i="176"/>
  <c r="A294" i="176"/>
  <c r="A295" i="176"/>
  <c r="A297" i="176"/>
  <c r="A298" i="176"/>
  <c r="A299" i="176"/>
  <c r="A300" i="176"/>
  <c r="A301" i="176"/>
  <c r="A302" i="176"/>
  <c r="A304" i="176"/>
  <c r="A306" i="176"/>
  <c r="A308" i="176"/>
  <c r="A400" i="176"/>
  <c r="A403" i="176"/>
  <c r="A407" i="176"/>
  <c r="A413" i="176"/>
  <c r="A419" i="176"/>
  <c r="A651" i="176"/>
  <c r="A659" i="176"/>
  <c r="A669" i="176"/>
  <c r="A679" i="176"/>
  <c r="A689" i="176"/>
  <c r="A699" i="176"/>
  <c r="A709" i="176"/>
  <c r="A719" i="176"/>
  <c r="A728" i="176"/>
  <c r="A738" i="176"/>
  <c r="A747" i="176"/>
  <c r="A1270" i="176"/>
  <c r="A1285" i="176"/>
  <c r="A1299" i="176"/>
  <c r="A310" i="176"/>
  <c r="A311" i="176"/>
  <c r="A312" i="176"/>
  <c r="A313" i="176"/>
  <c r="A314" i="176"/>
  <c r="A315" i="176"/>
  <c r="A316" i="176"/>
  <c r="A317" i="176"/>
  <c r="A318" i="176"/>
  <c r="A319" i="176"/>
  <c r="A320" i="176"/>
  <c r="A321" i="176"/>
  <c r="A322" i="176"/>
  <c r="A323" i="176"/>
  <c r="A324" i="176"/>
  <c r="A325" i="176"/>
  <c r="A326" i="176"/>
  <c r="A327" i="176"/>
  <c r="A328" i="176"/>
  <c r="A330" i="176"/>
  <c r="A332" i="176"/>
  <c r="A334" i="176"/>
  <c r="A336" i="176"/>
  <c r="A338" i="176"/>
  <c r="A340" i="176"/>
  <c r="A342" i="176"/>
  <c r="A344" i="176"/>
  <c r="A346" i="176"/>
  <c r="A348" i="176"/>
  <c r="A350" i="176"/>
  <c r="A352" i="176"/>
  <c r="A354" i="176"/>
  <c r="A356" i="176"/>
  <c r="A358" i="176"/>
  <c r="A360" i="176"/>
  <c r="A362" i="176"/>
  <c r="A364" i="176"/>
  <c r="A367" i="176"/>
  <c r="A368" i="176"/>
  <c r="A370" i="176"/>
  <c r="A373" i="176"/>
  <c r="A468" i="176"/>
  <c r="A471" i="176"/>
  <c r="A474" i="176"/>
  <c r="A476" i="176"/>
  <c r="A479" i="176"/>
  <c r="A482" i="176"/>
  <c r="A485" i="176"/>
  <c r="A488" i="176"/>
  <c r="A572" i="176"/>
  <c r="A576" i="176"/>
  <c r="A579" i="176"/>
  <c r="A583" i="176"/>
  <c r="A786" i="176"/>
  <c r="A791" i="176"/>
  <c r="A796" i="176"/>
  <c r="A801" i="176"/>
  <c r="A806" i="176"/>
  <c r="A811" i="176"/>
  <c r="A817" i="176"/>
  <c r="A823" i="176"/>
  <c r="A829" i="176"/>
  <c r="A835" i="176"/>
  <c r="A843" i="176"/>
  <c r="A852" i="176"/>
  <c r="A861" i="176"/>
  <c r="A1073" i="176"/>
  <c r="A1203" i="176"/>
  <c r="A1236" i="176"/>
  <c r="A1277" i="176"/>
  <c r="A1284" i="176"/>
  <c r="A1314" i="176"/>
  <c r="A1323" i="176"/>
  <c r="A1335" i="176"/>
  <c r="A1349" i="176"/>
  <c r="A1363" i="176"/>
  <c r="A375" i="176"/>
  <c r="A376" i="176"/>
  <c r="A377" i="176"/>
  <c r="A378" i="176"/>
  <c r="A379" i="176"/>
  <c r="A380" i="176"/>
  <c r="A381" i="176"/>
  <c r="A382" i="176"/>
  <c r="A383" i="176"/>
  <c r="A384" i="176"/>
  <c r="A385" i="176"/>
  <c r="A386" i="176"/>
  <c r="A387" i="176"/>
  <c r="A388" i="176"/>
  <c r="A389" i="176"/>
  <c r="A390" i="176"/>
  <c r="A391" i="176"/>
  <c r="A392" i="176"/>
  <c r="A393" i="176"/>
  <c r="A394" i="176"/>
  <c r="A395" i="176"/>
  <c r="A396" i="176"/>
  <c r="A397" i="176"/>
  <c r="A398" i="176"/>
  <c r="A399" i="176"/>
  <c r="A401" i="176"/>
  <c r="A404" i="176"/>
  <c r="A410" i="176"/>
  <c r="A416" i="176"/>
  <c r="A649" i="176"/>
  <c r="A657" i="176"/>
  <c r="A668" i="176"/>
  <c r="A678" i="176"/>
  <c r="A687" i="176"/>
  <c r="A697" i="176"/>
  <c r="A707" i="176"/>
  <c r="A717" i="176"/>
  <c r="A726" i="176"/>
  <c r="A736" i="176"/>
  <c r="A745" i="176"/>
  <c r="A1267" i="176"/>
  <c r="A1282" i="176"/>
  <c r="A1295" i="176"/>
  <c r="A421" i="176"/>
  <c r="A422" i="176"/>
  <c r="A423" i="176"/>
  <c r="A424" i="176"/>
  <c r="A425" i="176"/>
  <c r="A426" i="176"/>
  <c r="A427" i="176"/>
  <c r="A428" i="176"/>
  <c r="A429" i="176"/>
  <c r="A430" i="176"/>
  <c r="A431" i="176"/>
  <c r="A432" i="176"/>
  <c r="A433" i="176"/>
  <c r="A434" i="176"/>
  <c r="A435" i="176"/>
  <c r="A436" i="176"/>
  <c r="A437" i="176"/>
  <c r="A438" i="176"/>
  <c r="A439" i="176"/>
  <c r="A440" i="176"/>
  <c r="A441" i="176"/>
  <c r="A442" i="176"/>
  <c r="A443" i="176"/>
  <c r="A444" i="176"/>
  <c r="A445" i="176"/>
  <c r="A446" i="176"/>
  <c r="A447" i="176"/>
  <c r="A448" i="176"/>
  <c r="A449" i="176"/>
  <c r="A450" i="176"/>
  <c r="A451" i="176"/>
  <c r="A452" i="176"/>
  <c r="A453" i="176"/>
  <c r="A454" i="176"/>
  <c r="A455" i="176"/>
  <c r="A456" i="176"/>
  <c r="A457" i="176"/>
  <c r="A458" i="176"/>
  <c r="A459" i="176"/>
  <c r="A460" i="176"/>
  <c r="A461" i="176"/>
  <c r="A462" i="176"/>
  <c r="A463" i="176"/>
  <c r="A464" i="176"/>
  <c r="A465" i="176"/>
  <c r="A466" i="176"/>
  <c r="A467" i="176"/>
  <c r="A469" i="176"/>
  <c r="A472" i="176"/>
  <c r="A475" i="176"/>
  <c r="A478" i="176"/>
  <c r="A481" i="176"/>
  <c r="A484" i="176"/>
  <c r="A487" i="176"/>
  <c r="A490" i="176"/>
  <c r="A575" i="176"/>
  <c r="A580" i="176"/>
  <c r="A584" i="176"/>
  <c r="A788" i="176"/>
  <c r="A793" i="176"/>
  <c r="A798" i="176"/>
  <c r="A803" i="176"/>
  <c r="A808" i="176"/>
  <c r="A813" i="176"/>
  <c r="A818" i="176"/>
  <c r="A824" i="176"/>
  <c r="A831" i="176"/>
  <c r="A837" i="176"/>
  <c r="A845" i="176"/>
  <c r="A855" i="176"/>
  <c r="A963" i="176"/>
  <c r="A1079" i="176"/>
  <c r="A1211" i="176"/>
  <c r="A1244" i="176"/>
  <c r="A1303" i="176"/>
  <c r="A1304" i="176"/>
  <c r="A1317" i="176"/>
  <c r="A1327" i="176"/>
  <c r="A1340" i="176"/>
  <c r="A1354" i="176"/>
  <c r="A1368" i="176"/>
  <c r="A491" i="176"/>
  <c r="A492" i="176"/>
  <c r="A493" i="176"/>
  <c r="A494" i="176"/>
  <c r="A495" i="176"/>
  <c r="A496" i="176"/>
  <c r="A497" i="176"/>
  <c r="A498" i="176"/>
  <c r="A499" i="176"/>
  <c r="A500" i="176"/>
  <c r="A501" i="176"/>
  <c r="A502" i="176"/>
  <c r="A503" i="176"/>
  <c r="A504" i="176"/>
  <c r="A505" i="176"/>
  <c r="A506" i="176"/>
  <c r="A507" i="176"/>
  <c r="A508" i="176"/>
  <c r="A509" i="176"/>
  <c r="A510" i="176"/>
  <c r="A511" i="176"/>
  <c r="A512" i="176"/>
  <c r="A513" i="176"/>
  <c r="A514" i="176"/>
  <c r="A515" i="176"/>
  <c r="A516" i="176"/>
  <c r="A517" i="176"/>
  <c r="A518" i="176"/>
  <c r="A519" i="176"/>
  <c r="A520" i="176"/>
  <c r="A521" i="176"/>
  <c r="A522" i="176"/>
  <c r="A523" i="176"/>
  <c r="A524" i="176"/>
  <c r="A525" i="176"/>
  <c r="A526" i="176"/>
  <c r="A527" i="176"/>
  <c r="A528" i="176"/>
  <c r="A529" i="176"/>
  <c r="A530" i="176"/>
  <c r="A531" i="176"/>
  <c r="A641" i="176"/>
  <c r="A643" i="176"/>
  <c r="A645" i="176"/>
  <c r="A650" i="176"/>
  <c r="A658" i="176"/>
  <c r="A667" i="176"/>
  <c r="A677" i="176"/>
  <c r="A686" i="176"/>
  <c r="A696" i="176"/>
  <c r="A706" i="176"/>
  <c r="A715" i="176"/>
  <c r="A725" i="176"/>
  <c r="A735" i="176"/>
  <c r="A744" i="176"/>
  <c r="A1268" i="176"/>
  <c r="A1281" i="176"/>
  <c r="A1296" i="176"/>
  <c r="A532" i="176"/>
  <c r="A533" i="176"/>
  <c r="A534" i="176"/>
  <c r="A535" i="176"/>
  <c r="A536" i="176"/>
  <c r="A537" i="176"/>
  <c r="A538" i="176"/>
  <c r="A539" i="176"/>
  <c r="A540" i="176"/>
  <c r="A541" i="176"/>
  <c r="A542" i="176"/>
  <c r="A543" i="176"/>
  <c r="A544" i="176"/>
  <c r="A545" i="176"/>
  <c r="A546" i="176"/>
  <c r="A547" i="176"/>
  <c r="A548" i="176"/>
  <c r="A549" i="176"/>
  <c r="A550" i="176"/>
  <c r="A551" i="176"/>
  <c r="A552" i="176"/>
  <c r="A553" i="176"/>
  <c r="A554" i="176"/>
  <c r="A555" i="176"/>
  <c r="A556" i="176"/>
  <c r="A557" i="176"/>
  <c r="A558" i="176"/>
  <c r="A559" i="176"/>
  <c r="A560" i="176"/>
  <c r="A561" i="176"/>
  <c r="A562" i="176"/>
  <c r="A563" i="176"/>
  <c r="A564" i="176"/>
  <c r="A565" i="176"/>
  <c r="A566" i="176"/>
  <c r="A567" i="176"/>
  <c r="A568" i="176"/>
  <c r="A569" i="176"/>
  <c r="A570" i="176"/>
  <c r="A571" i="176"/>
  <c r="A574" i="176"/>
  <c r="A578" i="176"/>
  <c r="A582" i="176"/>
  <c r="A586" i="176"/>
  <c r="A790" i="176"/>
  <c r="A795" i="176"/>
  <c r="A800" i="176"/>
  <c r="A805" i="176"/>
  <c r="A810" i="176"/>
  <c r="A816" i="176"/>
  <c r="A822" i="176"/>
  <c r="A828" i="176"/>
  <c r="A834" i="176"/>
  <c r="A842" i="176"/>
  <c r="A851" i="176"/>
  <c r="A862" i="176"/>
  <c r="A1071" i="176"/>
  <c r="A1196" i="176"/>
  <c r="A1229" i="176"/>
  <c r="A1261" i="176"/>
  <c r="A870" i="176"/>
  <c r="A1311" i="176"/>
  <c r="A1321" i="176"/>
  <c r="A1333" i="176"/>
  <c r="A1347" i="176"/>
  <c r="A1360" i="176"/>
  <c r="A1374" i="176"/>
  <c r="A587" i="176"/>
  <c r="A588" i="176"/>
  <c r="A589" i="176"/>
  <c r="A590" i="176"/>
  <c r="A591" i="176"/>
  <c r="A592" i="176"/>
  <c r="A593" i="176"/>
  <c r="A594" i="176"/>
  <c r="A595" i="176"/>
  <c r="A596" i="176"/>
  <c r="A597" i="176"/>
  <c r="A598" i="176"/>
  <c r="A599" i="176"/>
  <c r="A600" i="176"/>
  <c r="A601" i="176"/>
  <c r="A602" i="176"/>
  <c r="A603" i="176"/>
  <c r="A604" i="176"/>
  <c r="A605" i="176"/>
  <c r="A606" i="176"/>
  <c r="A607" i="176"/>
  <c r="A608" i="176"/>
  <c r="A609" i="176"/>
  <c r="A610" i="176"/>
  <c r="A611" i="176"/>
  <c r="A612" i="176"/>
  <c r="A613" i="176"/>
  <c r="A614" i="176"/>
  <c r="A615" i="176"/>
  <c r="A616" i="176"/>
  <c r="A617" i="176"/>
  <c r="A618" i="176"/>
  <c r="A619" i="176"/>
  <c r="A620" i="176"/>
  <c r="A621" i="176"/>
  <c r="A622" i="176"/>
  <c r="A623" i="176"/>
  <c r="A624" i="176"/>
  <c r="A625" i="176"/>
  <c r="A626" i="176"/>
  <c r="A627" i="176"/>
  <c r="A628" i="176"/>
  <c r="A629" i="176"/>
  <c r="A630" i="176"/>
  <c r="A631" i="176"/>
  <c r="A632" i="176"/>
  <c r="A633" i="176"/>
  <c r="A634" i="176"/>
  <c r="A635" i="176"/>
  <c r="A636" i="176"/>
  <c r="A637" i="176"/>
  <c r="A638" i="176"/>
  <c r="A639" i="176"/>
  <c r="A640" i="176"/>
  <c r="A642" i="176"/>
  <c r="A644" i="176"/>
  <c r="A646" i="176"/>
  <c r="A654" i="176"/>
  <c r="A663" i="176"/>
  <c r="A673" i="176"/>
  <c r="A683" i="176"/>
  <c r="A693" i="176"/>
  <c r="A703" i="176"/>
  <c r="A713" i="176"/>
  <c r="A723" i="176"/>
  <c r="A733" i="176"/>
  <c r="A742" i="176"/>
  <c r="A751" i="176"/>
  <c r="A1279" i="176"/>
  <c r="A1292" i="176"/>
  <c r="A753" i="176"/>
  <c r="A754" i="176"/>
  <c r="A755" i="176"/>
  <c r="A756" i="176"/>
  <c r="A757" i="176"/>
  <c r="A758" i="176"/>
  <c r="A759" i="176"/>
  <c r="A760" i="176"/>
  <c r="A761" i="176"/>
  <c r="A762" i="176"/>
  <c r="A763" i="176"/>
  <c r="A764" i="176"/>
  <c r="A765" i="176"/>
  <c r="A766" i="176"/>
  <c r="A767" i="176"/>
  <c r="A768" i="176"/>
  <c r="A769" i="176"/>
  <c r="A770" i="176"/>
  <c r="A771" i="176"/>
  <c r="A772" i="176"/>
  <c r="A773" i="176"/>
  <c r="A774" i="176"/>
  <c r="A775" i="176"/>
  <c r="A776" i="176"/>
  <c r="A777" i="176"/>
  <c r="A778" i="176"/>
  <c r="A779" i="176"/>
  <c r="A780" i="176"/>
  <c r="A781" i="176"/>
  <c r="A782" i="176"/>
  <c r="A783" i="176"/>
  <c r="A784" i="176"/>
  <c r="A785" i="176"/>
  <c r="A789" i="176"/>
  <c r="A794" i="176"/>
  <c r="A799" i="176"/>
  <c r="A804" i="176"/>
  <c r="A809" i="176"/>
  <c r="A814" i="176"/>
  <c r="A820" i="176"/>
  <c r="A826" i="176"/>
  <c r="A833" i="176"/>
  <c r="A841" i="176"/>
  <c r="A850" i="176"/>
  <c r="A859" i="176"/>
  <c r="A971" i="176"/>
  <c r="A1192" i="176"/>
  <c r="A1225" i="176"/>
  <c r="A1257" i="176"/>
  <c r="A869" i="176"/>
  <c r="A1308" i="176"/>
  <c r="A1328" i="176"/>
  <c r="A1341" i="176"/>
  <c r="A1355" i="176"/>
  <c r="A1369" i="176"/>
  <c r="A872" i="176"/>
  <c r="A873" i="176"/>
  <c r="A874" i="176"/>
  <c r="A875" i="176"/>
  <c r="A876" i="176"/>
  <c r="A877" i="176"/>
  <c r="A878" i="176"/>
  <c r="A879" i="176"/>
  <c r="A880" i="176"/>
  <c r="A881" i="176"/>
  <c r="A882" i="176"/>
  <c r="A883" i="176"/>
  <c r="A884" i="176"/>
  <c r="A885" i="176"/>
  <c r="A886" i="176"/>
  <c r="A887" i="176"/>
  <c r="A888" i="176"/>
  <c r="A889" i="176"/>
  <c r="A890" i="176"/>
  <c r="A891" i="176"/>
  <c r="A892" i="176"/>
  <c r="A893" i="176"/>
  <c r="A894" i="176"/>
  <c r="A895" i="176"/>
  <c r="A896" i="176"/>
  <c r="A897" i="176"/>
  <c r="A898" i="176"/>
  <c r="A899" i="176"/>
  <c r="A900" i="176"/>
  <c r="A901" i="176"/>
  <c r="A902" i="176"/>
  <c r="A903" i="176"/>
  <c r="A904" i="176"/>
  <c r="A905" i="176"/>
  <c r="A906" i="176"/>
  <c r="A907" i="176"/>
  <c r="A908" i="176"/>
  <c r="A909" i="176"/>
  <c r="A910" i="176"/>
  <c r="A911" i="176"/>
  <c r="A912" i="176"/>
  <c r="A913" i="176"/>
  <c r="A914" i="176"/>
  <c r="A915" i="176"/>
  <c r="A916" i="176"/>
  <c r="A917" i="176"/>
  <c r="A918" i="176"/>
  <c r="A919" i="176"/>
  <c r="A920" i="176"/>
  <c r="A921" i="176"/>
  <c r="A922" i="176"/>
  <c r="A923" i="176"/>
  <c r="A924" i="176"/>
  <c r="A925" i="176"/>
  <c r="A926" i="176"/>
  <c r="A927" i="176"/>
  <c r="A928" i="176"/>
  <c r="A929" i="176"/>
  <c r="A930" i="176"/>
  <c r="A931" i="176"/>
  <c r="A932" i="176"/>
  <c r="A933" i="176"/>
  <c r="A934" i="176"/>
  <c r="A935" i="176"/>
  <c r="A936" i="176"/>
  <c r="A937" i="176"/>
  <c r="A938" i="176"/>
  <c r="A939" i="176"/>
  <c r="A940" i="176"/>
  <c r="A941" i="176"/>
  <c r="A942" i="176"/>
  <c r="A943" i="176"/>
  <c r="A944" i="176"/>
  <c r="A945" i="176"/>
  <c r="A946" i="176"/>
  <c r="A947" i="176"/>
  <c r="A948" i="176"/>
  <c r="A949" i="176"/>
  <c r="A950" i="176"/>
  <c r="A951" i="176"/>
  <c r="A952" i="176"/>
  <c r="A953" i="176"/>
  <c r="A954" i="176"/>
  <c r="A955" i="176"/>
  <c r="A956" i="176"/>
  <c r="A957" i="176"/>
  <c r="A958" i="176"/>
  <c r="A959" i="176"/>
  <c r="A960" i="176"/>
  <c r="A961" i="176"/>
  <c r="A962" i="176"/>
  <c r="A964" i="176"/>
  <c r="A966" i="176"/>
  <c r="A968" i="176"/>
  <c r="A970" i="176"/>
  <c r="A972" i="176"/>
  <c r="A1072" i="176"/>
  <c r="A1075" i="176"/>
  <c r="A1077" i="176"/>
  <c r="A1080" i="176"/>
  <c r="A1083" i="176"/>
  <c r="A1188" i="176"/>
  <c r="A1193" i="176"/>
  <c r="A1197" i="176"/>
  <c r="A1202" i="176"/>
  <c r="A1206" i="176"/>
  <c r="A1210" i="176"/>
  <c r="A1214" i="176"/>
  <c r="A1218" i="176"/>
  <c r="A1223" i="176"/>
  <c r="A1227" i="176"/>
  <c r="A1231" i="176"/>
  <c r="A1235" i="176"/>
  <c r="A1181" i="176"/>
  <c r="A1184" i="176"/>
  <c r="A1191" i="176"/>
  <c r="A1204" i="176"/>
  <c r="A1216" i="176"/>
  <c r="A1224" i="176"/>
  <c r="A1237" i="176"/>
  <c r="A1249" i="176"/>
  <c r="A1262" i="176"/>
  <c r="A1309" i="176"/>
  <c r="A1324" i="176"/>
  <c r="A1338" i="176"/>
  <c r="A1351" i="176"/>
  <c r="A1366" i="176"/>
  <c r="A1239" i="176"/>
  <c r="A1243" i="176"/>
  <c r="A1247" i="176"/>
  <c r="A1252" i="176"/>
  <c r="A1256" i="176"/>
  <c r="A1260" i="176"/>
  <c r="A1264" i="176"/>
  <c r="A1276" i="176"/>
  <c r="A1290" i="176"/>
  <c r="A974" i="176"/>
  <c r="A975" i="176"/>
  <c r="A976" i="176"/>
  <c r="A977" i="176"/>
  <c r="A978" i="176"/>
  <c r="A979" i="176"/>
  <c r="A980" i="176"/>
  <c r="A981" i="176"/>
  <c r="A982" i="176"/>
  <c r="A983" i="176"/>
  <c r="A984" i="176"/>
  <c r="A985" i="176"/>
  <c r="A986" i="176"/>
  <c r="A987" i="176"/>
  <c r="A988" i="176"/>
  <c r="A989" i="176"/>
  <c r="A990" i="176"/>
  <c r="A991" i="176"/>
  <c r="A992" i="176"/>
  <c r="A993" i="176"/>
  <c r="A994" i="176"/>
  <c r="A995" i="176"/>
  <c r="A996" i="176"/>
  <c r="A997" i="176"/>
  <c r="A998" i="176"/>
  <c r="A999" i="176"/>
  <c r="A1000" i="176"/>
  <c r="A1001" i="176"/>
  <c r="A1002" i="176"/>
  <c r="A1003" i="176"/>
  <c r="A1004" i="176"/>
  <c r="A1005" i="176"/>
  <c r="A1006" i="176"/>
  <c r="A1007" i="176"/>
  <c r="A1008" i="176"/>
  <c r="A1009" i="176"/>
  <c r="A1010" i="176"/>
  <c r="A1011" i="176"/>
  <c r="A1012" i="176"/>
  <c r="A1013" i="176"/>
  <c r="A1014" i="176"/>
  <c r="A1015" i="176"/>
  <c r="A1016" i="176"/>
  <c r="A1017" i="176"/>
  <c r="A1018" i="176"/>
  <c r="A1019" i="176"/>
  <c r="A1020" i="176"/>
  <c r="A1021" i="176"/>
  <c r="A1022" i="176"/>
  <c r="A1023" i="176"/>
  <c r="A1024" i="176"/>
  <c r="A1025" i="176"/>
  <c r="A1026" i="176"/>
  <c r="A1027" i="176"/>
  <c r="A1028" i="176"/>
  <c r="A1029" i="176"/>
  <c r="A1030" i="176"/>
  <c r="A1031" i="176"/>
  <c r="A1032" i="176"/>
  <c r="A1033" i="176"/>
  <c r="A1034" i="176"/>
  <c r="A1035" i="176"/>
  <c r="A1036" i="176"/>
  <c r="A1037" i="176"/>
  <c r="A1038" i="176"/>
  <c r="A1039" i="176"/>
  <c r="A1040" i="176"/>
  <c r="A1041" i="176"/>
  <c r="A1042" i="176"/>
  <c r="A1043" i="176"/>
  <c r="A1044" i="176"/>
  <c r="A1045" i="176"/>
  <c r="A1046" i="176"/>
  <c r="A1047" i="176"/>
  <c r="A1048" i="176"/>
  <c r="A1049" i="176"/>
  <c r="A1050" i="176"/>
  <c r="A1051" i="176"/>
  <c r="A1052" i="176"/>
  <c r="A1053" i="176"/>
  <c r="A1054" i="176"/>
  <c r="A1055" i="176"/>
  <c r="A1056" i="176"/>
  <c r="A1057" i="176"/>
  <c r="A1058" i="176"/>
  <c r="A1059" i="176"/>
  <c r="A1060" i="176"/>
  <c r="A1061" i="176"/>
  <c r="A1062" i="176"/>
  <c r="A1063" i="176"/>
  <c r="A1064" i="176"/>
  <c r="A1065" i="176"/>
  <c r="A1066" i="176"/>
  <c r="A1067" i="176"/>
  <c r="A1068" i="176"/>
  <c r="A1069" i="176"/>
  <c r="A1070" i="176"/>
  <c r="A1074" i="176"/>
  <c r="A1078" i="176"/>
  <c r="A1081" i="176"/>
  <c r="A1084" i="176"/>
  <c r="A1190" i="176"/>
  <c r="A1194" i="176"/>
  <c r="A1198" i="176"/>
  <c r="A1180" i="176"/>
  <c r="A1183" i="176"/>
  <c r="A1187" i="176"/>
  <c r="A1199" i="176"/>
  <c r="A1212" i="176"/>
  <c r="A1228" i="176"/>
  <c r="A1241" i="176"/>
  <c r="A1253" i="176"/>
  <c r="A1269" i="176"/>
  <c r="A1313" i="176"/>
  <c r="A1339" i="176"/>
  <c r="A1353" i="176"/>
  <c r="A1367" i="176"/>
  <c r="A1201" i="176"/>
  <c r="A1205" i="176"/>
  <c r="A1209" i="176"/>
  <c r="A1213" i="176"/>
  <c r="A1217" i="176"/>
  <c r="A1221" i="176"/>
  <c r="A1226" i="176"/>
  <c r="A1230" i="176"/>
  <c r="A1234" i="176"/>
  <c r="A1238" i="176"/>
  <c r="A1242" i="176"/>
  <c r="A1246" i="176"/>
  <c r="A1251" i="176"/>
  <c r="A1255" i="176"/>
  <c r="A1259" i="176"/>
  <c r="A1263" i="176"/>
  <c r="A1274" i="176"/>
  <c r="A1288" i="176"/>
  <c r="A1301" i="176"/>
  <c r="A1085" i="176"/>
  <c r="A1086" i="176"/>
  <c r="A1087" i="176"/>
  <c r="A1088" i="176"/>
  <c r="A1089" i="176"/>
  <c r="A1090" i="176"/>
  <c r="A1091" i="176"/>
  <c r="A1092" i="176"/>
  <c r="A1093" i="176"/>
  <c r="A1094" i="176"/>
  <c r="A1095" i="176"/>
  <c r="A1096" i="176"/>
  <c r="A1097" i="176"/>
  <c r="A1098" i="176"/>
  <c r="A1099" i="176"/>
  <c r="A1100" i="176"/>
  <c r="A1101" i="176"/>
  <c r="A1102" i="176"/>
  <c r="A1103" i="176"/>
  <c r="A1104" i="176"/>
  <c r="A1105" i="176"/>
  <c r="A1106" i="176"/>
  <c r="A1107" i="176"/>
  <c r="A1108" i="176"/>
  <c r="A1109" i="176"/>
  <c r="A1110" i="176"/>
  <c r="A1111" i="176"/>
  <c r="A1112" i="176"/>
  <c r="A1113" i="176"/>
  <c r="A1114" i="176"/>
  <c r="A1115" i="176"/>
  <c r="A1116" i="176"/>
  <c r="A1117" i="176"/>
  <c r="A1118" i="176"/>
  <c r="A1119" i="176"/>
  <c r="A1120" i="176"/>
  <c r="A1121" i="176"/>
  <c r="A1122" i="176"/>
  <c r="A1123" i="176"/>
  <c r="A1124" i="176"/>
  <c r="A1125" i="176"/>
  <c r="A1126" i="176"/>
  <c r="A1127" i="176"/>
  <c r="A1128" i="176"/>
  <c r="A1129" i="176"/>
  <c r="A1130" i="176"/>
  <c r="A1131" i="176"/>
  <c r="A1132" i="176"/>
  <c r="A1133" i="176"/>
  <c r="A1134" i="176"/>
  <c r="A1135" i="176"/>
  <c r="A1136" i="176"/>
  <c r="A1137" i="176"/>
  <c r="A1138" i="176"/>
  <c r="A1139" i="176"/>
  <c r="A1140" i="176"/>
  <c r="A1141" i="176"/>
  <c r="A1142" i="176"/>
  <c r="A1143" i="176"/>
  <c r="A1144" i="176"/>
  <c r="A1145" i="176"/>
  <c r="A1146" i="176"/>
  <c r="A1147" i="176"/>
  <c r="A1148" i="176"/>
  <c r="A1149" i="176"/>
  <c r="A1150" i="176"/>
  <c r="A1151" i="176"/>
  <c r="A1152" i="176"/>
  <c r="A1153" i="176"/>
  <c r="A1154" i="176"/>
  <c r="A1155" i="176"/>
  <c r="A1156" i="176"/>
  <c r="A1157" i="176"/>
  <c r="A1158" i="176"/>
  <c r="A1159" i="176"/>
  <c r="A1160" i="176"/>
  <c r="A1161" i="176"/>
  <c r="A1162" i="176"/>
  <c r="A1163" i="176"/>
  <c r="A1164" i="176"/>
  <c r="A1165" i="176"/>
  <c r="A1166" i="176"/>
  <c r="A1167" i="176"/>
  <c r="A1168" i="176"/>
  <c r="A1169" i="176"/>
  <c r="A1170" i="176"/>
  <c r="A1171" i="176"/>
  <c r="A1172" i="176"/>
  <c r="A1173" i="176"/>
  <c r="A1174" i="176"/>
  <c r="A1175" i="176"/>
  <c r="A1176" i="176"/>
  <c r="A1177" i="176"/>
  <c r="A1178" i="176"/>
  <c r="A1179" i="176"/>
  <c r="A1182" i="176"/>
  <c r="A1185" i="176"/>
  <c r="A1195" i="176"/>
  <c r="A1208" i="176"/>
  <c r="A1220" i="176"/>
  <c r="A1232" i="176"/>
  <c r="A1245" i="176"/>
  <c r="A1258" i="176"/>
  <c r="M1306" i="176"/>
  <c r="A1316" i="176"/>
  <c r="A1329" i="176"/>
  <c r="A1344" i="176"/>
  <c r="A1358" i="176"/>
  <c r="A1372" i="176"/>
  <c r="A1379" i="176"/>
  <c r="A1380" i="176"/>
  <c r="A1381" i="176"/>
  <c r="A1382" i="176"/>
  <c r="A1383" i="176"/>
  <c r="A1384" i="176"/>
  <c r="A1385" i="176"/>
  <c r="A1386" i="176"/>
  <c r="A1387" i="176"/>
  <c r="A1388" i="176"/>
  <c r="A1389" i="176"/>
  <c r="A1390" i="176"/>
  <c r="A1391" i="176"/>
  <c r="A1392" i="176"/>
  <c r="A1393" i="176"/>
  <c r="A1394" i="176"/>
  <c r="A1395" i="176"/>
  <c r="A1396" i="176"/>
  <c r="A1397" i="176"/>
  <c r="A1398" i="176"/>
  <c r="A1399" i="176"/>
  <c r="A1400" i="176"/>
  <c r="A1401" i="176"/>
  <c r="A1402" i="176"/>
  <c r="A1403" i="176"/>
  <c r="A1404" i="176"/>
  <c r="A1405" i="176"/>
  <c r="A1512" i="176"/>
  <c r="A1514" i="176"/>
  <c r="A1516" i="176"/>
  <c r="A666" i="176"/>
  <c r="A676" i="176"/>
  <c r="A688" i="176"/>
  <c r="A698" i="176"/>
  <c r="A708" i="176"/>
  <c r="A718" i="176"/>
  <c r="A729" i="176"/>
  <c r="A739" i="176"/>
  <c r="A749" i="176"/>
  <c r="A1273" i="176"/>
  <c r="A1287" i="176"/>
  <c r="A1406" i="176"/>
  <c r="A1407" i="176"/>
  <c r="A1408" i="176"/>
  <c r="A1409" i="176"/>
  <c r="A1410" i="176"/>
  <c r="A1411" i="176"/>
  <c r="A1412" i="176"/>
  <c r="A1413" i="176"/>
  <c r="A1414" i="176"/>
  <c r="A1415" i="176"/>
  <c r="A1416" i="176"/>
  <c r="A1417" i="176"/>
  <c r="A1418" i="176"/>
  <c r="A1419" i="176"/>
  <c r="A1420" i="176"/>
  <c r="A1421" i="176"/>
  <c r="A1422" i="176"/>
  <c r="A1423" i="176"/>
  <c r="A1424" i="176"/>
  <c r="A1425" i="176"/>
  <c r="A1426" i="176"/>
  <c r="A1427" i="176"/>
  <c r="A1428" i="176"/>
  <c r="A1429" i="176"/>
  <c r="A1430" i="176"/>
  <c r="A1431" i="176"/>
  <c r="A1432" i="176"/>
  <c r="A1433" i="176"/>
  <c r="A1434" i="176"/>
  <c r="A1435" i="176"/>
  <c r="A1436" i="176"/>
  <c r="A1437" i="176"/>
  <c r="A1438" i="176"/>
  <c r="A1439" i="176"/>
  <c r="A1440" i="176"/>
  <c r="A1441" i="176"/>
  <c r="A1442" i="176"/>
  <c r="A1443" i="176"/>
  <c r="A1444" i="176"/>
  <c r="A1445" i="176"/>
  <c r="A1446" i="176"/>
  <c r="A1447" i="176"/>
  <c r="A1448" i="176"/>
  <c r="A1449" i="176"/>
  <c r="A1450" i="176"/>
  <c r="A1451" i="176"/>
  <c r="A1452" i="176"/>
  <c r="A1453" i="176"/>
  <c r="A1454" i="176"/>
  <c r="A1455" i="176"/>
  <c r="A1456" i="176"/>
  <c r="A1457" i="176"/>
  <c r="A1458" i="176"/>
  <c r="A1459" i="176"/>
  <c r="A1460" i="176"/>
  <c r="A1461" i="176"/>
  <c r="A1462" i="176"/>
  <c r="A1463" i="176"/>
  <c r="A1464" i="176"/>
  <c r="A1465" i="176"/>
  <c r="A1466" i="176"/>
  <c r="A1467" i="176"/>
  <c r="A1468" i="176"/>
  <c r="A1469" i="176"/>
  <c r="A1470" i="176"/>
  <c r="A1471" i="176"/>
  <c r="A1472" i="176"/>
  <c r="A1473" i="176"/>
  <c r="A1474" i="176"/>
  <c r="A1475" i="176"/>
  <c r="A1476" i="176"/>
  <c r="A1477" i="176"/>
  <c r="A1569" i="176"/>
  <c r="A1571" i="176"/>
  <c r="A1573" i="176"/>
  <c r="A1575" i="176"/>
  <c r="A1578" i="176"/>
  <c r="A1580" i="176"/>
  <c r="A865" i="176"/>
  <c r="A1306" i="176"/>
  <c r="A1319" i="176"/>
  <c r="A1331" i="176"/>
  <c r="A1343" i="176"/>
  <c r="A1357" i="176"/>
  <c r="A1371" i="176"/>
  <c r="A1478" i="176"/>
  <c r="A1479" i="176"/>
  <c r="A1480" i="176"/>
  <c r="A1481" i="176"/>
  <c r="A1482" i="176"/>
  <c r="A1483" i="176"/>
  <c r="A1484" i="176"/>
  <c r="A1485" i="176"/>
  <c r="A1486" i="176"/>
  <c r="A1487" i="176"/>
  <c r="A1488" i="176"/>
  <c r="A1489" i="176"/>
  <c r="A1490" i="176"/>
  <c r="A1491" i="176"/>
  <c r="A1492" i="176"/>
  <c r="A1493" i="176"/>
  <c r="A1494" i="176"/>
  <c r="A1495" i="176"/>
  <c r="A1496" i="176"/>
  <c r="A1497" i="176"/>
  <c r="A1498" i="176"/>
  <c r="A1499" i="176"/>
  <c r="A1500" i="176"/>
  <c r="A1501" i="176"/>
  <c r="A1502" i="176"/>
  <c r="A1503" i="176"/>
  <c r="A1504" i="176"/>
  <c r="A1505" i="176"/>
  <c r="A1506" i="176"/>
  <c r="A1507" i="176"/>
  <c r="A1508" i="176"/>
  <c r="A1509" i="176"/>
  <c r="A1510" i="176"/>
  <c r="A1511" i="176"/>
  <c r="A1513" i="176"/>
  <c r="A1515" i="176"/>
  <c r="A661" i="176"/>
  <c r="A671" i="176"/>
  <c r="A681" i="176"/>
  <c r="A691" i="176"/>
  <c r="A700" i="176"/>
  <c r="A710" i="176"/>
  <c r="A720" i="176"/>
  <c r="A730" i="176"/>
  <c r="A740" i="176"/>
  <c r="A750" i="176"/>
  <c r="A1275" i="176"/>
  <c r="A1289" i="176"/>
  <c r="A1300" i="176"/>
  <c r="A1517" i="176"/>
  <c r="A1518" i="176"/>
  <c r="A1519" i="176"/>
  <c r="A1520" i="176"/>
  <c r="A1521" i="176"/>
  <c r="A1522" i="176"/>
  <c r="A1523" i="176"/>
  <c r="A1524" i="176"/>
  <c r="A1525" i="176"/>
  <c r="A1526" i="176"/>
  <c r="A1527" i="176"/>
  <c r="A1528" i="176"/>
  <c r="A1529" i="176"/>
  <c r="A1530" i="176"/>
  <c r="A1531" i="176"/>
  <c r="A1532" i="176"/>
  <c r="A1533" i="176"/>
  <c r="A1534" i="176"/>
  <c r="A1535" i="176"/>
  <c r="A1536" i="176"/>
  <c r="A1537" i="176"/>
  <c r="A1538" i="176"/>
  <c r="A1539" i="176"/>
  <c r="A1540" i="176"/>
  <c r="A1541" i="176"/>
  <c r="A1542" i="176"/>
  <c r="A1543" i="176"/>
  <c r="A1544" i="176"/>
  <c r="A1545" i="176"/>
  <c r="A1546" i="176"/>
  <c r="A1547" i="176"/>
  <c r="A1548" i="176"/>
  <c r="A1549" i="176"/>
  <c r="A1550" i="176"/>
  <c r="A1551" i="176"/>
  <c r="A1552" i="176"/>
  <c r="A1553" i="176"/>
  <c r="A1554" i="176"/>
  <c r="A1555" i="176"/>
  <c r="A1556" i="176"/>
  <c r="A1557" i="176"/>
  <c r="A1558" i="176"/>
  <c r="A1559" i="176"/>
  <c r="A1560" i="176"/>
  <c r="A1561" i="176"/>
  <c r="A1562" i="176"/>
  <c r="A1563" i="176"/>
  <c r="A1564" i="176"/>
  <c r="A1565" i="176"/>
  <c r="A1566" i="176"/>
  <c r="A1567" i="176"/>
  <c r="A1568" i="176"/>
  <c r="A1570" i="176"/>
  <c r="A1572" i="176"/>
  <c r="A1574" i="176"/>
  <c r="A1576" i="176"/>
  <c r="A1577" i="176"/>
  <c r="A1579" i="176"/>
  <c r="A864" i="176"/>
  <c r="A1305" i="176"/>
  <c r="A1318" i="176"/>
  <c r="A1330" i="176"/>
  <c r="A1342" i="176"/>
  <c r="A1356" i="176"/>
  <c r="A1370" i="176"/>
  <c r="A1581" i="176"/>
  <c r="A1582" i="176"/>
  <c r="A1583" i="176"/>
  <c r="A1584" i="176"/>
  <c r="A1585" i="176"/>
  <c r="A1586" i="176"/>
  <c r="A1587" i="176"/>
  <c r="A1588" i="176"/>
  <c r="A1589" i="176"/>
  <c r="A1590" i="176"/>
  <c r="A1591" i="176"/>
  <c r="A1592" i="176"/>
  <c r="A1593" i="176"/>
  <c r="A1594" i="176"/>
  <c r="A1595" i="176"/>
  <c r="A1596" i="176"/>
  <c r="A1597" i="176"/>
  <c r="A1598" i="176"/>
  <c r="A1599" i="176"/>
  <c r="A1600" i="176"/>
  <c r="A1601" i="176"/>
  <c r="A1602" i="176"/>
  <c r="A1603" i="176"/>
  <c r="A1604" i="176"/>
  <c r="A1605" i="176"/>
  <c r="A1606" i="176"/>
  <c r="A1607" i="176"/>
  <c r="A1608" i="176"/>
  <c r="A1609" i="176"/>
  <c r="A1610" i="176"/>
  <c r="A1611" i="176"/>
  <c r="A1612" i="176"/>
  <c r="A1613" i="176"/>
  <c r="A1614" i="176"/>
  <c r="A1615" i="176"/>
  <c r="A1616" i="176"/>
  <c r="A1617" i="176"/>
  <c r="A1618" i="176"/>
  <c r="A1619" i="176"/>
  <c r="A1620" i="176"/>
  <c r="A1621" i="176"/>
  <c r="A1622" i="176"/>
  <c r="A1623" i="176"/>
  <c r="A1624" i="176"/>
  <c r="A1625" i="176"/>
  <c r="A1626" i="176"/>
  <c r="A1841" i="176"/>
  <c r="A1844" i="176"/>
  <c r="A1847" i="176"/>
  <c r="A408" i="176"/>
  <c r="A414" i="176"/>
  <c r="A420" i="176"/>
  <c r="A653" i="176"/>
  <c r="A662" i="176"/>
  <c r="A672" i="176"/>
  <c r="A682" i="176"/>
  <c r="A692" i="176"/>
  <c r="A702" i="176"/>
  <c r="A712" i="176"/>
  <c r="A722" i="176"/>
  <c r="A732" i="176"/>
  <c r="A741" i="176"/>
  <c r="A752" i="176"/>
  <c r="A1278" i="176"/>
  <c r="A1294" i="176"/>
  <c r="A1627" i="176"/>
  <c r="A1628" i="176"/>
  <c r="A1629" i="176"/>
  <c r="A1630" i="176"/>
  <c r="A1631" i="176"/>
  <c r="A1632" i="176"/>
  <c r="A1633" i="176"/>
  <c r="A1634" i="176"/>
  <c r="A1635" i="176"/>
  <c r="A1636" i="176"/>
  <c r="A1637" i="176"/>
  <c r="A1638" i="176"/>
  <c r="A1639" i="176"/>
  <c r="A1640" i="176"/>
  <c r="A1641" i="176"/>
  <c r="A1642" i="176"/>
  <c r="A1643" i="176"/>
  <c r="A1644" i="176"/>
  <c r="A1645" i="176"/>
  <c r="A1646" i="176"/>
  <c r="A1647" i="176"/>
  <c r="A1648" i="176"/>
  <c r="A1649" i="176"/>
  <c r="A1650" i="176"/>
  <c r="A1651" i="176"/>
  <c r="A1652" i="176"/>
  <c r="A1653" i="176"/>
  <c r="A1654" i="176"/>
  <c r="A1655" i="176"/>
  <c r="A1656" i="176"/>
  <c r="A1657" i="176"/>
  <c r="A1658" i="176"/>
  <c r="A1659" i="176"/>
  <c r="A1660" i="176"/>
  <c r="A1661" i="176"/>
  <c r="A1662" i="176"/>
  <c r="A1663" i="176"/>
  <c r="A1664" i="176"/>
  <c r="A1665" i="176"/>
  <c r="A1666" i="176"/>
  <c r="A1667" i="176"/>
  <c r="A1668" i="176"/>
  <c r="A1669" i="176"/>
  <c r="A1670" i="176"/>
  <c r="A1671" i="176"/>
  <c r="A1672" i="176"/>
  <c r="A1673" i="176"/>
  <c r="A1674" i="176"/>
  <c r="A847" i="176"/>
  <c r="A856" i="176"/>
  <c r="A965" i="176"/>
  <c r="A1082" i="176"/>
  <c r="A1215" i="176"/>
  <c r="A1248" i="176"/>
  <c r="A866" i="176"/>
  <c r="A1346" i="176"/>
  <c r="A1361" i="176"/>
  <c r="A1376" i="176"/>
  <c r="A1675" i="176"/>
  <c r="A1676" i="176"/>
  <c r="A1677" i="176"/>
  <c r="A1678" i="176"/>
  <c r="A1679" i="176"/>
  <c r="A1680" i="176"/>
  <c r="A1681" i="176"/>
  <c r="A1682" i="176"/>
  <c r="A1683" i="176"/>
  <c r="A1684" i="176"/>
  <c r="A1685" i="176"/>
  <c r="A1686" i="176"/>
  <c r="A1687" i="176"/>
  <c r="A1688" i="176"/>
  <c r="A1689" i="176"/>
  <c r="A1690" i="176"/>
  <c r="A1691" i="176"/>
  <c r="A1692" i="176"/>
  <c r="A1693" i="176"/>
  <c r="A1694" i="176"/>
  <c r="A1695" i="176"/>
  <c r="A1696" i="176"/>
  <c r="A1697" i="176"/>
  <c r="A1698" i="176"/>
  <c r="A1699" i="176"/>
  <c r="A1700" i="176"/>
  <c r="A1701" i="176"/>
  <c r="A1702" i="176"/>
  <c r="A1703" i="176"/>
  <c r="A1704" i="176"/>
  <c r="A1705" i="176"/>
  <c r="A1706" i="176"/>
  <c r="A1707" i="176"/>
  <c r="A1708" i="176"/>
  <c r="A1709" i="176"/>
  <c r="A1710" i="176"/>
  <c r="A1711" i="176"/>
  <c r="A1712" i="176"/>
  <c r="A1713" i="176"/>
  <c r="A1714" i="176"/>
  <c r="A1715" i="176"/>
  <c r="A1716" i="176"/>
  <c r="A1717" i="176"/>
  <c r="A1718" i="176"/>
  <c r="A1719" i="176"/>
  <c r="A1720" i="176"/>
  <c r="A1721" i="176"/>
  <c r="A1722" i="176"/>
  <c r="A1723" i="176"/>
  <c r="A1724" i="176"/>
  <c r="A1725" i="176"/>
  <c r="A1726" i="176"/>
  <c r="A1727" i="176"/>
  <c r="A1728" i="176"/>
  <c r="A1729" i="176"/>
  <c r="A1730" i="176"/>
  <c r="A1731" i="176"/>
  <c r="A1732" i="176"/>
  <c r="A1733" i="176"/>
  <c r="A1734" i="176"/>
  <c r="A1735" i="176"/>
  <c r="A1736" i="176"/>
  <c r="A1737" i="176"/>
  <c r="A1835" i="176"/>
  <c r="A1837" i="176"/>
  <c r="A1839" i="176"/>
  <c r="A1842" i="176"/>
  <c r="A1845" i="176"/>
  <c r="A1848" i="176"/>
  <c r="A409" i="176"/>
  <c r="A415" i="176"/>
  <c r="A647" i="176"/>
  <c r="A655" i="176"/>
  <c r="A664" i="176"/>
  <c r="A674" i="176"/>
  <c r="A685" i="176"/>
  <c r="A695" i="176"/>
  <c r="A704" i="176"/>
  <c r="A714" i="176"/>
  <c r="A724" i="176"/>
  <c r="A734" i="176"/>
  <c r="A748" i="176"/>
  <c r="A1271" i="176"/>
  <c r="A1283" i="176"/>
  <c r="A1297" i="176"/>
  <c r="A1738" i="176"/>
  <c r="A1739" i="176"/>
  <c r="A1740" i="176"/>
  <c r="A1741" i="176"/>
  <c r="A1742" i="176"/>
  <c r="A1743" i="176"/>
  <c r="A1744" i="176"/>
  <c r="A1745" i="176"/>
  <c r="A1746" i="176"/>
  <c r="A1747" i="176"/>
  <c r="A1748" i="176"/>
  <c r="A1749" i="176"/>
  <c r="A1750" i="176"/>
  <c r="A1751" i="176"/>
  <c r="A1752" i="176"/>
  <c r="A1753" i="176"/>
  <c r="A1754" i="176"/>
  <c r="A1755" i="176"/>
  <c r="A1756" i="176"/>
  <c r="A1757" i="176"/>
  <c r="A1758" i="176"/>
  <c r="A1759" i="176"/>
  <c r="A1760" i="176"/>
  <c r="A1761" i="176"/>
  <c r="A1762" i="176"/>
  <c r="A1763" i="176"/>
  <c r="A1764" i="176"/>
  <c r="A1765" i="176"/>
  <c r="A836" i="176"/>
  <c r="A844" i="176"/>
  <c r="A853" i="176"/>
  <c r="A860" i="176"/>
  <c r="A973" i="176"/>
  <c r="A1200" i="176"/>
  <c r="A1233" i="176"/>
  <c r="A1266" i="176"/>
  <c r="A871" i="176"/>
  <c r="A1312" i="176"/>
  <c r="N1306" i="176"/>
  <c r="N1305" i="176"/>
  <c r="N1299" i="176"/>
  <c r="N1298" i="176"/>
  <c r="N202" i="176"/>
  <c r="N1322" i="176"/>
  <c r="A1326" i="176"/>
  <c r="A1336" i="176"/>
  <c r="A1350" i="176"/>
  <c r="A1362" i="176"/>
  <c r="A1375" i="176"/>
  <c r="A1766" i="176"/>
  <c r="A1767" i="176"/>
  <c r="A1768" i="176"/>
  <c r="A1769" i="176"/>
  <c r="A1770" i="176"/>
  <c r="A1771" i="176"/>
  <c r="A1772" i="176"/>
  <c r="A1773" i="176"/>
  <c r="A1774" i="176"/>
  <c r="A1775" i="176"/>
  <c r="A1776" i="176"/>
  <c r="A1777" i="176"/>
  <c r="A1778" i="176"/>
  <c r="A1779" i="176"/>
  <c r="A1780" i="176"/>
  <c r="A1781" i="176"/>
  <c r="A1782" i="176"/>
  <c r="A1783" i="176"/>
  <c r="A1784" i="176"/>
  <c r="A1785" i="176"/>
  <c r="A1786" i="176"/>
  <c r="A1787" i="176"/>
  <c r="A1788" i="176"/>
  <c r="A1789" i="176"/>
  <c r="A1790" i="176"/>
  <c r="A1791" i="176"/>
  <c r="A1792" i="176"/>
  <c r="A1793" i="176"/>
  <c r="A1794" i="176"/>
  <c r="A1795" i="176"/>
  <c r="A1796" i="176"/>
  <c r="A1797" i="176"/>
  <c r="A1798" i="176"/>
  <c r="A1799" i="176"/>
  <c r="A1800" i="176"/>
  <c r="A1801" i="176"/>
  <c r="A1802" i="176"/>
  <c r="A1803" i="176"/>
  <c r="A1804" i="176"/>
  <c r="A1805" i="176"/>
  <c r="A1806" i="176"/>
  <c r="A1807" i="176"/>
  <c r="A1808" i="176"/>
  <c r="A1809" i="176"/>
  <c r="A1810" i="176"/>
  <c r="A1811" i="176"/>
  <c r="A1812" i="176"/>
  <c r="A1813" i="176"/>
  <c r="A1814" i="176"/>
  <c r="A1815" i="176"/>
  <c r="A1816" i="176"/>
  <c r="A1817" i="176"/>
  <c r="A1818" i="176"/>
  <c r="A1819" i="176"/>
  <c r="A1820" i="176"/>
  <c r="A1821" i="176"/>
  <c r="A1822" i="176"/>
  <c r="A1823" i="176"/>
  <c r="A1824" i="176"/>
  <c r="A1825" i="176"/>
  <c r="A1826" i="176"/>
  <c r="A1827" i="176"/>
  <c r="A1828" i="176"/>
  <c r="A1829" i="176"/>
  <c r="A1830" i="176"/>
  <c r="A1831" i="176"/>
  <c r="A1832" i="176"/>
  <c r="A1833" i="176"/>
  <c r="A1834" i="176"/>
  <c r="A1836" i="176"/>
  <c r="A1838" i="176"/>
  <c r="A1840" i="176"/>
  <c r="A1843" i="176"/>
  <c r="A1846" i="176"/>
  <c r="A405" i="176"/>
  <c r="A411" i="176"/>
  <c r="A417" i="176"/>
  <c r="A648" i="176"/>
  <c r="A656" i="176"/>
  <c r="A665" i="176"/>
  <c r="A675" i="176"/>
  <c r="A684" i="176"/>
  <c r="A694" i="176"/>
  <c r="A705" i="176"/>
  <c r="A716" i="176"/>
  <c r="A727" i="176"/>
  <c r="A737" i="176"/>
  <c r="A746" i="176"/>
  <c r="A1272" i="176"/>
  <c r="A1286" i="176"/>
  <c r="A1302" i="176"/>
  <c r="A1849" i="176"/>
  <c r="A1850" i="176"/>
  <c r="A1851" i="176"/>
  <c r="A1852" i="176"/>
  <c r="A1853" i="176"/>
  <c r="A1854" i="176"/>
  <c r="A1855" i="176"/>
  <c r="A1856" i="176"/>
  <c r="A1857" i="176"/>
  <c r="A1858" i="176"/>
  <c r="A1859" i="176"/>
  <c r="A1860" i="176"/>
  <c r="A1861" i="176"/>
  <c r="A1862" i="176"/>
  <c r="A1863" i="176"/>
  <c r="A1864" i="176"/>
  <c r="A1865" i="176"/>
  <c r="A1866" i="176"/>
  <c r="A1867" i="176"/>
  <c r="A1868" i="176"/>
  <c r="A1869" i="176"/>
  <c r="A1870" i="176"/>
  <c r="A840" i="176"/>
  <c r="A849" i="176"/>
  <c r="A858" i="176"/>
  <c r="A969" i="176"/>
  <c r="A1186" i="176"/>
  <c r="A1222" i="176"/>
  <c r="A1250" i="176"/>
  <c r="A868" i="176"/>
  <c r="A1310" i="176"/>
  <c r="A1320" i="176"/>
  <c r="A1332" i="176"/>
  <c r="A1345" i="176"/>
  <c r="A1359" i="176"/>
  <c r="A1373" i="176"/>
  <c r="A1871" i="176"/>
  <c r="A1872" i="176"/>
  <c r="A1873" i="176"/>
  <c r="A1874" i="176"/>
  <c r="A1875" i="176"/>
  <c r="A1876" i="176"/>
  <c r="A1877" i="176"/>
  <c r="A1878" i="176"/>
  <c r="A1879" i="176"/>
  <c r="A1880" i="176"/>
  <c r="A1881" i="176"/>
  <c r="A1882" i="176"/>
  <c r="A1883" i="176"/>
  <c r="A1884" i="176"/>
  <c r="A1885" i="176"/>
  <c r="A1886" i="176"/>
  <c r="A1887" i="176"/>
  <c r="A1888" i="176"/>
  <c r="A1889" i="176"/>
  <c r="A1890" i="176"/>
  <c r="A1891" i="176"/>
  <c r="A1892" i="176"/>
  <c r="A1893" i="176"/>
  <c r="A1894" i="176"/>
  <c r="A1895" i="176"/>
  <c r="A1896" i="176"/>
  <c r="A1897" i="176"/>
  <c r="A1898" i="176"/>
  <c r="A1899" i="176"/>
  <c r="A1900" i="176"/>
  <c r="A1901" i="176"/>
  <c r="A1902" i="176"/>
  <c r="A1903" i="176"/>
  <c r="A1904" i="176"/>
  <c r="A1905" i="176"/>
  <c r="A1906" i="176"/>
  <c r="A1907" i="176"/>
  <c r="A1908" i="176"/>
  <c r="A1909" i="176"/>
  <c r="A1910" i="176"/>
  <c r="A1911" i="176"/>
  <c r="A1912" i="176"/>
  <c r="A1913" i="176"/>
  <c r="A1914" i="176"/>
  <c r="A1915" i="176"/>
  <c r="A1916" i="176"/>
  <c r="A1917" i="176"/>
  <c r="A1918" i="176"/>
  <c r="A1919" i="176"/>
  <c r="A1920" i="176"/>
  <c r="A1921" i="176"/>
  <c r="A1922" i="176"/>
  <c r="A1923" i="176"/>
  <c r="A1924" i="176"/>
  <c r="A1925" i="176"/>
  <c r="A1926" i="176"/>
  <c r="A1927" i="176"/>
  <c r="A1928" i="176"/>
  <c r="A1929" i="176"/>
  <c r="A1930" i="176"/>
  <c r="A1931" i="176"/>
  <c r="A1932" i="176"/>
  <c r="A1933" i="176"/>
  <c r="A1934" i="176"/>
  <c r="A1935" i="176"/>
  <c r="A1936" i="176"/>
  <c r="A1937" i="176"/>
  <c r="A1938" i="176"/>
  <c r="A1939" i="176"/>
  <c r="A1940" i="176"/>
  <c r="A1941" i="176"/>
  <c r="A1942" i="176"/>
  <c r="A1943" i="176"/>
  <c r="A1944" i="176"/>
  <c r="A1945" i="176"/>
  <c r="A1946" i="176"/>
  <c r="A1947" i="176"/>
  <c r="A1948" i="176"/>
  <c r="A1949" i="176"/>
  <c r="A1950" i="176"/>
  <c r="A1951" i="176"/>
  <c r="A1952" i="176"/>
  <c r="A1953" i="176"/>
  <c r="A1954" i="176"/>
  <c r="A1955" i="176"/>
  <c r="A1956" i="176"/>
  <c r="A1957" i="176"/>
  <c r="A303" i="176"/>
  <c r="A305" i="176"/>
  <c r="A307" i="176"/>
  <c r="A309" i="176"/>
  <c r="A402" i="176"/>
  <c r="A406" i="176"/>
  <c r="A412" i="176"/>
  <c r="A418" i="176"/>
  <c r="A652" i="176"/>
  <c r="A660" i="176"/>
  <c r="A670" i="176"/>
  <c r="A680" i="176"/>
  <c r="A690" i="176"/>
  <c r="A701" i="176"/>
  <c r="A711" i="176"/>
  <c r="A721" i="176"/>
  <c r="A731" i="176"/>
  <c r="A743" i="176"/>
  <c r="A1265" i="176"/>
  <c r="A1280" i="176"/>
  <c r="A1293" i="176"/>
  <c r="F156" i="382"/>
  <c r="F161" i="382"/>
  <c r="F162" i="382"/>
  <c r="M1319" i="176"/>
  <c r="N1319" i="176"/>
  <c r="N1318" i="176"/>
  <c r="N1317" i="176"/>
  <c r="N1316" i="176"/>
  <c r="A815" i="176"/>
  <c r="A821" i="176"/>
  <c r="A827" i="176"/>
  <c r="A832" i="176"/>
  <c r="A839" i="176"/>
  <c r="A848" i="176"/>
  <c r="A857" i="176"/>
  <c r="A967" i="176"/>
  <c r="A1189" i="176"/>
  <c r="A1219" i="176"/>
  <c r="A1254" i="176"/>
  <c r="A867" i="176"/>
  <c r="A1307" i="176"/>
  <c r="A1322" i="176"/>
  <c r="A1334" i="176"/>
  <c r="A1348" i="176"/>
  <c r="A1364" i="176"/>
  <c r="A1377" i="17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renatamarques</author>
  </authors>
  <commentList>
    <comment ref="J5" authorId="0" shapeId="0" xr:uid="{00000000-0006-0000-0D00-000001000000}">
      <text>
        <r>
          <rPr>
            <sz val="8"/>
            <color indexed="81"/>
            <rFont val="Tahoma"/>
            <family val="2"/>
          </rPr>
          <t>Folga total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renatamarques</author>
  </authors>
  <commentList>
    <comment ref="E6" authorId="0" shapeId="0" xr:uid="{00000000-0006-0000-1000-000001000000}">
      <text>
        <r>
          <rPr>
            <sz val="8"/>
            <color indexed="81"/>
            <rFont val="Tahoma"/>
            <family val="2"/>
          </rPr>
          <t>Folga total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 Santana</author>
  </authors>
  <commentList>
    <comment ref="I106" authorId="0" shapeId="0" xr:uid="{00000000-0006-0000-1400-000001000000}">
      <text>
        <r>
          <rPr>
            <sz val="9"/>
            <color indexed="81"/>
            <rFont val="Segoe UI"/>
            <family val="2"/>
          </rPr>
          <t>Verificar fórmula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 Santana</author>
  </authors>
  <commentList>
    <comment ref="H63" authorId="0" shapeId="0" xr:uid="{00000000-0006-0000-1500-000001000000}">
      <text>
        <r>
          <rPr>
            <sz val="9"/>
            <color indexed="81"/>
            <rFont val="Segoe UI"/>
            <family val="2"/>
          </rPr>
          <t>Verificar fórmula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 Santana</author>
  </authors>
  <commentList>
    <comment ref="I14" authorId="0" shapeId="0" xr:uid="{00000000-0006-0000-1700-000001000000}">
      <text>
        <r>
          <rPr>
            <sz val="9"/>
            <color indexed="81"/>
            <rFont val="Segoe UI"/>
            <family val="2"/>
          </rPr>
          <t>Verificar fórmula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 Santana</author>
  </authors>
  <commentList>
    <comment ref="J5" authorId="0" shapeId="0" xr:uid="{00000000-0006-0000-1800-000001000000}">
      <text>
        <r>
          <rPr>
            <b/>
            <sz val="9"/>
            <color indexed="81"/>
            <rFont val="Segoe UI"/>
            <family val="2"/>
          </rPr>
          <t>Quant. degraus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A7" authorId="0" shapeId="0" xr:uid="{00000000-0006-0000-1D00-000001000000}">
      <text>
        <r>
          <rPr>
            <b/>
            <sz val="9"/>
            <color indexed="81"/>
            <rFont val="Segoe UI"/>
            <family val="2"/>
          </rPr>
          <t xml:space="preserve">Preencher com o nome do pavimento </t>
        </r>
      </text>
    </comment>
    <comment ref="A23" authorId="0" shapeId="0" xr:uid="{00000000-0006-0000-1D00-000002000000}">
      <text>
        <r>
          <rPr>
            <b/>
            <sz val="9"/>
            <color indexed="81"/>
            <rFont val="Segoe UI"/>
            <family val="2"/>
          </rPr>
          <t xml:space="preserve">Preencher com o nome do pavimento </t>
        </r>
      </text>
    </comment>
    <comment ref="A31" authorId="0" shapeId="0" xr:uid="{00000000-0006-0000-1D00-000003000000}">
      <text>
        <r>
          <rPr>
            <b/>
            <sz val="9"/>
            <color indexed="81"/>
            <rFont val="Segoe UI"/>
            <family val="2"/>
          </rPr>
          <t xml:space="preserve">Preencher com o nome do pavimento </t>
        </r>
      </text>
    </comment>
    <comment ref="A40" authorId="0" shapeId="0" xr:uid="{00000000-0006-0000-1D00-000004000000}">
      <text>
        <r>
          <rPr>
            <b/>
            <sz val="9"/>
            <color indexed="81"/>
            <rFont val="Segoe UI"/>
            <family val="2"/>
          </rPr>
          <t xml:space="preserve">Preencher com o nome do pavimento </t>
        </r>
      </text>
    </comment>
    <comment ref="A48" authorId="0" shapeId="0" xr:uid="{00000000-0006-0000-1D00-000005000000}">
      <text>
        <r>
          <rPr>
            <b/>
            <sz val="9"/>
            <color indexed="81"/>
            <rFont val="Segoe UI"/>
            <family val="2"/>
          </rPr>
          <t xml:space="preserve">Preencher com o nome do pavimento </t>
        </r>
      </text>
    </comment>
    <comment ref="A63" authorId="0" shapeId="0" xr:uid="{00000000-0006-0000-1D00-000006000000}">
      <text>
        <r>
          <rPr>
            <b/>
            <sz val="9"/>
            <color indexed="81"/>
            <rFont val="Segoe UI"/>
            <family val="2"/>
          </rPr>
          <t xml:space="preserve">Preencher com o nome do pavimento </t>
        </r>
      </text>
    </comment>
    <comment ref="A81" authorId="0" shapeId="0" xr:uid="{00000000-0006-0000-1D00-000007000000}">
      <text>
        <r>
          <rPr>
            <b/>
            <sz val="9"/>
            <color indexed="81"/>
            <rFont val="Segoe UI"/>
            <family val="2"/>
          </rPr>
          <t xml:space="preserve">Preencher com o nome do pavimento </t>
        </r>
      </text>
    </comment>
    <comment ref="A90" authorId="0" shapeId="0" xr:uid="{00000000-0006-0000-1D00-000008000000}">
      <text>
        <r>
          <rPr>
            <b/>
            <sz val="9"/>
            <color indexed="81"/>
            <rFont val="Segoe UI"/>
            <family val="2"/>
          </rPr>
          <t xml:space="preserve">Preencher com o nome do pavimento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A7" authorId="0" shapeId="0" xr:uid="{00000000-0006-0000-1E00-000001000000}">
      <text>
        <r>
          <rPr>
            <b/>
            <sz val="9"/>
            <color indexed="81"/>
            <rFont val="Segoe UI"/>
            <family val="2"/>
          </rPr>
          <t xml:space="preserve">Preencher com o nome do pavimento 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A7" authorId="0" shapeId="0" xr:uid="{00000000-0006-0000-1F00-000001000000}">
      <text>
        <r>
          <rPr>
            <b/>
            <sz val="9"/>
            <color indexed="81"/>
            <rFont val="Segoe UI"/>
            <family val="2"/>
          </rPr>
          <t xml:space="preserve">Preencher com o nome do pavimento </t>
        </r>
      </text>
    </comment>
    <comment ref="A15" authorId="0" shapeId="0" xr:uid="{00000000-0006-0000-1F00-000002000000}">
      <text>
        <r>
          <rPr>
            <b/>
            <sz val="9"/>
            <color indexed="81"/>
            <rFont val="Segoe UI"/>
            <family val="2"/>
          </rPr>
          <t xml:space="preserve">Preencher com o nome do pavimento </t>
        </r>
      </text>
    </comment>
    <comment ref="A19" authorId="0" shapeId="0" xr:uid="{00000000-0006-0000-1F00-000003000000}">
      <text>
        <r>
          <rPr>
            <b/>
            <sz val="9"/>
            <color indexed="81"/>
            <rFont val="Segoe UI"/>
            <family val="2"/>
          </rPr>
          <t xml:space="preserve">Preencher com o nome do pavimento </t>
        </r>
      </text>
    </comment>
    <comment ref="A23" authorId="0" shapeId="0" xr:uid="{00000000-0006-0000-1F00-000004000000}">
      <text>
        <r>
          <rPr>
            <b/>
            <sz val="9"/>
            <color indexed="81"/>
            <rFont val="Segoe UI"/>
            <family val="2"/>
          </rPr>
          <t xml:space="preserve">Preencher com o nome do pavimento </t>
        </r>
      </text>
    </comment>
    <comment ref="A27" authorId="0" shapeId="0" xr:uid="{00000000-0006-0000-1F00-000005000000}">
      <text>
        <r>
          <rPr>
            <b/>
            <sz val="9"/>
            <color indexed="81"/>
            <rFont val="Segoe UI"/>
            <family val="2"/>
          </rPr>
          <t xml:space="preserve">Preencher com o nome do pavimento </t>
        </r>
      </text>
    </comment>
    <comment ref="A34" authorId="0" shapeId="0" xr:uid="{00000000-0006-0000-1F00-000006000000}">
      <text>
        <r>
          <rPr>
            <b/>
            <sz val="9"/>
            <color indexed="81"/>
            <rFont val="Segoe UI"/>
            <family val="2"/>
          </rPr>
          <t xml:space="preserve">Preencher com o nome do pavimento </t>
        </r>
      </text>
    </comment>
    <comment ref="A44" authorId="0" shapeId="0" xr:uid="{00000000-0006-0000-1F00-000007000000}">
      <text>
        <r>
          <rPr>
            <b/>
            <sz val="9"/>
            <color indexed="81"/>
            <rFont val="Segoe UI"/>
            <family val="2"/>
          </rPr>
          <t xml:space="preserve">Preencher com o nome do pavimento 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A7" authorId="0" shapeId="0" xr:uid="{00000000-0006-0000-2000-000001000000}">
      <text>
        <r>
          <rPr>
            <b/>
            <sz val="9"/>
            <color indexed="81"/>
            <rFont val="Segoe UI"/>
            <family val="2"/>
          </rPr>
          <t xml:space="preserve">Preencher com o nome do pavimento </t>
        </r>
      </text>
    </comment>
    <comment ref="A10" authorId="0" shapeId="0" xr:uid="{00000000-0006-0000-2000-000002000000}">
      <text>
        <r>
          <rPr>
            <b/>
            <sz val="9"/>
            <color indexed="81"/>
            <rFont val="Segoe UI"/>
            <family val="2"/>
          </rPr>
          <t xml:space="preserve">Preencher com o nome do pavimento </t>
        </r>
      </text>
    </comment>
    <comment ref="A13" authorId="0" shapeId="0" xr:uid="{00000000-0006-0000-2000-000003000000}">
      <text>
        <r>
          <rPr>
            <b/>
            <sz val="9"/>
            <color indexed="81"/>
            <rFont val="Segoe UI"/>
            <family val="2"/>
          </rPr>
          <t xml:space="preserve">Preencher com o nome do pavimento </t>
        </r>
      </text>
    </comment>
    <comment ref="A16" authorId="0" shapeId="0" xr:uid="{00000000-0006-0000-2000-000004000000}">
      <text>
        <r>
          <rPr>
            <b/>
            <sz val="9"/>
            <color indexed="81"/>
            <rFont val="Segoe UI"/>
            <family val="2"/>
          </rPr>
          <t xml:space="preserve">Preencher com o nome do pavimento </t>
        </r>
      </text>
    </comment>
    <comment ref="A19" authorId="0" shapeId="0" xr:uid="{00000000-0006-0000-2000-000005000000}">
      <text>
        <r>
          <rPr>
            <b/>
            <sz val="9"/>
            <color indexed="81"/>
            <rFont val="Segoe UI"/>
            <family val="2"/>
          </rPr>
          <t xml:space="preserve">Preencher com o nome do pavimento </t>
        </r>
      </text>
    </comment>
    <comment ref="A29" authorId="0" shapeId="0" xr:uid="{00000000-0006-0000-2000-000006000000}">
      <text>
        <r>
          <rPr>
            <b/>
            <sz val="9"/>
            <color indexed="81"/>
            <rFont val="Segoe UI"/>
            <family val="2"/>
          </rPr>
          <t xml:space="preserve">Preencher com o nome do pavimento 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A7" authorId="0" shapeId="0" xr:uid="{00000000-0006-0000-2200-000001000000}">
      <text>
        <r>
          <rPr>
            <b/>
            <sz val="9"/>
            <color indexed="81"/>
            <rFont val="Segoe UI"/>
            <family val="2"/>
          </rPr>
          <t>Preencher com o nome do pavimento que contém mobiliário a ser entregue pela construtora</t>
        </r>
      </text>
    </comment>
    <comment ref="B8" authorId="0" shapeId="0" xr:uid="{00000000-0006-0000-2200-000002000000}">
      <text>
        <r>
          <rPr>
            <b/>
            <sz val="9"/>
            <color indexed="81"/>
            <rFont val="Segoe UI"/>
            <family val="2"/>
          </rPr>
          <t>Preencher com nome do ambiente</t>
        </r>
      </text>
    </comment>
    <comment ref="D8" authorId="0" shapeId="0" xr:uid="{00000000-0006-0000-2200-000003000000}">
      <text>
        <r>
          <rPr>
            <b/>
            <sz val="9"/>
            <color indexed="81"/>
            <rFont val="Segoe UI"/>
            <family val="2"/>
          </rPr>
          <t>Preencher com a àrea útil do ambiente</t>
        </r>
      </text>
    </comment>
    <comment ref="C9" authorId="0" shapeId="0" xr:uid="{00000000-0006-0000-2200-000004000000}">
      <text>
        <r>
          <rPr>
            <b/>
            <sz val="9"/>
            <color indexed="81"/>
            <rFont val="Segoe UI"/>
            <family val="2"/>
          </rPr>
          <t>Elemento a ser considerado (móvel, marcenaria, item de decoração, etc.)</t>
        </r>
      </text>
    </comment>
    <comment ref="C10" authorId="0" shapeId="0" xr:uid="{00000000-0006-0000-2200-000005000000}">
      <text>
        <r>
          <rPr>
            <b/>
            <sz val="9"/>
            <color indexed="81"/>
            <rFont val="Segoe UI"/>
            <family val="2"/>
          </rPr>
          <t>Elemento a ser considerado (móvel, marcenaria, item de decoração, etc.)</t>
        </r>
      </text>
    </comment>
    <comment ref="C13" authorId="0" shapeId="0" xr:uid="{00000000-0006-0000-2200-000006000000}">
      <text>
        <r>
          <rPr>
            <b/>
            <sz val="9"/>
            <color indexed="81"/>
            <rFont val="Segoe UI"/>
            <family val="2"/>
          </rPr>
          <t>Elemento a ser considerado (móvel, marcenaria, item de decoração, etc.)</t>
        </r>
      </text>
    </comment>
    <comment ref="B154" authorId="0" shapeId="0" xr:uid="{00000000-0006-0000-2200-000007000000}">
      <text>
        <r>
          <rPr>
            <b/>
            <sz val="9"/>
            <color indexed="81"/>
            <rFont val="Segoe UI"/>
            <family val="2"/>
          </rPr>
          <t>Preencher com nome do ambiente</t>
        </r>
      </text>
    </comment>
    <comment ref="D154" authorId="0" shapeId="0" xr:uid="{00000000-0006-0000-2200-000008000000}">
      <text>
        <r>
          <rPr>
            <b/>
            <sz val="9"/>
            <color indexed="81"/>
            <rFont val="Segoe UI"/>
            <family val="2"/>
          </rPr>
          <t>Preencher com a àrea útil do ambiente</t>
        </r>
      </text>
    </comment>
    <comment ref="B157" authorId="0" shapeId="0" xr:uid="{00000000-0006-0000-2200-000009000000}">
      <text>
        <r>
          <rPr>
            <b/>
            <sz val="9"/>
            <color indexed="81"/>
            <rFont val="Segoe UI"/>
            <family val="2"/>
          </rPr>
          <t>Preencher com nome do ambiente</t>
        </r>
      </text>
    </comment>
    <comment ref="D157" authorId="0" shapeId="0" xr:uid="{00000000-0006-0000-2200-00000A000000}">
      <text>
        <r>
          <rPr>
            <b/>
            <sz val="9"/>
            <color indexed="81"/>
            <rFont val="Segoe UI"/>
            <family val="2"/>
          </rPr>
          <t>Preencher com a àrea útil do ambiente</t>
        </r>
      </text>
    </comment>
    <comment ref="F162" authorId="0" shapeId="0" xr:uid="{00000000-0006-0000-2200-00000B000000}">
      <text>
        <r>
          <rPr>
            <sz val="9"/>
            <color indexed="81"/>
            <rFont val="Segoe UI"/>
            <family val="2"/>
          </rPr>
          <t>Este valor representa o custo por m² de área de lazer desse mobiliário</t>
        </r>
      </text>
    </comment>
    <comment ref="G162" authorId="0" shapeId="0" xr:uid="{00000000-0006-0000-2200-00000C000000}">
      <text>
        <r>
          <rPr>
            <b/>
            <sz val="9"/>
            <color indexed="81"/>
            <rFont val="Segoe UI"/>
            <family val="2"/>
          </rPr>
          <t>Acréscimo de 25% para prever itens não contemplado pelo levantamento através do proejto/imagens
Para obras com projeto/quantitativo de interiores reduzir esse acrescimo conforme análise de caso</t>
        </r>
      </text>
    </comment>
  </commentList>
</comments>
</file>

<file path=xl/sharedStrings.xml><?xml version="1.0" encoding="utf-8"?>
<sst xmlns="http://schemas.openxmlformats.org/spreadsheetml/2006/main" count="13750" uniqueCount="2115">
  <si>
    <t>Descrição</t>
  </si>
  <si>
    <t>m2</t>
  </si>
  <si>
    <t>un</t>
  </si>
  <si>
    <t>m</t>
  </si>
  <si>
    <t>m3</t>
  </si>
  <si>
    <t>kg</t>
  </si>
  <si>
    <t>ITEM</t>
  </si>
  <si>
    <t>H</t>
  </si>
  <si>
    <t>DATA:</t>
  </si>
  <si>
    <t>TOTAL</t>
  </si>
  <si>
    <t>TIPO</t>
  </si>
  <si>
    <t>PEÇA</t>
  </si>
  <si>
    <t>S</t>
  </si>
  <si>
    <t>m²</t>
  </si>
  <si>
    <t>Total</t>
  </si>
  <si>
    <t>REVISÃO:</t>
  </si>
  <si>
    <t>TOTAL GERAL</t>
  </si>
  <si>
    <t>Item</t>
  </si>
  <si>
    <t>QUANT</t>
  </si>
  <si>
    <t xml:space="preserve">TOTAL </t>
  </si>
  <si>
    <t>CA-60 - m</t>
  </si>
  <si>
    <t>TOTAL - M</t>
  </si>
  <si>
    <t>PESO kg/m</t>
  </si>
  <si>
    <t>TOTAL - kg</t>
  </si>
  <si>
    <t>TABELA DE AÇO</t>
  </si>
  <si>
    <t>CA-50</t>
  </si>
  <si>
    <t>CA-60</t>
  </si>
  <si>
    <t>Ø - mm</t>
  </si>
  <si>
    <t>kg/m</t>
  </si>
  <si>
    <t>pol</t>
  </si>
  <si>
    <t>1/4"</t>
  </si>
  <si>
    <t>5/16"</t>
  </si>
  <si>
    <t>3/8"</t>
  </si>
  <si>
    <t>1/2"</t>
  </si>
  <si>
    <t>5/8"</t>
  </si>
  <si>
    <t>3/4"</t>
  </si>
  <si>
    <t>1"</t>
  </si>
  <si>
    <t>1 1/4"</t>
  </si>
  <si>
    <t>1 5/8"</t>
  </si>
  <si>
    <t>PROJETO</t>
  </si>
  <si>
    <t>DIMENSÕES UNITÁRIAS</t>
  </si>
  <si>
    <t>ESCAV</t>
  </si>
  <si>
    <t>Adição</t>
  </si>
  <si>
    <t>APILOA</t>
  </si>
  <si>
    <t>REATER</t>
  </si>
  <si>
    <t>BOTA FORA</t>
  </si>
  <si>
    <t>LASTRO</t>
  </si>
  <si>
    <t>FORMA</t>
  </si>
  <si>
    <t>TAXA AÇO (KG/M3)</t>
  </si>
  <si>
    <t>IMPERM</t>
  </si>
  <si>
    <t>A</t>
  </si>
  <si>
    <t>B</t>
  </si>
  <si>
    <t>C</t>
  </si>
  <si>
    <t>lados</t>
  </si>
  <si>
    <t>DETALHE TÍPICO</t>
  </si>
  <si>
    <t>UNIT</t>
  </si>
  <si>
    <t>LAJE / MOLDE</t>
  </si>
  <si>
    <t>LARG</t>
  </si>
  <si>
    <t>COMPR</t>
  </si>
  <si>
    <t>ALT</t>
  </si>
  <si>
    <t>COMP</t>
  </si>
  <si>
    <t>Lados</t>
  </si>
  <si>
    <t>MOLDADA IN LOCO</t>
  </si>
  <si>
    <t>LAJE PISO</t>
  </si>
  <si>
    <t>DEGRAUS / ESPELHO</t>
  </si>
  <si>
    <t>D</t>
  </si>
  <si>
    <t>E</t>
  </si>
  <si>
    <t>F</t>
  </si>
  <si>
    <t>G</t>
  </si>
  <si>
    <t>DETALHE DA ESCADA MEDIDAS A SEREM FORNECIDAS</t>
  </si>
  <si>
    <t>QUANTITATIVOS PROJETISTA</t>
  </si>
  <si>
    <t>QUANTITATIVO PROJETISTA</t>
  </si>
  <si>
    <t>COEF</t>
  </si>
  <si>
    <t>QUANTIDADE POR ITEM CA-50 - m</t>
  </si>
  <si>
    <t>DIMENSÕES UNITÁRIAS - m</t>
  </si>
  <si>
    <t>ALTURA</t>
  </si>
  <si>
    <t>SEÇÃO 1</t>
  </si>
  <si>
    <t>SEÇÃO 2</t>
  </si>
  <si>
    <t>LADOS</t>
  </si>
  <si>
    <t>ESPESS</t>
  </si>
  <si>
    <t>BASE</t>
  </si>
  <si>
    <t>DEGRAUS</t>
  </si>
  <si>
    <t>FUNDO S/N</t>
  </si>
  <si>
    <t>m³</t>
  </si>
  <si>
    <t>COBERTURA</t>
  </si>
  <si>
    <t>1º lance</t>
  </si>
  <si>
    <t>Tipo</t>
  </si>
  <si>
    <t>Unidade</t>
  </si>
  <si>
    <t>ADIÇÃO</t>
  </si>
  <si>
    <t>LARGURA</t>
  </si>
  <si>
    <t xml:space="preserve">Patamar </t>
  </si>
  <si>
    <t>2º lance</t>
  </si>
  <si>
    <t>CORRIMÃO</t>
  </si>
  <si>
    <t>Quantidade</t>
  </si>
  <si>
    <t>-</t>
  </si>
  <si>
    <t>CONCRETO</t>
  </si>
  <si>
    <t>EMPREENDIMENTO:</t>
  </si>
  <si>
    <t>RESUMO - CONCRETO</t>
  </si>
  <si>
    <t>40 MPa</t>
  </si>
  <si>
    <t xml:space="preserve">CONCRETO </t>
  </si>
  <si>
    <t>RESISTÊNCIA</t>
  </si>
  <si>
    <t>DIMENSÕES UNITÁRIAS - METROS</t>
  </si>
  <si>
    <t>IMAGENS LEVANTAMENTO</t>
  </si>
  <si>
    <t>DATA</t>
  </si>
  <si>
    <t>PROJETO:</t>
  </si>
  <si>
    <t>Atalho</t>
  </si>
  <si>
    <t xml:space="preserve">PROJETO: </t>
  </si>
  <si>
    <t>ESQUADRIAS DE ALUMÍNIO</t>
  </si>
  <si>
    <t>OBSERVAÇÕES:</t>
  </si>
  <si>
    <t>F1</t>
  </si>
  <si>
    <t>F2</t>
  </si>
  <si>
    <t>F3</t>
  </si>
  <si>
    <t>ESCADA MARINHEIRO</t>
  </si>
  <si>
    <t>ALÇAPÃO</t>
  </si>
  <si>
    <t>GUARDA-CORPO</t>
  </si>
  <si>
    <t>Situação</t>
  </si>
  <si>
    <t>ÁREA
m²</t>
  </si>
  <si>
    <t>PERÍMETRO
m</t>
  </si>
  <si>
    <t>ALT
m</t>
  </si>
  <si>
    <t>UNIT
m²</t>
  </si>
  <si>
    <t>TOTAL
m²</t>
  </si>
  <si>
    <t>UNIT
m³</t>
  </si>
  <si>
    <t>TOTAL
m³</t>
  </si>
  <si>
    <t>30 MPa</t>
  </si>
  <si>
    <t>35 MPa</t>
  </si>
  <si>
    <t>25 MPa</t>
  </si>
  <si>
    <t>20 MPa</t>
  </si>
  <si>
    <t>40MPa</t>
  </si>
  <si>
    <t>BOTA-FORA</t>
  </si>
  <si>
    <t>TAXA AÇO</t>
  </si>
  <si>
    <t>C. Topo</t>
  </si>
  <si>
    <t>C. Apoio</t>
  </si>
  <si>
    <t>Ø peça</t>
  </si>
  <si>
    <t>KG/M3</t>
  </si>
  <si>
    <t xml:space="preserve">Hélice diam 60 cm </t>
  </si>
  <si>
    <t xml:space="preserve">Hélice diam 70 cm </t>
  </si>
  <si>
    <t xml:space="preserve">Hélice diam 80 cm </t>
  </si>
  <si>
    <t>Arrasamento</t>
  </si>
  <si>
    <t xml:space="preserve">Hélice diam 40 cm </t>
  </si>
  <si>
    <t xml:space="preserve">Hélice diam 50 cm </t>
  </si>
  <si>
    <t xml:space="preserve">E.P. Hélice diam 70 cm </t>
  </si>
  <si>
    <t xml:space="preserve">R00 - </t>
  </si>
  <si>
    <t>Concreto</t>
  </si>
  <si>
    <t>.... MPa</t>
  </si>
  <si>
    <t xml:space="preserve">Hélice diam 90 cm </t>
  </si>
  <si>
    <t xml:space="preserve">Quant. </t>
  </si>
  <si>
    <t>LADO 1 DO BLOCO</t>
  </si>
  <si>
    <t>LADO 2 DO BLOCO</t>
  </si>
  <si>
    <t>LADO 3 DO BLOCO</t>
  </si>
  <si>
    <t>LADO 4 DO BLOCO</t>
  </si>
  <si>
    <t>LADO 5 DO BLOCO</t>
  </si>
  <si>
    <t>ALTURA DO BLOCO</t>
  </si>
  <si>
    <t>ESPESSURA DO LASTRO DE CONCRETO</t>
  </si>
  <si>
    <t>R</t>
  </si>
  <si>
    <t>h1 + h2</t>
  </si>
  <si>
    <t>h2</t>
  </si>
  <si>
    <t>b2</t>
  </si>
  <si>
    <t>b1</t>
  </si>
  <si>
    <t>Hb</t>
  </si>
  <si>
    <t>e.L.</t>
  </si>
  <si>
    <t>K</t>
  </si>
  <si>
    <t>VE</t>
  </si>
  <si>
    <t>VA</t>
  </si>
  <si>
    <t>VB</t>
  </si>
  <si>
    <t>AP</t>
  </si>
  <si>
    <t>VM</t>
  </si>
  <si>
    <t>UD</t>
  </si>
  <si>
    <t>BLOCOS RETANGULARES</t>
  </si>
  <si>
    <t>BLOCOS TRIANGULARES</t>
  </si>
  <si>
    <t>REATERRO</t>
  </si>
  <si>
    <t>ADICIONAL LARGURA</t>
  </si>
  <si>
    <t>ADICIONAL ALTURA</t>
  </si>
  <si>
    <t>Obra</t>
  </si>
  <si>
    <t>Empresa</t>
  </si>
  <si>
    <t>Revisão</t>
  </si>
  <si>
    <t>R00 - Michelle Furlan - 06/02/24</t>
  </si>
  <si>
    <t>ESTACAS</t>
  </si>
  <si>
    <t>ARMAÇÃO FUNDAÇÃO DIRETA</t>
  </si>
  <si>
    <t>FUNDAÇÃO PROFUNDA</t>
  </si>
  <si>
    <t>FUNDAÇÃO RASA</t>
  </si>
  <si>
    <t>Concreto (m3)</t>
  </si>
  <si>
    <t>MOVIMENTAÇÃO DE TERRA</t>
  </si>
  <si>
    <t xml:space="preserve">MOVIMENTAÇÃO DE TERRA	</t>
  </si>
  <si>
    <t>INFRAESTRUTURA</t>
  </si>
  <si>
    <t>Perfuração</t>
  </si>
  <si>
    <t>Armadura</t>
  </si>
  <si>
    <t>Mão de Obra</t>
  </si>
  <si>
    <t>Forma</t>
  </si>
  <si>
    <t>Considerações</t>
  </si>
  <si>
    <t>GERENCIAMENTO EXECUTIVO</t>
  </si>
  <si>
    <t>Data</t>
  </si>
  <si>
    <t>Site</t>
  </si>
  <si>
    <t>Status</t>
  </si>
  <si>
    <t>E-mail</t>
  </si>
  <si>
    <t>CONTROLE DE COTAÇÕES</t>
  </si>
  <si>
    <t>ARMAÇÃO ESTACAS</t>
  </si>
  <si>
    <t>CUSTO</t>
  </si>
  <si>
    <t>*proposta salva no drive</t>
  </si>
  <si>
    <r>
      <t xml:space="preserve">INFORMAÇÕES IMPORTANTES: </t>
    </r>
    <r>
      <rPr>
        <sz val="9"/>
        <color theme="0"/>
        <rFont val="Calibri"/>
        <family val="2"/>
        <scheme val="minor"/>
      </rPr>
      <t>CNPJ XXXX / XXXXX / Endereço da obra: XXXX</t>
    </r>
  </si>
  <si>
    <t>Projeto</t>
  </si>
  <si>
    <t>EMPRESA:</t>
  </si>
  <si>
    <t>FORMA (PROJETISTA)</t>
  </si>
  <si>
    <t>CONCRETO (PROJETISTA)</t>
  </si>
  <si>
    <t>IMPERMEABILIZAÇÃO DO BALDRAME</t>
  </si>
  <si>
    <t>ARMAÇÃO CORTINA</t>
  </si>
  <si>
    <t>VIGAS  FUNDAÇÃO</t>
  </si>
  <si>
    <t>SUPRAESTRUTURA</t>
  </si>
  <si>
    <t>ESCADAS</t>
  </si>
  <si>
    <t>Alvenaria de vedação com blocos cerâmicos</t>
  </si>
  <si>
    <t>Serviços complementares para alvenaria de vedação</t>
  </si>
  <si>
    <t>Tela soldada para ligação alvenaria/estrutura</t>
  </si>
  <si>
    <t>Mão de obra</t>
  </si>
  <si>
    <t>Regularização e proteção mecânica</t>
  </si>
  <si>
    <t>Regularização de superfície para impermeabilização</t>
  </si>
  <si>
    <t>Estucamento de estrutura de concreto</t>
  </si>
  <si>
    <t>Acabamentos cerâmicos</t>
  </si>
  <si>
    <t>Acabamentos especiais</t>
  </si>
  <si>
    <t>Peitoris</t>
  </si>
  <si>
    <t>Revestimento interno argamassado em teto</t>
  </si>
  <si>
    <t>Acabamento de gesso em teto</t>
  </si>
  <si>
    <t>Contrapiso</t>
  </si>
  <si>
    <t>Acabamentos cimentados em piso</t>
  </si>
  <si>
    <t>Acabamentos cerâmicos em piso</t>
  </si>
  <si>
    <t>Rodapés</t>
  </si>
  <si>
    <t>Estucamento</t>
  </si>
  <si>
    <t>Pavimento</t>
  </si>
  <si>
    <t>MOBILIÁRIO</t>
  </si>
  <si>
    <t>Ambiente</t>
  </si>
  <si>
    <t>TÉRREO</t>
  </si>
  <si>
    <t>LAZER</t>
  </si>
  <si>
    <t>SISTEMAS DE PINTURA INTERNA</t>
  </si>
  <si>
    <t>Sistema de pintura em piso</t>
  </si>
  <si>
    <t>Sistema de pintura em parede</t>
  </si>
  <si>
    <t>Sistema de pintura em teto</t>
  </si>
  <si>
    <t>ESQUADRIAS, VIDROS E FERRAGENS</t>
  </si>
  <si>
    <t>Contramarco</t>
  </si>
  <si>
    <t>Esquadrias de alumínio</t>
  </si>
  <si>
    <t>Esquadrias de Alumínio - fornecimento e instalação</t>
  </si>
  <si>
    <t>Moldura de churrasqueiras</t>
  </si>
  <si>
    <t>Guarda Corpo de vidro e aço inox</t>
  </si>
  <si>
    <t>Esquadrias de madeira</t>
  </si>
  <si>
    <t xml:space="preserve">Corrimão de madeira </t>
  </si>
  <si>
    <t>Corrimão de escadas de madeira</t>
  </si>
  <si>
    <t>Mão de obra para instalação de portas de madeira</t>
  </si>
  <si>
    <t>Esquadrias metálicas</t>
  </si>
  <si>
    <t>Portão basculante de alumínio</t>
  </si>
  <si>
    <t xml:space="preserve">Alçapão de Ferro </t>
  </si>
  <si>
    <t>LOUÇAS E METAIS</t>
  </si>
  <si>
    <t>Louças</t>
  </si>
  <si>
    <t>Louças sanitárias</t>
  </si>
  <si>
    <t>vb</t>
  </si>
  <si>
    <t>Metais e acessórios</t>
  </si>
  <si>
    <t>Acabamentos e acessórios</t>
  </si>
  <si>
    <t>TABELA DE LOUÇAS E METAIS</t>
  </si>
  <si>
    <t>Descrição do Material</t>
  </si>
  <si>
    <t>Un.</t>
  </si>
  <si>
    <t xml:space="preserve"> Qtde</t>
  </si>
  <si>
    <t>Custo unitário</t>
  </si>
  <si>
    <t>Vaso sanitário deca branco</t>
  </si>
  <si>
    <t>Vaso sanitário deca branco PNE</t>
  </si>
  <si>
    <t>Lavatório PNE de canto</t>
  </si>
  <si>
    <t>Torneira banheiro PNE</t>
  </si>
  <si>
    <t>Ducha</t>
  </si>
  <si>
    <t>Torneira de jardim</t>
  </si>
  <si>
    <t>Válvula de escoamento para lavatório</t>
  </si>
  <si>
    <t>Válvula de escoamento para tanque</t>
  </si>
  <si>
    <t>Barra de apoio PNE</t>
  </si>
  <si>
    <t>Anel de vedação, 100 mm, para saíde de bacia sanitária</t>
  </si>
  <si>
    <t>Engate/ rabicho flexível inóx 1/2"x40mm</t>
  </si>
  <si>
    <t>Parafuso niquelado para fixação de bacia sanitária - tamanho S-10</t>
  </si>
  <si>
    <t>Sifão ajustável multiuso</t>
  </si>
  <si>
    <t>Mão de obra louças e metais</t>
  </si>
  <si>
    <t>Revestimento argamassado em fachada</t>
  </si>
  <si>
    <t>Pintura e textura em fachada</t>
  </si>
  <si>
    <t>Acabamentos especiais em fachada</t>
  </si>
  <si>
    <t>Tratamentos de fachada</t>
  </si>
  <si>
    <t xml:space="preserve">Estucamento de estrutura de concreto em teto </t>
  </si>
  <si>
    <t>SERVIÇOS COMPLEMENTARES E FINAIS</t>
  </si>
  <si>
    <t>SERVIÇOS COMPLEMENTARES EXTERNOS</t>
  </si>
  <si>
    <t>Calçadas e Passeios</t>
  </si>
  <si>
    <t>Reforço de rede elétrica</t>
  </si>
  <si>
    <t>Paisagismo</t>
  </si>
  <si>
    <t xml:space="preserve">Paisagismo </t>
  </si>
  <si>
    <t>Serviços Finais</t>
  </si>
  <si>
    <t>Limpeza final</t>
  </si>
  <si>
    <t>Desmobilização</t>
  </si>
  <si>
    <t>Ligações definitivas</t>
  </si>
  <si>
    <t xml:space="preserve">IMPREVISTOS E CONTINGÊNCIAS </t>
  </si>
  <si>
    <t>Imprevistos e contingências</t>
  </si>
  <si>
    <t>SISTEMAS E INSTALAÇÕES ELÉTRICAS</t>
  </si>
  <si>
    <t>Grupo gerador</t>
  </si>
  <si>
    <t>Comunicação Visual</t>
  </si>
  <si>
    <t>SISTEMAS E INSTALAÇÕES HIDROSSANITÁRIAS E DRENAGEM</t>
  </si>
  <si>
    <t>Instalações de água fria</t>
  </si>
  <si>
    <t>Instalações de água quente</t>
  </si>
  <si>
    <t>Quadros elétricos e disjuntores</t>
  </si>
  <si>
    <t>Eletrodutos e eletrocalhas</t>
  </si>
  <si>
    <t>Fios e cabos elétricos</t>
  </si>
  <si>
    <t>Pontos de tomadas e interruptores</t>
  </si>
  <si>
    <t xml:space="preserve">Luminárias, lâmpadas e acessórios </t>
  </si>
  <si>
    <t>Luminárias, lâmpadas e acessórios</t>
  </si>
  <si>
    <t>Instalações de proteção e aterramento -SPDA</t>
  </si>
  <si>
    <t>INSTALAÇÕES DE COMUNICAÇÕES</t>
  </si>
  <si>
    <t>EQUIPAMENTOS E SISTEMAS ESPECIAIS</t>
  </si>
  <si>
    <t>Equipamentos de piscina</t>
  </si>
  <si>
    <t>Elevadores</t>
  </si>
  <si>
    <t>Climatização</t>
  </si>
  <si>
    <t>Exaustão mecânica</t>
  </si>
  <si>
    <t>Rep</t>
  </si>
  <si>
    <t>Cuba de embutir</t>
  </si>
  <si>
    <t>Custo Total</t>
  </si>
  <si>
    <t>Gesso negativo - material e mão de obra</t>
  </si>
  <si>
    <t>R00 - Michelle Furlan -</t>
  </si>
  <si>
    <t xml:space="preserve">R00 - Michelle Furlan - </t>
  </si>
  <si>
    <t xml:space="preserve">R00 - Michelle Furlan </t>
  </si>
  <si>
    <t>R00 - Michelle Furlan - 15/05</t>
  </si>
  <si>
    <t>Prova de carga</t>
  </si>
  <si>
    <t>PROJETISTA</t>
  </si>
  <si>
    <t>ARMAÇÃO SUPRAESTRUTURA</t>
  </si>
  <si>
    <t>QUANTIDADE POR ITEM CA-50 - kg</t>
  </si>
  <si>
    <t>B8</t>
  </si>
  <si>
    <t>B17</t>
  </si>
  <si>
    <t>B15</t>
  </si>
  <si>
    <t>B16</t>
  </si>
  <si>
    <t>B22</t>
  </si>
  <si>
    <t>B19</t>
  </si>
  <si>
    <t>PROJETO:  PRÉ-FORMA-R03</t>
  </si>
  <si>
    <t>R00 - Michelle Furlan - 29/06</t>
  </si>
  <si>
    <t>BLOCOS</t>
  </si>
  <si>
    <t xml:space="preserve">Hélice diam 35 cm </t>
  </si>
  <si>
    <t>Perímetro</t>
  </si>
  <si>
    <t xml:space="preserve">Área: </t>
  </si>
  <si>
    <t>Preço un</t>
  </si>
  <si>
    <t>Lançado ERP</t>
  </si>
  <si>
    <t>VIGAS</t>
  </si>
  <si>
    <t>Movimentação de terra para bota-fora</t>
  </si>
  <si>
    <t>PROJEÇÃO DA TORRE</t>
  </si>
  <si>
    <t>TERREO</t>
  </si>
  <si>
    <t>Custo uniário</t>
  </si>
  <si>
    <t>Observações</t>
  </si>
  <si>
    <t>PORTAS</t>
  </si>
  <si>
    <t>MADEIRA</t>
  </si>
  <si>
    <t>CORTA-FOGO</t>
  </si>
  <si>
    <t>Identificador</t>
  </si>
  <si>
    <t>Repetição</t>
  </si>
  <si>
    <t>Quantidade total</t>
  </si>
  <si>
    <t>Soleira</t>
  </si>
  <si>
    <t>Verga</t>
  </si>
  <si>
    <t>JANELA</t>
  </si>
  <si>
    <t>PORTA</t>
  </si>
  <si>
    <t>CORRMÃO</t>
  </si>
  <si>
    <t>Area (m²)</t>
  </si>
  <si>
    <t>Largura (m)</t>
  </si>
  <si>
    <t>Quantidade (un)</t>
  </si>
  <si>
    <t>Altura (m)</t>
  </si>
  <si>
    <t>Comprimento (m)</t>
  </si>
  <si>
    <t>Pingadeira</t>
  </si>
  <si>
    <t>Contra-verga</t>
  </si>
  <si>
    <t>CORRIMÃOS E GUARDA-CORPOS</t>
  </si>
  <si>
    <t>Unidade Construtiva</t>
  </si>
  <si>
    <t>Célula Construtiva</t>
  </si>
  <si>
    <t>Etapa</t>
  </si>
  <si>
    <t>Subetapa</t>
  </si>
  <si>
    <t>Serviço</t>
  </si>
  <si>
    <t>NIVEL</t>
  </si>
  <si>
    <t>CÉLULA CONSTRUTIVA</t>
  </si>
  <si>
    <t>ETAPA</t>
  </si>
  <si>
    <t>SUBETAPA</t>
  </si>
  <si>
    <t>SERVIÇO</t>
  </si>
  <si>
    <t>Armação aço CA-50 ø 6,3mm para supraestrutura (corte e dobra em indústria)</t>
  </si>
  <si>
    <t>Armação aço CA-50 ø 8mm para supraestrutura (corte e dobra em indústria)</t>
  </si>
  <si>
    <t>Armação aço CA-50 ø 10mm para supraestrutura (corte e dobra em indústria)</t>
  </si>
  <si>
    <t>Armação aço CA-50 ø 12,5mm para supraestrutura (corte e dobra em indústria)</t>
  </si>
  <si>
    <t>Armação aço CA-50 ø 16mm para supraestrutura (corte e dobra em indústria)</t>
  </si>
  <si>
    <t>Armação aço CA-50 ø 20mm para supraestrutura (corte e dobra em indústria)</t>
  </si>
  <si>
    <t xml:space="preserve">Concreto </t>
  </si>
  <si>
    <t>Alvenaria de vedação com bocos de concreto</t>
  </si>
  <si>
    <t>IMPERMEABILIZAÇÃO E TRATAMENTOS</t>
  </si>
  <si>
    <t>Tratamento de ralo com manta de poliéster</t>
  </si>
  <si>
    <t>Mão de obra tratamento de ralo com manta de poliéster</t>
  </si>
  <si>
    <t>Instalações do sistema preventivo</t>
  </si>
  <si>
    <t>EQUIPAMENTOS</t>
  </si>
  <si>
    <t>SISTEMAS ESPECIAIS</t>
  </si>
  <si>
    <t>Infra para carro elétrico</t>
  </si>
  <si>
    <t>REVESTIMENTOS E ACABAMENTOS INTERNOS EM TETO</t>
  </si>
  <si>
    <t>Comunicação visual</t>
  </si>
  <si>
    <t>Código</t>
  </si>
  <si>
    <t>SENSE106</t>
  </si>
  <si>
    <t>HOLZE EMPREENDIMENTOS</t>
  </si>
  <si>
    <t>R00 - Edileni Silva</t>
  </si>
  <si>
    <t>V1, V2, V3 e V04</t>
  </si>
  <si>
    <t>V5, V6, V7, V8 e V9</t>
  </si>
  <si>
    <t>V10 ~ V15</t>
  </si>
  <si>
    <t>V16 ~ V19</t>
  </si>
  <si>
    <t>V20 ~ V22</t>
  </si>
  <si>
    <t>V23 ~ V26</t>
  </si>
  <si>
    <t>V17 ~ V31</t>
  </si>
  <si>
    <t>V32 ~ V37</t>
  </si>
  <si>
    <t>V38 ~ V42</t>
  </si>
  <si>
    <t>V43 ~ V41</t>
  </si>
  <si>
    <t>PROJETO: Sense 106 - Resumo de Materiais.xls</t>
  </si>
  <si>
    <t>GARAGEM G2</t>
  </si>
  <si>
    <t>GARAGEM G3</t>
  </si>
  <si>
    <t>GARAGEM G4</t>
  </si>
  <si>
    <t>PAVIMENTOS TÉCNICOS</t>
  </si>
  <si>
    <t>TIPOS</t>
  </si>
  <si>
    <t>PILARES</t>
  </si>
  <si>
    <t>LAJES</t>
  </si>
  <si>
    <t>RAMPA</t>
  </si>
  <si>
    <t>40 MPa - G2</t>
  </si>
  <si>
    <t>40 MPa - G3</t>
  </si>
  <si>
    <t>40MPa - G2</t>
  </si>
  <si>
    <t>40MPa - G3</t>
  </si>
  <si>
    <t>40MPa - G4</t>
  </si>
  <si>
    <t>40MPa - Lazer</t>
  </si>
  <si>
    <t>Sense - Pilares do G02 - Folha 1.pdf</t>
  </si>
  <si>
    <t>Sense - Pilares do G02 - Folha 2.pdf</t>
  </si>
  <si>
    <t>Sense - Pilares do G02 - Folha 3.pdf</t>
  </si>
  <si>
    <t>Laje</t>
  </si>
  <si>
    <t>Rampa</t>
  </si>
  <si>
    <t>GARAGEM G2 // Sense - Lajes do G02 ao G03 (2x).dwg</t>
  </si>
  <si>
    <t>Vigas rampa // Sense - Det.Rampa 01.dwg</t>
  </si>
  <si>
    <t>GARAGEM G3 /  Sense - Vigas do G02 ao G04 (3x).dwg</t>
  </si>
  <si>
    <t>GARAGEM G4 /  Sense - Vigas do G02 ao G04 (3x).dwg</t>
  </si>
  <si>
    <t>GARAGEM G2 / Sense - Vigas do G02 ao G04 (3x).dwg</t>
  </si>
  <si>
    <t>GARAGEM G3 // Sense - Lajes do G02 ao G03 (2x).dwg</t>
  </si>
  <si>
    <t>Sense - Pilares do G03 - Folha 1.pdf</t>
  </si>
  <si>
    <t>Sense - Pilares do G03 - Folha 2.pdf</t>
  </si>
  <si>
    <t>Sense - Pilares do G03 - Folha 3.pdf</t>
  </si>
  <si>
    <t>PAV. TÉC</t>
  </si>
  <si>
    <t>Vigas rampa // Sense - Det.Rampa 02(x2).dwg</t>
  </si>
  <si>
    <t>40 MPa - G4</t>
  </si>
  <si>
    <t>Sense - Pilares do G04 - Folha 1.pdf</t>
  </si>
  <si>
    <t>Sense - Pilares do G04 - Folha 2.pdf</t>
  </si>
  <si>
    <t>Sense - Pilares do G04 - Folha 3.pdf</t>
  </si>
  <si>
    <t>Sense - Pilares do Lazer - Folha 1.pdf</t>
  </si>
  <si>
    <t>Sense - Pilares do Lazer - Folha 2.pdf</t>
  </si>
  <si>
    <t>Sense - Pilares do Lazer - Folha 3.pdf</t>
  </si>
  <si>
    <t>Sense - Pilares do Lazer - Folha 4.pdf</t>
  </si>
  <si>
    <t>Sense - Pilares do Tipo 01 - Folha 1</t>
  </si>
  <si>
    <t>Sense - Pilares do Tipo 01 - Folha 2</t>
  </si>
  <si>
    <t>Sense - Pilares do Tipo 01 - Folha 3</t>
  </si>
  <si>
    <t>Sense - Pilares do Tipo 02 - Folha 1</t>
  </si>
  <si>
    <t>Sense - Pilares do Tipo 02 - Folha 2</t>
  </si>
  <si>
    <t>Sense - Pilares do Tipo 02 - Folha 3</t>
  </si>
  <si>
    <t>35MPa - Tipos</t>
  </si>
  <si>
    <t>Sense - Pilares do Tipo 03 - Folha 3</t>
  </si>
  <si>
    <t>Sense - Pilares do Tipo 03 - Folha 1</t>
  </si>
  <si>
    <t>Sense - Pilares do Tipo 03 - Folha 2</t>
  </si>
  <si>
    <t>Sense - Pilares do Tipo 04 - Folha 2</t>
  </si>
  <si>
    <t>Sense - Pilares do Tipo 04 - Folha 3</t>
  </si>
  <si>
    <t>Sense - Pilares do Tipo 04 - Folha 1</t>
  </si>
  <si>
    <t>Sense - Pilares do Tipo 05 - Folha 1</t>
  </si>
  <si>
    <t>Sense - Pilares do Tipo 05 - Folha 2</t>
  </si>
  <si>
    <t>Sense - Pilares do Tipo 05 - Folha 3</t>
  </si>
  <si>
    <t>Sense - Pilares da Cobertura - Folha 1</t>
  </si>
  <si>
    <t>Sense - Pilares da Cobertura - Folha 2</t>
  </si>
  <si>
    <t>Sense - Pilares da Cobertura - Folha 3</t>
  </si>
  <si>
    <t>35MPa - Cobertura</t>
  </si>
  <si>
    <t>Sense - Pilares dos Pav.Tecnicos - Folha 1</t>
  </si>
  <si>
    <t>Sense - Pilares dos Pav.Tecnicos - Folha 2</t>
  </si>
  <si>
    <t>Sense - Pilares dos Pav.Tecnicos - Folha 3</t>
  </si>
  <si>
    <t>Sense - Pilares dos Pav.Tecnicos - Folha 4</t>
  </si>
  <si>
    <t>Sense - Pilares dos Pav.Tecnicos - Folha 5</t>
  </si>
  <si>
    <t>35MPa - Pav. Tec.</t>
  </si>
  <si>
    <t>SUPRAESTRUTURA - LAZER</t>
  </si>
  <si>
    <t>SUPRAESTRUTURA - TIPOS (x20)</t>
  </si>
  <si>
    <t>SUPRAESTRUTURA - COBERTURA</t>
  </si>
  <si>
    <t>SUPRAESTRUTURA - PAV. TÉCNICOS</t>
  </si>
  <si>
    <t>RESUMO - FORMAS</t>
  </si>
  <si>
    <t>PAVIMENTOS</t>
  </si>
  <si>
    <t>SUPRAESTRUTURA - GARAGEM G2</t>
  </si>
  <si>
    <t>SUPRAESTRUTURA - GARAGEM G3</t>
  </si>
  <si>
    <t>SUPRAESTRUTURA - GARAGEM G4</t>
  </si>
  <si>
    <t>35MPa - Lazer</t>
  </si>
  <si>
    <t>35MPa - Pav. Técnicos</t>
  </si>
  <si>
    <t>Sense - Vigas do Lazer - Folha 1</t>
  </si>
  <si>
    <t>Sense - Vigas do Lazer - Folha 2</t>
  </si>
  <si>
    <t>Sense - Vigas do Lazer - Folha 3</t>
  </si>
  <si>
    <t>Sense - Vigas do Lazer - Folha 4</t>
  </si>
  <si>
    <t>Sense - Vigas do Lazer - Folha 5</t>
  </si>
  <si>
    <t>Sense - Vigas do Lazer - Folha 6</t>
  </si>
  <si>
    <t>Sense - Vigas do Lazer - Folha 7</t>
  </si>
  <si>
    <t>Sense - Vigas do Lazer - Folha 8</t>
  </si>
  <si>
    <t>Sense - Vigas do Lazer - Folha 9</t>
  </si>
  <si>
    <t>Sense - Vigas do Lazer - Folha 10</t>
  </si>
  <si>
    <t>Sense - Vigas do Lazer - Folha 11</t>
  </si>
  <si>
    <t>Sense - Vigas do Lazer - Folha 12</t>
  </si>
  <si>
    <t>Sense - Vigas do Lazer - Folha 13</t>
  </si>
  <si>
    <t>Sense - Vigas do Lazer - Folha 14</t>
  </si>
  <si>
    <t>Sense - Vigas do Lazer - Folha 15</t>
  </si>
  <si>
    <t>Sense - Vigas do Lazer - Folha 16</t>
  </si>
  <si>
    <t>Sense - Vigas do Lazer - Folha 17</t>
  </si>
  <si>
    <t>LAZER // Sense - Lajes do Lazer.dwg</t>
  </si>
  <si>
    <t>GARAGEM G4 // Sense - Lajes do G04</t>
  </si>
  <si>
    <t>Sense - Vigas do Tipo 01 - Folha 1</t>
  </si>
  <si>
    <t>Sense - Vigas do Tipo 01 - Folha 2</t>
  </si>
  <si>
    <t>Sense - Vigas do Tipo 01 - Folha 3</t>
  </si>
  <si>
    <t>Sense - Vigas do Tipo 01 - Folha 4</t>
  </si>
  <si>
    <t>Sense - Vigas do Tipo 01 - Folha 5</t>
  </si>
  <si>
    <t>Sense - Vigas do Tipo 01 - Folha 6</t>
  </si>
  <si>
    <t>TIPO // Sense - Lajes do Tipo (20x)</t>
  </si>
  <si>
    <t>Sense - Vigas do Tipo 02 ao Tipo 12 (11x) - Folha 1</t>
  </si>
  <si>
    <t>Sense - Vigas do Tipo 02 ao Tipo 12 (11x) - Folha 2</t>
  </si>
  <si>
    <t>Sense - Vigas do Tipo 02 ao Tipo 12 (11x) - Folha 3</t>
  </si>
  <si>
    <t>Sense - Vigas do Tipo 02 ao Tipo 12 (11x) - Folha 4</t>
  </si>
  <si>
    <t>Sense - Vigas do Tipo 02 ao Tipo 12 (11x) - Folha 5</t>
  </si>
  <si>
    <t>Sense - Vigas do Tipo 02 ao Tipo 12 (11x) - Folha 6</t>
  </si>
  <si>
    <t>Sense - Vigas do Tipo 13 ao Tipo 20 (8x) - Folha 1</t>
  </si>
  <si>
    <t>Sense - Vigas do Tipo 13 ao Tipo 20 (8x) - Folha 2</t>
  </si>
  <si>
    <t>Sense - Vigas do Tipo 13 ao Tipo 20 (8x) - Folha 3</t>
  </si>
  <si>
    <t>Sense - Vigas do Tipo 13 ao Tipo 20 (8x) - Folha 4</t>
  </si>
  <si>
    <t>Sense - Vigas do Tipo 13 ao Tipo 20 (8x) - Folha 5</t>
  </si>
  <si>
    <t>Sense - Vigas do Tipo 13 ao Tipo 20 (8x) - Folha 6</t>
  </si>
  <si>
    <t>COBERTURA // Sense - Vigas da Cobertura</t>
  </si>
  <si>
    <t>Sense - Vigas da Cobertura - Folha 1</t>
  </si>
  <si>
    <t>Sense - Vigas da Cobertura - Folha 2</t>
  </si>
  <si>
    <t>Sense - Vigas da Cobertura - Folha 3</t>
  </si>
  <si>
    <t>Sense - Vigas da Cobertura - Folha 4</t>
  </si>
  <si>
    <t>Sense - Vigas da Cobertura - Folha 5</t>
  </si>
  <si>
    <t>Sense - Vigas da Cobertura - Folha 6</t>
  </si>
  <si>
    <t>Sense - Vigas dos Pav.Tecnicos - Folha 1</t>
  </si>
  <si>
    <t>Sense - Vigas dos Pav.Tecnicos - Folha 2</t>
  </si>
  <si>
    <t>Sense - Vigas dos Pav.Tecnicos - Folha 3</t>
  </si>
  <si>
    <t>PAV. TÉC // Sense - Vigas dos Pav.Tecnicos</t>
  </si>
  <si>
    <t>Sense - Vigas dos Pav.Tecnicos - Folha 4</t>
  </si>
  <si>
    <t>PAV. TÉCNICOS // Sense - Lajes dos Pav.Tecnicos.dwg</t>
  </si>
  <si>
    <t>COBERTURA // Sense - Lajes da Cobertura.dwg</t>
  </si>
  <si>
    <t>Patamar depois</t>
  </si>
  <si>
    <t>Patamar antes</t>
  </si>
  <si>
    <t>Quantitativo conforme planilha resumo.</t>
  </si>
  <si>
    <t>Corte, Escavação, Regularização, Apiloamento de Fundo e Reaterro de Valas</t>
  </si>
  <si>
    <t>Escavação Mecânica Vala Exceto Rocha até 1.5m</t>
  </si>
  <si>
    <t>Reaterro mecanizado de valas para blocos, baldrames e cisterna, com retroescavadeira</t>
  </si>
  <si>
    <t>Lastro de material granular 5cm</t>
  </si>
  <si>
    <t>Remoção de Terra</t>
  </si>
  <si>
    <t>Rebaixamento de lençol freático</t>
  </si>
  <si>
    <t>Mobilização e desmobilização de bombas</t>
  </si>
  <si>
    <t>CONTENÇÕES PROVISÓRIAS</t>
  </si>
  <si>
    <t>Contenções Provisórias (previsão)</t>
  </si>
  <si>
    <t>Perfuração de estaca hélice contínua, diâmetro 50cm</t>
  </si>
  <si>
    <t>Perfuração de estaca hélice contínua, diâmetro 60cm</t>
  </si>
  <si>
    <t>Arrasamento mecanizado de estacas</t>
  </si>
  <si>
    <t>Fabricação, Montagem e Desmontagem de Fôrma para Bloco e Baldrame, em Tábua de Madeira*</t>
  </si>
  <si>
    <t>DUTO/CISTERNA</t>
  </si>
  <si>
    <t>Fabricação, Montagem e Desmontagem de Fôrma para Dutos e Cisternas em Tábua de Madeira</t>
  </si>
  <si>
    <t>Alvenaria de vedação de blocos de concreto de 14x19x39cm</t>
  </si>
  <si>
    <t>Alvenaria de vedação de blocos de concreto celular autoclavado 15x30x60 cm</t>
  </si>
  <si>
    <t>REVESTIMENTO EXTERNO - TEXTURA GRAFITO PARA FACHADA, ELEFANTE</t>
  </si>
  <si>
    <t>.REBOCO ARGAMASSADO EXTERNO</t>
  </si>
  <si>
    <t>Reboco externo</t>
  </si>
  <si>
    <t>.CHAPISCO ARGAMASSADO EXTERNO</t>
  </si>
  <si>
    <t>Chapisco externo</t>
  </si>
  <si>
    <t>DEF01 - JANELA FIXA, 1 FOLHA, TELA GALVANIZADA, 220 x 125 cm</t>
  </si>
  <si>
    <t xml:space="preserve">Contramarco </t>
  </si>
  <si>
    <t xml:space="preserve">REVESTIMENTO - CONTRA PISO, 7 cm // </t>
  </si>
  <si>
    <t xml:space="preserve">IMPERMEABILIZAÇAO EM TAMPA DE RESERVATÓRIOS // </t>
  </si>
  <si>
    <t>Impermeabilizaçao e tratamentos</t>
  </si>
  <si>
    <t>PROTEÇAO MECANICA</t>
  </si>
  <si>
    <t xml:space="preserve">Verga e contraverga </t>
  </si>
  <si>
    <t xml:space="preserve">TELA SOLDADA </t>
  </si>
  <si>
    <t>Serviços complementares para alvenaria</t>
  </si>
  <si>
    <t>BLOCO CERAMICO, 11,5 cm</t>
  </si>
  <si>
    <t>28_TAMPA RESERV. SUP</t>
  </si>
  <si>
    <t>REVESTIMENTO EXTERNO - TEXTURA GRAFIATO PARA FACHADA, ELEFANTE</t>
  </si>
  <si>
    <t>.CHAPISCO ARGAMASSADO PARA ESTRUTURA EXTERNO</t>
  </si>
  <si>
    <t>PINTURA EM TETO</t>
  </si>
  <si>
    <t>Sistemas de pintura em teto</t>
  </si>
  <si>
    <t>REVESTIMENTO INTERNO, PAREDE - TEXTURA, A. TECNICA</t>
  </si>
  <si>
    <t>Sistemas de pintura em parede</t>
  </si>
  <si>
    <t>ESTUCAMENTO EM TETO COM PINTURA</t>
  </si>
  <si>
    <t>.ESTUCAMENTO</t>
  </si>
  <si>
    <t>.REBOCO ARGAMASSADO INTERNO</t>
  </si>
  <si>
    <t>Reboco Interno</t>
  </si>
  <si>
    <t>.CHAPISCO ARGAMASSADO PARA ESTRUTURA INTERNO</t>
  </si>
  <si>
    <t>.CHAPISCO ARGAMASSADO INTERNO</t>
  </si>
  <si>
    <t>Chapisco Interno</t>
  </si>
  <si>
    <t xml:space="preserve">IMPERMEABILIZAÇAO EM RESERVATORIOS // </t>
  </si>
  <si>
    <t>IMPERMEABILIZAÇAO EM RESERVATORIOS</t>
  </si>
  <si>
    <t>REGULARIZAÇAO</t>
  </si>
  <si>
    <t>ENCUNHAMENTO</t>
  </si>
  <si>
    <t>BLOCO CERAMICO, 14 cm</t>
  </si>
  <si>
    <t>27_RESERV. SUPERIOR</t>
  </si>
  <si>
    <t>RUFO - TELHADOS</t>
  </si>
  <si>
    <t xml:space="preserve"> Serviços complementares - cobertura</t>
  </si>
  <si>
    <t>P7 - PORTA DE ABRIR, 1 FOLHA, CORTA FOGO, 90 x 210 cm</t>
  </si>
  <si>
    <t>P6 - PORTA DE ABRIR, 1 FOLHA, CORTA FOGO, 90 x 210 cm</t>
  </si>
  <si>
    <t>P13 - PORTA DE ABRIR, 1 FOLHA, ALUMÍNIO VENEZIANA, 90 x 170 cm</t>
  </si>
  <si>
    <t>P12 - PORTA DE ABRIR, 1 FOLHA, ALUMÍNIO VENEZIANA, 90 x 210 cm</t>
  </si>
  <si>
    <t>P10 - PORTA DE ABRIR, 1 FOLHA, ALUMÍNIO VENEZIANA, 90 x 210 cm</t>
  </si>
  <si>
    <t>DEF02 - JANELA FIXA, 1 FOLHA, TELA GALVANIZADA, 125 x 80 cm</t>
  </si>
  <si>
    <t>DEA01 - JANELA FIXA, 1 FOLHA, TELA GALVANIZADA, 125 x 80 cm</t>
  </si>
  <si>
    <t>REVESTIMENTO INTERNO, PAREDE - PINTURA, ESCADA/ANTECAMERA</t>
  </si>
  <si>
    <t>REVESTIMENTO INTERNO, PAREDE - PINTURA, A. TECNICA</t>
  </si>
  <si>
    <t xml:space="preserve">REVESTIMENTO - PINTURA RESINA, ESCADA/ANTECAMERA // </t>
  </si>
  <si>
    <t xml:space="preserve">REVESTIMENTO - PINTURA RESINA, A. TECNICA // </t>
  </si>
  <si>
    <t xml:space="preserve">REVESTIMENTO - PINTURA RESINA, A. COMUM INTERNA // </t>
  </si>
  <si>
    <t xml:space="preserve">REVESTIMENTO - REGULARIZAÇAO, 1 cm // </t>
  </si>
  <si>
    <t>Regularização</t>
  </si>
  <si>
    <t xml:space="preserve">REVESTIMENTO - CONTRA PISO, 8 cm // </t>
  </si>
  <si>
    <t xml:space="preserve">IMPERMEABILIZAÇAO EM TERRAÇOS // </t>
  </si>
  <si>
    <t>IMPERMEABILIZAÇAO EM TERRAÇOS</t>
  </si>
  <si>
    <t xml:space="preserve">IMPERMEABILIZAÇAO EM AREAS TECNICAS // </t>
  </si>
  <si>
    <t>IMPERMEABILIZAÇAO EM AREAS TECNICAS</t>
  </si>
  <si>
    <t>BLOCO ANTI-CHAMAS, 12,5 cm</t>
  </si>
  <si>
    <t>Alvenaria de vedação com bocos acf</t>
  </si>
  <si>
    <t>26_TELHADO</t>
  </si>
  <si>
    <t>REVESTIMENTO EXTERNO - TEXTURA GRAFIATO PARA FACHADA,PATATIVA</t>
  </si>
  <si>
    <t>REVESTIMENTO EXTERNO - TEXTURA GRAFIATO PARA FACHADA, NANQUIM</t>
  </si>
  <si>
    <t>PE - PORTA ELEVADOR, 120 x 210 cm</t>
  </si>
  <si>
    <t>P5 - PORTA PIVOTANTE, 1 FOLHA, MADEIRA, 90 x 210 cm</t>
  </si>
  <si>
    <t>P2 - PORTA DE ABRIR, 1 FOLHA, MADEIRA, 80 x 210 cm</t>
  </si>
  <si>
    <t>P1 - PORTA DE ABRIR, 1 FOLHA, MADEIRA, 70 x 210 cm</t>
  </si>
  <si>
    <t>CORRIMÃO ESCADA_PAREDE - MADEIRA</t>
  </si>
  <si>
    <t>T04 - JANELA DE ABRIR, 1 FOLHA, ALUMÍNIO VENEZIANA, 60 x 60 cm</t>
  </si>
  <si>
    <t>T03 - ABERTURA PARA CHURRASQUEIRA, ALUMÍNIO, 60 x 60 cm</t>
  </si>
  <si>
    <t>T02 - JANELA DE ABRIR, 1 FOLHA, ALUMÍNIO VENEZIANA, 70 x 60 cm</t>
  </si>
  <si>
    <t>T01 - ABERTURA PARA CHURRASQUEIRA, ALUMÍNIO, 70 x 60 cm</t>
  </si>
  <si>
    <t>J4 - JANELA DE CORRER, 2 FOLHAS, ALUMÍNIO E VIDRO, 180 x 120 cm</t>
  </si>
  <si>
    <t>J3 - JANELA MAXIM-AIR, 1 FOLHA, ALUMÍNIO E VIDRO, 80 x 80 cm</t>
  </si>
  <si>
    <t>J2 - JANELA MAXIM-AIR, 1 FOLHA, ALUMÍNIO E VIDRO, 70 x 80 cm</t>
  </si>
  <si>
    <t>J1 - JANELA FIXA, 1 FOLHA, VIDRO, 60 x 60 cm</t>
  </si>
  <si>
    <t>GC07 - GUARDA-CORPO, VIDRO, 121 cm</t>
  </si>
  <si>
    <t>GC06 - GUARDA-CORPO, VIDRO, 121 cm</t>
  </si>
  <si>
    <t>EP03 - JANELA REIKI, VIDRO E ALUMÍNIO, 370 x 120 cm</t>
  </si>
  <si>
    <t>EP02 - JANELA REIKI, VIDRO E ALUMÍNIO, 190/65 x 120 cm</t>
  </si>
  <si>
    <t>REVESTIMENTO INTERNO, PAREDE - PINTURA, BANHEIRO</t>
  </si>
  <si>
    <t>REVESTIMENTO INTERNO, PAREDE - PINTURA, A. PRIVATIVA</t>
  </si>
  <si>
    <t>REVESTIMENTO INTERNO, PAREDE - PINTURA, A. COMUM</t>
  </si>
  <si>
    <t>REVESTIMENTO - PINTURA RESINA, ESCADA/ANTECAMERA</t>
  </si>
  <si>
    <t>REVESTIMENTO INTERNO, PAREDE - CERAMICA, BANHEIRO</t>
  </si>
  <si>
    <t>REVESTIMENTO INTERNO, PAREDE - CERAMICA, A. PRIVATIVA</t>
  </si>
  <si>
    <t xml:space="preserve">REVESTIMENTO - PEITORIL, PEDRA NATURAL // </t>
  </si>
  <si>
    <t xml:space="preserve">REVESTIMENTO - SOLEIRA, PEDRA NATURAL // </t>
  </si>
  <si>
    <t>RODAPE EM POLIESTIRENO, 10 cm</t>
  </si>
  <si>
    <t>Rodapes</t>
  </si>
  <si>
    <t xml:space="preserve">REVESTIMENTO - VINILICO, AREA PRIVATIVA // </t>
  </si>
  <si>
    <t>Acabamentos especiais em piso</t>
  </si>
  <si>
    <t xml:space="preserve">REVESTIMENTO - PORCELANATO, HALL INTERNO // </t>
  </si>
  <si>
    <t xml:space="preserve">REVESTIMENTO - PORCELANATO, BANHEIRO // </t>
  </si>
  <si>
    <t xml:space="preserve">REVESTIMENTO - PORCELANATO, AREA PRIVATIVA INTERNA // </t>
  </si>
  <si>
    <t>FORRO DE GESSO MINERAL</t>
  </si>
  <si>
    <t xml:space="preserve">REVESTIMENTO - REGULARIZAÇAO, 3 cm // </t>
  </si>
  <si>
    <t>REVESTIMENTO - PINTURA RESINA, ESCADA/ANTECAMERA // REVESTIMENTO - CONTRA PISO, REGULARIZAÇÃO 2 cm</t>
  </si>
  <si>
    <t>REVESTIMENTO - CONTRA PISO, REGULARIZAÇÃO 2 cm</t>
  </si>
  <si>
    <t xml:space="preserve">IMPERMEABILIZAÇAO EM ESQUADRIAS // </t>
  </si>
  <si>
    <t>IMPERMEABILIZAÇAO EM ESQUADRIAS</t>
  </si>
  <si>
    <t xml:space="preserve">IMPERMEABILIZAÇAO EM COZINHA // </t>
  </si>
  <si>
    <t>IMPERMEABILIZAÇAO EM COZINHA</t>
  </si>
  <si>
    <t xml:space="preserve">IMPERMEABILIZAÇAO EM BOX DE BANHEIRO // </t>
  </si>
  <si>
    <t>IMPERMEABILIZAÇAO EM BOX DE BANHEIRO</t>
  </si>
  <si>
    <t xml:space="preserve">IMPERMEABILIZAÇAO EM BANHEIRO // </t>
  </si>
  <si>
    <t>IMPERMEABILIZAÇAO EM BANHEIRO</t>
  </si>
  <si>
    <t xml:space="preserve">IMPERMEABILIZAÇAO EM AREA DE SERVIÇO // </t>
  </si>
  <si>
    <t>IMPERMEABILIZAÇAO EM AREA DE SERVIÇO</t>
  </si>
  <si>
    <t>BLOCO CONCRETO, 14 cm</t>
  </si>
  <si>
    <t>BLOCO CERAMICO, 09 cm</t>
  </si>
  <si>
    <t>25_25° PAVTO</t>
  </si>
  <si>
    <t>24_24° PAVTO</t>
  </si>
  <si>
    <t>23_23° PAVTO</t>
  </si>
  <si>
    <t>22_22° PAVTO</t>
  </si>
  <si>
    <t>21_21° PAVTO</t>
  </si>
  <si>
    <t>20_20° PAVTO</t>
  </si>
  <si>
    <t>19_19° PAVTO</t>
  </si>
  <si>
    <t>18_18° PAVTO</t>
  </si>
  <si>
    <t>17_17° PAVTO</t>
  </si>
  <si>
    <t>16_16° PAVTO</t>
  </si>
  <si>
    <t>15_15° PAVTO</t>
  </si>
  <si>
    <t>14_14° PAVTO</t>
  </si>
  <si>
    <t>13_13° PAVTO</t>
  </si>
  <si>
    <t>12_12° PAVTO</t>
  </si>
  <si>
    <t>11_11° PAVTO</t>
  </si>
  <si>
    <t>10_10° PAVTO</t>
  </si>
  <si>
    <t>09_9° PAVTO</t>
  </si>
  <si>
    <t>08_8° PAVTO</t>
  </si>
  <si>
    <t>07_7° PAVTO</t>
  </si>
  <si>
    <t>06_6° PAVTO</t>
  </si>
  <si>
    <t xml:space="preserve">REVESTIMENTO - GRAMA // </t>
  </si>
  <si>
    <t>REVESTIMENTO EXTERNO - TEXTURA PARA FACHADA, LAZER EXTERNO</t>
  </si>
  <si>
    <t>REVESTIMENTO EXTERNO - PINTURA PARA FACHADA, ELEFANTE</t>
  </si>
  <si>
    <t>REVESTIMENTO EXTERNO - PINTURA PARA FACHADA, DIVISA VIZINHO</t>
  </si>
  <si>
    <t>P4 - PORTA DE CORRER, 1 FOLHA, MADEIRA, 90 x 210 cm</t>
  </si>
  <si>
    <t>P9 - PORTA DE ABRIR, 1 FOLHA, ALUMÍNIO VENEZIANA, 70 x 210 cm</t>
  </si>
  <si>
    <t>P23 - PORTA DE CORRER, 4 FOLHAS, VIDRO E ALUMÍNIO, 300 x 210 cm</t>
  </si>
  <si>
    <t>P22 - PORTA DE CORRER, 2 FOLHAS, VIDRO E ALUMÍNIO, 200 x 210 cm</t>
  </si>
  <si>
    <t>P18 - PORTA DE ABRIR, 1 FOLHA, VIDRO E ALUMÍNIO, 90 x 210 cm</t>
  </si>
  <si>
    <t>GC05 - GUARDA-CORPO, VIDRO, 120 cm</t>
  </si>
  <si>
    <t>GC04 - GUARDA-CORPO, VIDRO, 120 cm</t>
  </si>
  <si>
    <t>GC03 - GUARDA-CORPO, VIDRO, 120 cm</t>
  </si>
  <si>
    <t>GC02 - GUARDA-CORPO, VIDRO, 120 cm</t>
  </si>
  <si>
    <t>GC01 - GUARDA-CORPO, VIDRO, 55 cm</t>
  </si>
  <si>
    <t>GC01 - GUARDA-CORPO, VIDRO, 120 cm</t>
  </si>
  <si>
    <t>EP01 - JANELA REIKI, VIDRO E ALUMÍNIO, tipo Reiki, 145/575 x 139 cm</t>
  </si>
  <si>
    <t>REVESTIMENTO INTERNO, PAREDE - PINTURA, HALL</t>
  </si>
  <si>
    <t>REVESTIMENTO INTERNO, PAREDE - PEDRA NATURAL, HALL</t>
  </si>
  <si>
    <t>REVESTIMENTO - CERAMICA, PISCINA</t>
  </si>
  <si>
    <t>IMPERMEABILIZAÇAO EM PISCINA</t>
  </si>
  <si>
    <t>RODAPE EM CERAMICA, 10 cm</t>
  </si>
  <si>
    <t xml:space="preserve">REVESTIMENTO - PEDRA NATURAL, A. COMUM EXTERNA // </t>
  </si>
  <si>
    <t>Acabamentos pedra em piso</t>
  </si>
  <si>
    <t xml:space="preserve">REVESTIMENTO - EMBORRACHADO, AREA COMUM INTERNA // </t>
  </si>
  <si>
    <t xml:space="preserve">REVESTIMENTO - PORCELANATO, AREA COMUM INTERNA // </t>
  </si>
  <si>
    <t xml:space="preserve">REVESTIMENTO - PORCELANATO, AREA COMUM EXTERNA // </t>
  </si>
  <si>
    <t xml:space="preserve">REVESTIMENTO - CERAMICA, PISCINA // </t>
  </si>
  <si>
    <t xml:space="preserve">REVESTIMENTO - CERAMICA, A. COMUM EXTERNA // </t>
  </si>
  <si>
    <t>REVESTIMENTO DE TETO PERGOLADO - VIDRO LAMINADO 6mm</t>
  </si>
  <si>
    <t>Acabamentos especiais em teto</t>
  </si>
  <si>
    <t xml:space="preserve">REVESTIMENTO - PISO CIMENTADO // </t>
  </si>
  <si>
    <t>Acabamentos cimentados</t>
  </si>
  <si>
    <t xml:space="preserve">REVESTIMENTO - CONTRA PISO, 1 cm // </t>
  </si>
  <si>
    <t xml:space="preserve">IMPERMEABILIZAÇAO EM PISCINA // </t>
  </si>
  <si>
    <t xml:space="preserve">IMPERMEABILIZAÇAO EM FLOREIRAS // </t>
  </si>
  <si>
    <t>IMPERMEABILIZAÇAO EM FLOREIRAS</t>
  </si>
  <si>
    <t>05_LAZER</t>
  </si>
  <si>
    <t>REVESTIMENTO EXTERNO - CERAMICA PARA FACHADA</t>
  </si>
  <si>
    <t>REVESTIMENTO EXTERNO - PINTURA PARA FACHADA, PATATIVA</t>
  </si>
  <si>
    <t>P8 - PORTA DE ABRIR, 1 FOLHA, ALUMÍNIO VENEZIANA, 60 x 100 cm</t>
  </si>
  <si>
    <t>J12 - JANELA FIXA, ALUMINIO 580 x 310 cm</t>
  </si>
  <si>
    <t>J11 - JANELA FIXA, ALUMINIO 200 x 310 cm</t>
  </si>
  <si>
    <t>J10 - JANELA FIXA, ALUMINIO 340 x 310 cm</t>
  </si>
  <si>
    <t>BA02 - BRISE DE ALUMINIO, 100 x 310 cm</t>
  </si>
  <si>
    <t>ALÇAPÃO EM ALUMÍNIO</t>
  </si>
  <si>
    <t>REVESTIMENTO INTERNO, PAREDE - PINTURA, GARAGEM</t>
  </si>
  <si>
    <t>REVESTIMENTO INTERNO, PAREDE - PINTURA, FAIXA DE GARAGEM</t>
  </si>
  <si>
    <t xml:space="preserve">REVESTIMENTO - PINTURA EPOXI, GARAGEM // </t>
  </si>
  <si>
    <t xml:space="preserve">REVESTIMENTO - PINTURA EPOXI, DEMARCAÇAO DE VAGAS // </t>
  </si>
  <si>
    <t xml:space="preserve">REVESTIMENTO - PINTURA EPOXI, A. COMUM INTERNA // </t>
  </si>
  <si>
    <t xml:space="preserve">REVESTIMENTO EXTERNO - PINTURA PARA FACHADA, COR ELEFANTE // </t>
  </si>
  <si>
    <t xml:space="preserve">REVESTIMENTO - POLIMENTO DE PISO // </t>
  </si>
  <si>
    <t>04_GARAGEM 04</t>
  </si>
  <si>
    <t>J9 - JANELA FIXA, ALUMINIO 510 x 238 cm</t>
  </si>
  <si>
    <t>J8 - JANELA FIXA, ALUMINIO 380 x 238 cm</t>
  </si>
  <si>
    <t>J7 - JANELA FIXA, ALUMINIO 460 x 238 cm</t>
  </si>
  <si>
    <t>BA01 - BRISE DE ALUMINIO, 100 x 238 cm</t>
  </si>
  <si>
    <t xml:space="preserve">REVESTIMENTO - LADRILHO HIDRAULICO // </t>
  </si>
  <si>
    <t>03_GARAGEM 03</t>
  </si>
  <si>
    <t>J6 - JANELA FIXA, ALUMINIO 480 x 238 cm</t>
  </si>
  <si>
    <t>J5 - JANELA FIXA, ALUMINIO 200 x 238 cm</t>
  </si>
  <si>
    <t>02_GARAGEM 02</t>
  </si>
  <si>
    <t>P3 - PORTA DE ABRIR, 1 FOLHA, MADEIRA, 90 x 210 cm</t>
  </si>
  <si>
    <t>PB03 - PORTA DE ABRIR, 1 FOLHA + BANDEIRA, ALUMINIO E VIDRO, 490 x 291 cm</t>
  </si>
  <si>
    <t>PB02 - PORTA DE ABRIR, 1 FOLHA + BANDEIRA, ALUMINIO E VIDRO, 480 x 291 cm</t>
  </si>
  <si>
    <t>PB01 - PORTA DE ABRIR, 1 FOLHA + BANDEIRA, ALUMINIO E VIDRO, 260 x 296 cm</t>
  </si>
  <si>
    <t>P25 - PORTA DE ABRIR, 1 FOLHA, VIDRO E ALUMÍNIO, 90 x 210 cm</t>
  </si>
  <si>
    <t>P24 - PORTAO BASCULANTE, 1 FOLHA, ALUMÍNIO, 400 x 250 cm</t>
  </si>
  <si>
    <t>P17 - PORTA DE CORRER, 4 FOLHAS, ALUMÍNIO VENEZIANA, 400 x 210 cm</t>
  </si>
  <si>
    <t>P16 - PORTA DE ABRIR, 2 FOLHAS, ALUMÍNIO VENEZIANA, 200 x 210 cm</t>
  </si>
  <si>
    <t>P15 - PORTA DE ABRIR, 2 FOLHAS, ALUMÍNIO VENEZIANA, 140 x 210 cm</t>
  </si>
  <si>
    <t>P14 - PORTA DE CORRER, 1 FOLHA, ALUMINIO, 90 x 210 cm</t>
  </si>
  <si>
    <t>P11 - PORTA DE ABRIR, 1 FOLHA, ALUMÍNIO VENEZIANA, 90 x 210 cm</t>
  </si>
  <si>
    <t>REVESTIMENTO INTERNO, PAREDE - CERAMICA, LIXEIRA/G.N</t>
  </si>
  <si>
    <t>RODAPE EM POLIESTIRENO, 15 cm</t>
  </si>
  <si>
    <t>RODAPE EM PEDRA NATURAL, 5 cm</t>
  </si>
  <si>
    <t>RODAPE EM PEDRA NATURAL, 10 cm</t>
  </si>
  <si>
    <t xml:space="preserve">REVESTIMENTO - PORCELANATO, HALL EXTERNO // </t>
  </si>
  <si>
    <t xml:space="preserve">REVESTIMENTO - CERAMICA, LIXEIRA/GN // </t>
  </si>
  <si>
    <t xml:space="preserve">REVESTIMENTO - CERAMICA, A. COMUM INTERNA // </t>
  </si>
  <si>
    <t xml:space="preserve">REVESTIMENTO - PISO CONCRETO ESTAMPADO // </t>
  </si>
  <si>
    <t xml:space="preserve">REVESTIMENTO - REGULARIZAÇAO, 5 cm // </t>
  </si>
  <si>
    <t xml:space="preserve">REVESTIMENTO - CONTRA PISO, 6 cm // </t>
  </si>
  <si>
    <t xml:space="preserve">REVESTIMENTO - CONTRA PISO, 5 cm // </t>
  </si>
  <si>
    <t xml:space="preserve">REVESTIMENTO - CONTRA PISO, 4 cm // </t>
  </si>
  <si>
    <t>IMPERMEABILIZAÇAO EM VIGAS BALDRAME</t>
  </si>
  <si>
    <t xml:space="preserve">IMPERMEABILIZAÇAO EM FOSSO ELEVADOR // </t>
  </si>
  <si>
    <t>IMPERMEABILIZAÇAO EM FOSSO ELEVADOR</t>
  </si>
  <si>
    <t xml:space="preserve">IMPERMEABILIZAÇAO EM CENTRAL DE GAS/LIXEIRA // </t>
  </si>
  <si>
    <t>IMPERMEABILIZAÇAO EM CENTRAL DE GAS/LIXEIRA</t>
  </si>
  <si>
    <t>01_TÉRREO</t>
  </si>
  <si>
    <t>Unid.</t>
  </si>
  <si>
    <t>ALVENARIA, VEDAÇÕES E DIVISÓRIAS</t>
  </si>
  <si>
    <t>ALVENARIA, VEDAÇÕES E DIVISÓRIAS - TÉRREO</t>
  </si>
  <si>
    <t>ALVENARIA, VEDAÇÕES E DIVISÓRIAS - 2° PAVIMENTO (GARAGEM)</t>
  </si>
  <si>
    <t>ALVENARIA, VEDAÇÕES E DIVISÓRIAS - 3° PAVIMENTO (GARAGEM)</t>
  </si>
  <si>
    <t>ALVENARIA, VEDAÇÕES E DIVISÓRIAS - 4° PAVIMENTO (GARAGEM)</t>
  </si>
  <si>
    <t>ALVENARIA, VEDAÇÕES E DIVISÓRIAS - LAZER</t>
  </si>
  <si>
    <t>ALVENARIA, VEDAÇÕES E DIVISÓRIAS - PVTO TIPO (x20)</t>
  </si>
  <si>
    <t>ALVENARIA, VEDAÇÕES E DIVISÓRIAS - PAVIMENTOS TÉCNICOS</t>
  </si>
  <si>
    <t>Sistema de bombas</t>
  </si>
  <si>
    <t>Impermeabilização de viga baldrame</t>
  </si>
  <si>
    <t xml:space="preserve">Impermeabilização flexível com manta </t>
  </si>
  <si>
    <t>Tratamentos</t>
  </si>
  <si>
    <t>Revestimento interno argamassado em parede</t>
  </si>
  <si>
    <t>Mão de obra de chapisco e reboco em parede</t>
  </si>
  <si>
    <t>ACABAMENTOS EM PISO E PAREDE</t>
  </si>
  <si>
    <t>Acabamentos em pisos cerâmicos</t>
  </si>
  <si>
    <t>Acabamentos cerâmicos em parede</t>
  </si>
  <si>
    <t>Acabamento em piso de pedra natural</t>
  </si>
  <si>
    <t>Mão de obra de acabamento em piso cerâmico</t>
  </si>
  <si>
    <t>Mão de obra de rodapés</t>
  </si>
  <si>
    <t>Mão de obra de soleiras</t>
  </si>
  <si>
    <t>Mão de obra de peitoris</t>
  </si>
  <si>
    <t>Mão de obra de acabamento de parede</t>
  </si>
  <si>
    <t>Revestimento interno argamassado em piso</t>
  </si>
  <si>
    <t>Contrapiso comum, aderido, espessura de 4cm, com argamassa usinada</t>
  </si>
  <si>
    <t>Contrapiso comum, aderido, espessura de 5cm, com argamassa usinada</t>
  </si>
  <si>
    <t>Contrapiso comum, aderido, espessura de 6cm, com argamassa usinada</t>
  </si>
  <si>
    <t>Contrapiso comum, aderido, espessura de 8cm, com argamassa usinada</t>
  </si>
  <si>
    <t>Contrapiso comum, aderido, espessura de 2cm, com argamassa usinada</t>
  </si>
  <si>
    <t>Chapisco aplicado em estruturas de concreto, com desempenadeira dentada, argamassa pré-fabricada adesiva de cimento colante</t>
  </si>
  <si>
    <t>Chapisco aplicado em alvenaria, com desempenadeira dentada, argamassa preparada em obra 1:3</t>
  </si>
  <si>
    <t>Reboco interno em argamassa usinada - espessura de 20mm - com execução de taliscas</t>
  </si>
  <si>
    <t>Contrapiso comum, aderido, espessura de 1cm, com argamassa usinada</t>
  </si>
  <si>
    <t>Camada extra de polimento de piso adicionada erroneamente no modelo</t>
  </si>
  <si>
    <t>Considerar esse valor</t>
  </si>
  <si>
    <t>Mão de obra de contrapiso, regularização e piso polido</t>
  </si>
  <si>
    <t>Contrapiso comum, aderido, espessura de 7cm, com argamassa usinada</t>
  </si>
  <si>
    <t>Forro de gesso mineral, aplicação em áreas úmidas e molháveis - material e mão de obra</t>
  </si>
  <si>
    <t>Mão de obra de estucamento em teto</t>
  </si>
  <si>
    <t>REVESTIMENTOS E ACABAMENTOS INTERNOS EM TETO - TÉRREO</t>
  </si>
  <si>
    <t>REVESTIMENTOS E ACABAMENTOS INTERNOS EM TETO - GARAGEM G2</t>
  </si>
  <si>
    <t>REVESTIMENTOS E ACABAMENTOS INTERNOS EM TETO - GARAGEM G3</t>
  </si>
  <si>
    <t>REVESTIMENTOS E ACABAMENTOS INTERNOS EM TETO - GARAGEM G4</t>
  </si>
  <si>
    <t>REVESTIMENTOS E ACABAMENTOS INTERNOS EM TETO - LAZER</t>
  </si>
  <si>
    <t>REVESTIMENTOS E ACABAMENTOS INTERNOS EM TETO - TIPOS (x20)</t>
  </si>
  <si>
    <t>REVESTIMENTOS E ACABAMENTOS INTERNOS EM TETO - COBERTURA</t>
  </si>
  <si>
    <t>REVESTIMENTOS E ACABAMENTOS INTERNOS EM TETO - PAV. TÉCNICOS</t>
  </si>
  <si>
    <t>Piso Porcelanato Hall 80x80cm</t>
  </si>
  <si>
    <t>Piso Cerâmico Lixeira 60x60cm</t>
  </si>
  <si>
    <t>Piso de Concreto Estampado</t>
  </si>
  <si>
    <t>Revestimento em Cerâmica Lixeira 30 cm x 60 cm</t>
  </si>
  <si>
    <t>Revestimento em Cerâmica Banheiro 30x60cm</t>
  </si>
  <si>
    <t>Rodapé cerâmico h=10cm</t>
  </si>
  <si>
    <t>Rodapé pedra natural h=10cm</t>
  </si>
  <si>
    <t>Rodapé pedra natural h=5cm</t>
  </si>
  <si>
    <t>Rodapé Poliestireno h=10cm</t>
  </si>
  <si>
    <t>Rodapé Poliestireno h=15cm</t>
  </si>
  <si>
    <t>Acabamento em piso vinílico</t>
  </si>
  <si>
    <t>Acabamento em piso emborrachado</t>
  </si>
  <si>
    <t>Piso Vinílico Áreas Privativas Apartamentos</t>
  </si>
  <si>
    <t>Mão de obra empreitada para colocação e rejuntamento de piso cerâmico até 60x60 cm</t>
  </si>
  <si>
    <t>Mão de obra empreitada para colocação e rejuntamento de piso porcelanato até 60x60 cm</t>
  </si>
  <si>
    <t>Mão de obra empreitada para colocação e rejuntamento de piso porcelanato acima de 60x60 cm</t>
  </si>
  <si>
    <t>Mão de obra empreitada para colocação de rodapé de cerâmico</t>
  </si>
  <si>
    <t>Mão de obra empreitada para colocação de rodapé de pedra natural</t>
  </si>
  <si>
    <t>Mão de obra empreitada para colocação de rodapé de poliestireno</t>
  </si>
  <si>
    <t>Mão de obra empreitada para colocação de soleira de granito</t>
  </si>
  <si>
    <t>Mão de obra empreitada para colocação de peitoril de granito</t>
  </si>
  <si>
    <t>Mão de obra empreitada para colocação e rejuntamento de revestimento cerâmico</t>
  </si>
  <si>
    <t>Mão de obra de acabamento em piso vinílico</t>
  </si>
  <si>
    <t>Mão de obra empreitada para instalação de piso vinílico</t>
  </si>
  <si>
    <t>Mão de obra empreitada para instalação de piso emborrachado</t>
  </si>
  <si>
    <t>ACABAMENTOS EM PISO E PAREDE - TÉRREO</t>
  </si>
  <si>
    <t>ACABAMENTOS EM PISO E PAREDE - 2° PAVIMENTO (GARAGEM)</t>
  </si>
  <si>
    <t>ACABAMENTOS EM PISO E PAREDE - 3° PAVIMENTO (GARAGEM)</t>
  </si>
  <si>
    <t>ACABAMENTOS EM PISO E PAREDE - 4° PAVIMENTO (GARAGEM)</t>
  </si>
  <si>
    <t>ACABAMENTOS EM PISO E PAREDE - LAZER</t>
  </si>
  <si>
    <t>Pastilha Piscina</t>
  </si>
  <si>
    <t>Piso Porcelanato Lazer</t>
  </si>
  <si>
    <t>Piso Cerâmico Área Comum</t>
  </si>
  <si>
    <t>Piso em pedra natural</t>
  </si>
  <si>
    <t>ACABAMENTOS EM PISO E PAREDE - TIPOS (x20)</t>
  </si>
  <si>
    <t>Piso Porcelanato Lavabos e Banheiro 80x80cm</t>
  </si>
  <si>
    <t>Piso Porcelanato Área Privativa Coberta 80x80cm</t>
  </si>
  <si>
    <t>Ladrilho Hidráulico</t>
  </si>
  <si>
    <t>Revestimento em Cerâmica À. Serviço e Living 30x60cm</t>
  </si>
  <si>
    <t>Pintura para demarcação de faixa de garagem, com tinta epóxi, 3 demãos</t>
  </si>
  <si>
    <t>Fundo selador látex PVA em paredes, 1 demão</t>
  </si>
  <si>
    <t>Aplicação e lixamento de massa látex PVA em paredes internas, 2 demãos</t>
  </si>
  <si>
    <t>Pintura com tinta látex acrílica em paredes internas, 3 demãos</t>
  </si>
  <si>
    <t>Textura acrílica em paredes internas,1 demão</t>
  </si>
  <si>
    <t>Fundo selador látex PVA em teto, 1 demão</t>
  </si>
  <si>
    <t>Aplicação e lixamento de massa acrílica em teto, 2 demãos</t>
  </si>
  <si>
    <t>Pintura com tinta látex acrílica em teto, 3 demãos</t>
  </si>
  <si>
    <t>Mão de obra empreitada para pintura látex acrílica em paredes internas, 3 demãos</t>
  </si>
  <si>
    <t>Mão de obra empreitada para aplicação de pintura látex acrílica em teto, 3 demãos</t>
  </si>
  <si>
    <t>Mão de obra empreitada para aplicação e lixamento de massa látex em teto, 2 demãos</t>
  </si>
  <si>
    <t>SISTEMAS DE PINTURA INTERNA - TÉRREO</t>
  </si>
  <si>
    <t>SISTEMAS DE PINTURA INTERNA - 2° PAVIMENTO (GARAGEM)</t>
  </si>
  <si>
    <t>SISTEMAS DE PINTURA INTERNA - 3° PAVIMENTO (GARAGEM)</t>
  </si>
  <si>
    <t>SISTEMAS DE PINTURA INTERNA - 4° PAVIMENTO (GARAGEM)</t>
  </si>
  <si>
    <t>SISTEMAS DE PINTURA INTERNA - LAZER</t>
  </si>
  <si>
    <t>SISTEMAS DE PINTURA INTERNA - PAVIMENTO TIPO (x20)</t>
  </si>
  <si>
    <t>SISTEMAS DE PINTURA INTERNA - COBERTURA</t>
  </si>
  <si>
    <t>SISTEMAS DE PINTURA INTERNA - PAV. TÉCNICOS</t>
  </si>
  <si>
    <t>Mão de obra empreitada para aplicação de textura acrílica em paredes internas, 1 demão</t>
  </si>
  <si>
    <t>Contramarco de alumínio, fixação com argamassa</t>
  </si>
  <si>
    <t>Contramarco de alumínio para portas corta fogo, fixação com parafuso</t>
  </si>
  <si>
    <t>Serviços complementares para cobertura</t>
  </si>
  <si>
    <t>Rufos em alumínio - material e mão de obra</t>
  </si>
  <si>
    <t>Mão de obra empreitada para aplicação de resina acrílica em piso</t>
  </si>
  <si>
    <t>Pintura para demarcação de faixa de garagem, com tinta epóxi em paredes, 2 demãos</t>
  </si>
  <si>
    <t>Mão de obra empreitada para pintura de faixas de demarcação de garagem em paredes</t>
  </si>
  <si>
    <t>Mão de obra para fixação de contramarco</t>
  </si>
  <si>
    <t>Esquadrias metálicas e serralherias</t>
  </si>
  <si>
    <t>CONTRAMARCO</t>
  </si>
  <si>
    <t>Impermeabilização flexível com manta - uma camada</t>
  </si>
  <si>
    <t>Impermeabilização flexível com manta - duas camadas</t>
  </si>
  <si>
    <t>Impermeabilização flexível com manta com asfalto derretido - uma camada</t>
  </si>
  <si>
    <t>06-25_TIPOS</t>
  </si>
  <si>
    <t>Impermeabilização</t>
  </si>
  <si>
    <t>RESUMO</t>
  </si>
  <si>
    <t>RESUMO POR ÁREA</t>
  </si>
  <si>
    <t xml:space="preserve">IMPERMEABILIZAÇAO EM TAMPA DE RESERVATÓRIOS </t>
  </si>
  <si>
    <t>GARAGEM 2</t>
  </si>
  <si>
    <t>GARAGEM 3</t>
  </si>
  <si>
    <t>GARAGEM 4</t>
  </si>
  <si>
    <t>TIPOS (x20)</t>
  </si>
  <si>
    <t>PAV. TÉCNICOS</t>
  </si>
  <si>
    <t>GERAL</t>
  </si>
  <si>
    <t>QTD.</t>
  </si>
  <si>
    <t>DESCRIÇÃO</t>
  </si>
  <si>
    <t>CUSTO UNITÁRIO</t>
  </si>
  <si>
    <t>CUSTO TOTAL</t>
  </si>
  <si>
    <t>ALUMÍNIO / JANELAS</t>
  </si>
  <si>
    <t>ALUMÍNIO / PORTAS</t>
  </si>
  <si>
    <t>QTD. M²</t>
  </si>
  <si>
    <t>QTD. Un</t>
  </si>
  <si>
    <t>Custo/m²</t>
  </si>
  <si>
    <t>Incluso portas e janelas de alumínio</t>
  </si>
  <si>
    <t>PORTÃO</t>
  </si>
  <si>
    <t>MOLDURAS DE CHURRASQUEIRAS</t>
  </si>
  <si>
    <t>Custo/un</t>
  </si>
  <si>
    <t>P11 - PORTA DE ABRIR, 1 FOLHA, ALUMÍNIO VENEZIANA, 110 x 210 cm</t>
  </si>
  <si>
    <t>PORTA CORTA-FOGO</t>
  </si>
  <si>
    <t>Quantidade total (un)</t>
  </si>
  <si>
    <t>Contramarco de portas corta-fogo</t>
  </si>
  <si>
    <t>Porta de madeira, folha leve/média, 70x210cm, fixação com espuma expansiva*</t>
  </si>
  <si>
    <t>Porta de madeira, folha leve/média, 80x210cm, fixação com espuma expansiva*</t>
  </si>
  <si>
    <t>Porta de madeira, folha leve/média, 90x210cm, fixação com espuma expansiva*</t>
  </si>
  <si>
    <t>Porta de madeira, folha leve/média, pivotante 90x210cm, fixação com espuma expansiva*</t>
  </si>
  <si>
    <t>TM01</t>
  </si>
  <si>
    <t>Escada Marinheiro com cesto</t>
  </si>
  <si>
    <t>EM01</t>
  </si>
  <si>
    <t>EM02</t>
  </si>
  <si>
    <t>EM03</t>
  </si>
  <si>
    <t>Escada Marinheiro sem cesto</t>
  </si>
  <si>
    <t>Automação de áreas de lazer</t>
  </si>
  <si>
    <t>Paineis solares</t>
  </si>
  <si>
    <t>Automação</t>
  </si>
  <si>
    <t>Automação de apartamentos</t>
  </si>
  <si>
    <t>Pergolado de madeira</t>
  </si>
  <si>
    <t>Pergolado de madeira - lazer</t>
  </si>
  <si>
    <t>Brises</t>
  </si>
  <si>
    <t>BRISES</t>
  </si>
  <si>
    <t>BA01</t>
  </si>
  <si>
    <t>BA02</t>
  </si>
  <si>
    <t>Brise de Alumínio</t>
  </si>
  <si>
    <t>Brise</t>
  </si>
  <si>
    <t>Armação aço CA-50, diâmetro de 8,0mm para dutos e cisternas, corte e dobra em indústria</t>
  </si>
  <si>
    <t>Armação aço CA-50, diâmetro de 10,0mm para dutos e cisternas, corte e dobra em indústria</t>
  </si>
  <si>
    <t>Armação aço CA-50, diâmetro de 6,3mm para estacas, corte e dobra em indústria</t>
  </si>
  <si>
    <t>Concreto usinado bombeável, para estacas, fck 40MPa, slump = 24 +/- 2 B0, incluindo serviço de bombeamento</t>
  </si>
  <si>
    <t xml:space="preserve">Execução de contenção provisória </t>
  </si>
  <si>
    <t>Armação aço CA-50, diâmetro de 12,5mm para dutos e cisternas, corte e dobra em indústria</t>
  </si>
  <si>
    <t>Armação aço CA-50, diâmetro de 16,0mm para estacas, corte e dobra em indústria</t>
  </si>
  <si>
    <t>Mão de obra empreitada para pintura de faixas de demarcação de garagem em piso*</t>
  </si>
  <si>
    <t>Soleira de pedra natural</t>
  </si>
  <si>
    <t>Peitoril de pedra natural</t>
  </si>
  <si>
    <t>Piso cimentado e=3cm</t>
  </si>
  <si>
    <t>Piso Porcelanato Área Comum Coberta 80x80cm</t>
  </si>
  <si>
    <t>Mão de obra empreitada para execução de estucamento em teto</t>
  </si>
  <si>
    <t>Forro de gesso mineral - material e mão de obra</t>
  </si>
  <si>
    <t>Levantamento Topográfico</t>
  </si>
  <si>
    <t>Projeto Arquitetônico legal</t>
  </si>
  <si>
    <t>Projeto Estrutural</t>
  </si>
  <si>
    <t>Projeto Fundações</t>
  </si>
  <si>
    <t>Forma Compensado Plástica 17mm Reaproveitamento 7x</t>
  </si>
  <si>
    <t>Controle Tecnologico de Concreto</t>
  </si>
  <si>
    <t>Telha Fibrocimento 6mm</t>
  </si>
  <si>
    <t>Limpeza de Obra</t>
  </si>
  <si>
    <t>Aluguel Terreno</t>
  </si>
  <si>
    <t>mes</t>
  </si>
  <si>
    <t>Engenheiro</t>
  </si>
  <si>
    <t>Mestre</t>
  </si>
  <si>
    <t>Iptu</t>
  </si>
  <si>
    <t>Alvará Habite-se</t>
  </si>
  <si>
    <t>Manutenção e Reposição de Equipamentos</t>
  </si>
  <si>
    <t>Despesas de Seguros</t>
  </si>
  <si>
    <t>Alvenaria de vedação de blocos de concreto celular autoclavado 10x30x60 cm</t>
  </si>
  <si>
    <t>Encunhamento de alvenaria de vedação com argamassa expansiva*</t>
  </si>
  <si>
    <t>Mão de obra empreitada vedações internas e externas - assentamento blocos de concreto*</t>
  </si>
  <si>
    <t>Mão de obra empreitada vedações internas e externas - assentamento blocos cerâmicos*</t>
  </si>
  <si>
    <t>Mão de obra empreitada para execução de piso de concreto</t>
  </si>
  <si>
    <t>Mão de obra para execução de frisos em piso de concreto</t>
  </si>
  <si>
    <t>Mão de obra empreitada para execução de contrapiso comum</t>
  </si>
  <si>
    <t>Pintura com tinta látex acrílica em fosso do elevador, 1 demão</t>
  </si>
  <si>
    <t>Textura acrílica em teto,1 demão</t>
  </si>
  <si>
    <t>Mão de obra pintura do fosso do elevador</t>
  </si>
  <si>
    <t>Mão de obra empreitada para aplicação de textura acrílica em teto, 3 demãos</t>
  </si>
  <si>
    <t>Mão de obra empreitada para execução de instalações elétricas</t>
  </si>
  <si>
    <t>Armação aço CA-50, diâmetro de 12,5mm para estacas, corte e dobra em indústria</t>
  </si>
  <si>
    <t>Mão de obra empreitada para execução de instalações hidrossanitárias e drenagem</t>
  </si>
  <si>
    <t>Infraestrutura para instalação de ar condicionado*</t>
  </si>
  <si>
    <t>Equipamento ar condicionado</t>
  </si>
  <si>
    <t>Sistemas lógicos e telecomunicação</t>
  </si>
  <si>
    <t>Impermeabilização com argamassa polimérica, 3 demãos</t>
  </si>
  <si>
    <t>Impermeabilização com argamassa polimérica em peitoris</t>
  </si>
  <si>
    <t>Mão de obra empreitada para impermeabilização com argamassa polimérica em peitoris</t>
  </si>
  <si>
    <t>Mão de obra para regularização de superfície</t>
  </si>
  <si>
    <t>Mão de obra empreitada para impermeabilização com argamassa polimérica</t>
  </si>
  <si>
    <t>Mão de obra empreitada para execução de proteção mecânica em superfície impermeabilizada</t>
  </si>
  <si>
    <t>Mão de obra empreitada para execução de chapisco e massa única em teto</t>
  </si>
  <si>
    <t>Chapisco em teto com argamassa preparada em obra 1:5</t>
  </si>
  <si>
    <t>Piso Podotátil de Concreto</t>
  </si>
  <si>
    <t>Piso Porcelanato Área Técnica 60x60cm</t>
  </si>
  <si>
    <t>Piso Elevador</t>
  </si>
  <si>
    <t>Piso Cerâmico Box 60x60cm</t>
  </si>
  <si>
    <t>Piso Cerâmico Área Privativa Externa 80x80cm</t>
  </si>
  <si>
    <t>Rodapé porcelanato h=10cm</t>
  </si>
  <si>
    <t>Revestimento em Cerâmica Cozinha 30x60cm</t>
  </si>
  <si>
    <t>Revestimento em Cerâmica Lavanderia 30x60cm</t>
  </si>
  <si>
    <t>Mão de obra empreitada para colocação de rodapé de porcelanato</t>
  </si>
  <si>
    <t>Contramarco de alumínio para portas corta fogo, fixação com argamassa</t>
  </si>
  <si>
    <t>Esquadrias de alumínio - Térreo</t>
  </si>
  <si>
    <t>Porta de madeira, folha leve/média, correr 70x210cm, fixação com espuma expansiva*</t>
  </si>
  <si>
    <t>Porta de madeira, folha leve/média, correr 90x210cm, fixação com espuma expansiva*</t>
  </si>
  <si>
    <t>Fechadura de embutir com cilindro para porta interna, completa*</t>
  </si>
  <si>
    <t>Mão de obra para instalação de portas de madeira*</t>
  </si>
  <si>
    <t>Trama de madeira para cobertura em telhas de fibrocimento</t>
  </si>
  <si>
    <t>Calhas em alumínio - material e mão de obra</t>
  </si>
  <si>
    <t>Chapisco externo de argamassa pré-fabricada de cimento colante, aplicada em estrutura, com desempenadeira dentada*</t>
  </si>
  <si>
    <t>Chapisco aplicado em alvenaria, com desempenadeira dentada, argamassa preparada em obra 1:5</t>
  </si>
  <si>
    <t>Cobogó cerâmico</t>
  </si>
  <si>
    <t>Fundo selador látex acrílico em paredes externas, 1 demão</t>
  </si>
  <si>
    <t>Textura acrílica, aplicação em parede externa, 1 demão</t>
  </si>
  <si>
    <t>Corte de junta de dilatação de fachada</t>
  </si>
  <si>
    <t>Elevador social*</t>
  </si>
  <si>
    <t>Ambientação</t>
  </si>
  <si>
    <t>Itens eventuais e não orçados - 1,5% custo raso</t>
  </si>
  <si>
    <t>Exaustão da churrasqueira*</t>
  </si>
  <si>
    <t>Alvenaria de enchimento 7,45 cm</t>
  </si>
  <si>
    <t>Alvenaria de enchimento 8,55 cm</t>
  </si>
  <si>
    <t>Perfuração de estaca hélice contínua, diâmetro 40cm</t>
  </si>
  <si>
    <t>Verga/contraverga de concreto moldada, in-loco</t>
  </si>
  <si>
    <t>Mão de obra para execução de acabamento camurçado em piso de concreto</t>
  </si>
  <si>
    <t>Sistema de ventilação e de exaustão mecânica</t>
  </si>
  <si>
    <t>Estudo ambiental</t>
  </si>
  <si>
    <t>Bandejas Primarias</t>
  </si>
  <si>
    <t>Bandejas Secundarias</t>
  </si>
  <si>
    <t>Orçamento e planejamento</t>
  </si>
  <si>
    <t>Despesas de cartório / taxas gerais</t>
  </si>
  <si>
    <t>ISS</t>
  </si>
  <si>
    <t>Projeto de interiores</t>
  </si>
  <si>
    <t>Assinatura Ampli</t>
  </si>
  <si>
    <t>Assinatura Prevision</t>
  </si>
  <si>
    <t>Assinatura Nuvem de Dados</t>
  </si>
  <si>
    <t>Ensaio de arrancamento de argamassa de revestimento</t>
  </si>
  <si>
    <t xml:space="preserve"> Incorporação</t>
  </si>
  <si>
    <t>As built</t>
  </si>
  <si>
    <t>Laudo técnico de vistoria de entrega</t>
  </si>
  <si>
    <t>Manuais de condomínio/proprietários</t>
  </si>
  <si>
    <t>Certidão INSS</t>
  </si>
  <si>
    <t>Técnico de  segurança do trabalho</t>
  </si>
  <si>
    <t>Tela SLQA</t>
  </si>
  <si>
    <t xml:space="preserve"> Auxiliar de engenharia</t>
  </si>
  <si>
    <t>Servente</t>
  </si>
  <si>
    <t>Mão de obra para montagem e desmontagem de proteção coletiva</t>
  </si>
  <si>
    <t>Confraternizações</t>
  </si>
  <si>
    <t>Manutenção em carro com caçamba</t>
  </si>
  <si>
    <t>Ferramentas de apoio à obra</t>
  </si>
  <si>
    <t>Carrinho plataforma - aquisição</t>
  </si>
  <si>
    <t xml:space="preserve"> Carrinho de mão - aquisição</t>
  </si>
  <si>
    <t>Carrinho mini paletes - aquisição</t>
  </si>
  <si>
    <t>Mobilização e desmobilização de Elevador cremalheira</t>
  </si>
  <si>
    <t xml:space="preserve"> Mobilização e desmobilização de Minigrua</t>
  </si>
  <si>
    <t>Legalização de incorporação</t>
  </si>
  <si>
    <t>Fechamento de fossos</t>
  </si>
  <si>
    <t>Cobertura para proteção de pedestres</t>
  </si>
  <si>
    <t>Locação de Fôrma Plástica para Laje Nervurada</t>
  </si>
  <si>
    <t>Alçapão</t>
  </si>
  <si>
    <t>Guarda-corpo de vidro e aço inox</t>
  </si>
  <si>
    <t>Escada marinheiro sem cesto</t>
  </si>
  <si>
    <t>Memorial descritivo</t>
  </si>
  <si>
    <t>Sondagem do terreno</t>
  </si>
  <si>
    <t>Projeto de canteiro</t>
  </si>
  <si>
    <t>Projeto de automação</t>
  </si>
  <si>
    <t>Projeto de climantização e exaustão</t>
  </si>
  <si>
    <t>Projeto de impermeabilização</t>
  </si>
  <si>
    <t>Aprovação e legalização ambiental</t>
  </si>
  <si>
    <t>Aprovação e legalização prefeitura</t>
  </si>
  <si>
    <t>Aprovação e legalização água e esgoto</t>
  </si>
  <si>
    <t>Aprovação e legalização elétrico</t>
  </si>
  <si>
    <t>Aprovação e legalização Bombeiros</t>
  </si>
  <si>
    <t>Taxas de ART</t>
  </si>
  <si>
    <t>Taxas de Alvará</t>
  </si>
  <si>
    <t>Outorga</t>
  </si>
  <si>
    <t>Serviço terceirizado de segurança do trabalho</t>
  </si>
  <si>
    <t>Equipamento de proteção individual - EPI</t>
  </si>
  <si>
    <t>Guarda-corpo de vãos, fixado em forma de madeira, em trama de madeira com tela de polipropileno</t>
  </si>
  <si>
    <t>Fechamento removível de vãos de porta de elevador em madeira</t>
  </si>
  <si>
    <t>Ferramentas</t>
  </si>
  <si>
    <t>Guarda corpo de laje apos desforma</t>
  </si>
  <si>
    <t>Tela em polietileno para fachada</t>
  </si>
  <si>
    <t>Linha de vida</t>
  </si>
  <si>
    <t>Elaboração do Programa de Prevenção dos Riscos Ambientais (PPRA)</t>
  </si>
  <si>
    <t>Elaboração do Programa de Controle Médico de Saúde Ocupacional (PCMSO)</t>
  </si>
  <si>
    <t>Elaboração do Programa de Condições e meio Ambiente de Trabalho na Indústria de Construção (PCMAT)</t>
  </si>
  <si>
    <t>Projetos de Segurança do Trabalho</t>
  </si>
  <si>
    <t>Remoção de entulhos</t>
  </si>
  <si>
    <t>Medicamentos preventivos e de emergência</t>
  </si>
  <si>
    <t>Kit socorrista</t>
  </si>
  <si>
    <t>Dedetização, desratização e sanitização dos ambientes</t>
  </si>
  <si>
    <t>Almoxarife</t>
  </si>
  <si>
    <t>Estagiário</t>
  </si>
  <si>
    <t>Guincheiro</t>
  </si>
  <si>
    <t>Limpeza de obra</t>
  </si>
  <si>
    <t>Vigilância / portaria</t>
  </si>
  <si>
    <t>Limpeza mecanizada de camada vegetal</t>
  </si>
  <si>
    <t>Demolições</t>
  </si>
  <si>
    <t>Galpão provisório para canteiro de obra</t>
  </si>
  <si>
    <t>Rede provisória de água fria, esgoto e drenagem</t>
  </si>
  <si>
    <t>Redes provisória elétricas, comunicação e dados</t>
  </si>
  <si>
    <t>Locação de banheiro químico</t>
  </si>
  <si>
    <t>Sinalização geral da obra</t>
  </si>
  <si>
    <t>Mobiliário de apoio a obra</t>
  </si>
  <si>
    <t>Equipamentos de escritório</t>
  </si>
  <si>
    <t>Tapume em telha metálica trapezoidal</t>
  </si>
  <si>
    <t>Despesas de consumo - água e esgoto</t>
  </si>
  <si>
    <t>Despesas de consumo - luz/energia</t>
  </si>
  <si>
    <t>Despesas de consumo - internet</t>
  </si>
  <si>
    <t>Despesas de consumo - coleta de lixo</t>
  </si>
  <si>
    <t>Despesas de consumo - material de expediente/escritório</t>
  </si>
  <si>
    <t>Despesas de consumo - material de higiene e limpeza</t>
  </si>
  <si>
    <t>Fretes e custos com gasolina</t>
  </si>
  <si>
    <t>Consumo de cópias</t>
  </si>
  <si>
    <t>Despesas com vizinhos</t>
  </si>
  <si>
    <t>Esgotamento de sistema sanitário temporário</t>
  </si>
  <si>
    <t>Manutenção provisória do canteiro</t>
  </si>
  <si>
    <t>Manutenção provisória elétrica</t>
  </si>
  <si>
    <t>Manutenção provisória hidrossanitária</t>
  </si>
  <si>
    <t>Manutenção provisória de vigilância e acessos</t>
  </si>
  <si>
    <t>Equipamentos de apoio a obra</t>
  </si>
  <si>
    <t>Condutor de entulho vertical</t>
  </si>
  <si>
    <t>Carro utilitário para transporte de cargas ou pessoas</t>
  </si>
  <si>
    <t>Manutenção para carro para passageiros</t>
  </si>
  <si>
    <t>Locação de balancim</t>
  </si>
  <si>
    <t>Mão de obra de montagem e desmontagem de balancim</t>
  </si>
  <si>
    <t>Manutenção preventiva de elevador cremalheira</t>
  </si>
  <si>
    <t>Montagem e desmontagem de elevador cremalheira</t>
  </si>
  <si>
    <t>Mini grua</t>
  </si>
  <si>
    <t>Mini grua - Montagem inicial</t>
  </si>
  <si>
    <t>Mini grua - Desmontagem</t>
  </si>
  <si>
    <t>Escavação vertical de terreno com escavadeira</t>
  </si>
  <si>
    <t>Mão de obra empreitada para execução de estrutura de concreto armado em supraestrutura</t>
  </si>
  <si>
    <t>Instalações de água fria - Térreo</t>
  </si>
  <si>
    <t>Instalações de água quente - Térreo</t>
  </si>
  <si>
    <t>Instalações de esgoto/água pluvial - Térreo</t>
  </si>
  <si>
    <t>Aparelhos sanitários, louças, metais e acessórios - Térreo</t>
  </si>
  <si>
    <t>Instalações de água fria - 2° Pavimento Garagem</t>
  </si>
  <si>
    <t>Instalações de esgoto/água pluvial - 2° Pavimento Garagem</t>
  </si>
  <si>
    <t>Instalações de água fria - 3° Pavimento Garagem</t>
  </si>
  <si>
    <t>Instalações de esgoto/água pluvial - 3° Pavimento Garagem</t>
  </si>
  <si>
    <t>Aparelhos sanitários, louças, metais e acessórios - Diferenciado</t>
  </si>
  <si>
    <t>Aparelhos sanitários, louças, metais e acessórios - Duplex Inferior</t>
  </si>
  <si>
    <t>Instalações de água fria - Duplex Superior</t>
  </si>
  <si>
    <t>Instalações de água quente - Duplex Superior</t>
  </si>
  <si>
    <t>Instalações de esgoto/água pluvial - Duplex Superior</t>
  </si>
  <si>
    <t>Aparelhos sanitários, louças, metais e acessórios - Duplex Superior</t>
  </si>
  <si>
    <t>Aparelhos sanitários, louças, metais e acessórios - Rooftop</t>
  </si>
  <si>
    <t>Instalações de esgoto/água pluvial - Telhado</t>
  </si>
  <si>
    <t>Instalações de água fria - Reservatório Superior</t>
  </si>
  <si>
    <t>Instalações de gás</t>
  </si>
  <si>
    <t>Instalações preventivas</t>
  </si>
  <si>
    <t>Instalações de proteção e Aterramento SPDA</t>
  </si>
  <si>
    <t>Impermeabilização com tinta asfáltica em baldrames</t>
  </si>
  <si>
    <t>Piso de Concreto Armado E = 10cm</t>
  </si>
  <si>
    <t>Piso de cimento polido, acabamento camurçado, com espessura 2 cm</t>
  </si>
  <si>
    <t>Soleira de granito</t>
  </si>
  <si>
    <t>Esquadrias de alumínio - 2° Pavimento Garagem</t>
  </si>
  <si>
    <t>Esquadrias de alumínio - 3° Pavimento Garagem</t>
  </si>
  <si>
    <t>Esquadrias de alumínio - Diferenciado</t>
  </si>
  <si>
    <t>Esquadrias de alumínio - Tipo (x11)</t>
  </si>
  <si>
    <t>Esquadrias de alumínio - Duplex inferior</t>
  </si>
  <si>
    <t>Esquadrias de alumínio - Duplex Superior</t>
  </si>
  <si>
    <t>Esquadrias de alumínio - Rooftop</t>
  </si>
  <si>
    <t>Esquadrias de alumínio - Telhado</t>
  </si>
  <si>
    <t>Mão de obra para execução de cobertura em telha fibrocimento, estrutura de madeira</t>
  </si>
  <si>
    <t>Tela de aço soldada galvanizada/zincada para alvenaria, fio d = *1,24 mm, malha 25 X 25 mm</t>
  </si>
  <si>
    <t>Tratamento em Juntas de Dilatação com Tarugo de Polietileno e Selante</t>
  </si>
  <si>
    <t>Mão de obra empreitada para aplicação de cobogó</t>
  </si>
  <si>
    <t>Equipamentos para spa</t>
  </si>
  <si>
    <t>Equipamentos para piscina</t>
  </si>
  <si>
    <t>Aquisição do terreno</t>
  </si>
  <si>
    <t>SERVIÇOS</t>
  </si>
  <si>
    <t>P6 - PORTA DE ABRIR, 1 FOLHA, CORTA FOGO, 90 x 210 cm PCF 60</t>
  </si>
  <si>
    <t>P7 - PORTA DE ABRIR, 1 FOLHA, CORTA FOGO, 90 x 210 cm PCF 90</t>
  </si>
  <si>
    <t>Chapisco externo de argamassa preparada em obra traço 1:4, aplicada em estrutura, com desempenadeira dentada</t>
  </si>
  <si>
    <t>Chapisco aplicado em alvenaria, com desempenadeira dentada, argamassa preparada em obra 1:4</t>
  </si>
  <si>
    <t>Pintura com tinta externa - 2 demãos - cinza elefante</t>
  </si>
  <si>
    <t>Pintura com tinta externa - 2 demãos - patativa</t>
  </si>
  <si>
    <t>Acabamentos cerâmicos em fachada</t>
  </si>
  <si>
    <t>Revestimento de cerâmica amadeirada</t>
  </si>
  <si>
    <t>Revestimento de cerâmica vertical</t>
  </si>
  <si>
    <t>Tratamento em Juntas de Dilatação com Tarugo de polietileno e Selante</t>
  </si>
  <si>
    <t>Impermeabilização com argamassa polimérica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</si>
  <si>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</si>
  <si>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</si>
  <si>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</si>
  <si>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</si>
  <si>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</si>
  <si>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</si>
  <si>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</si>
  <si>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</si>
  <si>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</si>
  <si>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</si>
  <si>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</si>
  <si>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</si>
  <si>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</si>
  <si>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P8</t>
  </si>
  <si>
    <t>P9</t>
  </si>
  <si>
    <t>P10</t>
  </si>
  <si>
    <t>P11</t>
  </si>
  <si>
    <t>P15</t>
  </si>
  <si>
    <t>P16</t>
  </si>
  <si>
    <t>P17</t>
  </si>
  <si>
    <t>P18</t>
  </si>
  <si>
    <t>P19</t>
  </si>
  <si>
    <t>P22</t>
  </si>
  <si>
    <t>P24</t>
  </si>
  <si>
    <t>P27</t>
  </si>
  <si>
    <t>P29</t>
  </si>
  <si>
    <t>P32</t>
  </si>
  <si>
    <t>P25+P30</t>
  </si>
  <si>
    <t>P26+P31</t>
  </si>
  <si>
    <t>1091 - LOCAÇÃO DAS ESTACAS - R0.pdf // 1092 - LOCAÇÃO DAS ESTACAS - R0.pdf // 1093 - LOCAÇÃO DAS ESTACAS - R0.pdf // 1094 - LOCAÇÃO DAS ESTACAS - R0.pdf // 1095 - LOCAÇÃO DAS ESTACAS - R0.pdf // 1096 - LOCAÇÃO DAS ESTACAS - R0.pdf // 1097 - LOCAÇÃO DAS ESTACAS - R0.pdf // 1098 - LOCAÇÃO DAS ESTACAS - R0.pdf // 1099 - LOCAÇÃO DAS ESTACAS - R0.pdf // 1100 - LOCAÇÃO DAS ESTACAS - R0.pdf // 1101 - LOCAÇÃO DAS ESTACAS - R0.pdf // 1102 - LOCAÇÃO DAS ESTACAS - R0.pdf // 1103 - LOCAÇÃO DAS ESTACAS - R0.pdf // 1104 - LOCAÇÃO DAS ESTACAS - R0.pdf // 1105 - LOCAÇÃO DAS ESTACAS - R0.pdf // 1106 - LOCAÇÃO DAS ESTACAS - R0.pdf // 1107 - LOCAÇÃO DAS ESTACAS - R0.pdf // 1108 - LOCAÇÃO DAS ESTACAS - R0.pdf // 1109 - LOCAÇÃO DAS ESTACAS - R0.pdf // 1110 - LOCAÇÃO DAS ESTACAS - R0.pdf // 1111 - LOCAÇÃO DAS ESTACAS - R0.pdf // 1112 - LOCAÇÃO DAS ESTACAS - R0.pdf // 1113 - LOCAÇÃO DAS ESTACAS - R0.pdf // 1114 - LOCAÇÃO DAS ESTACAS - R0.pdf // 1115 - LOCAÇÃO DAS ESTACAS - R0.pdf // 1116 - LOCAÇÃO DAS ESTACAS - R0.pdf // 1117 - LOCAÇÃO DAS ESTACAS - R0.pdf // 1118 - LOCAÇÃO DAS ESTACAS - R0.pdf // 1119 - LOCAÇÃO DAS ESTACAS - R0.pdf // 1120 - LOCAÇÃO DAS ESTACAS - R0.pdf // 1121 - LOCAÇÃO DAS ESTACAS - R0.pdf // 1122 - LOCAÇÃO DAS ESTACAS - R0.pdf</t>
  </si>
  <si>
    <t>40MPa - Térreo</t>
  </si>
  <si>
    <t>RES. SUPERIOR</t>
  </si>
  <si>
    <t>CUBETAS</t>
  </si>
  <si>
    <t>Cubeta inteira</t>
  </si>
  <si>
    <t>Meia cubeta</t>
  </si>
  <si>
    <t>PAVIMENTO</t>
  </si>
  <si>
    <t>20x80x80</t>
  </si>
  <si>
    <t>CUBETA</t>
  </si>
  <si>
    <t>Mês</t>
  </si>
  <si>
    <t>Radier</t>
  </si>
  <si>
    <t>40MPa -Térreo</t>
  </si>
  <si>
    <t>Radier térreo</t>
  </si>
  <si>
    <t>TELA Q61</t>
  </si>
  <si>
    <t>QTD</t>
  </si>
  <si>
    <t>Telas Soldadas Nervuradas Q61</t>
  </si>
  <si>
    <t>TIPOS // Sense - Escada 04.pdf</t>
  </si>
  <si>
    <t>TÉRREO &gt;&gt; GARAGEM G2 // Sense - Escada 01.pdf</t>
  </si>
  <si>
    <t>GARAGEM G2 &gt;&gt; GARAGEM G3 // Sense - Escada 02.pdf</t>
  </si>
  <si>
    <t>GARAGEM G3 &gt;&gt; GARAGEM G4 // Sense - Escada 02.pdf</t>
  </si>
  <si>
    <t>GARAGEM G4 &gt;&gt; LAZER // Sense - Escada 03.pdf</t>
  </si>
  <si>
    <t>LAZER &gt;&gt; TIPO 1</t>
  </si>
  <si>
    <t>TIPO 20 &gt;&gt; COBERRTURA</t>
  </si>
  <si>
    <t>TIPO 1 &gt;&gt; TIPO 20</t>
  </si>
  <si>
    <t>Levantado pelo projeto arquitetônico</t>
  </si>
  <si>
    <t>Acabamento metálico para registro de gaveta</t>
  </si>
  <si>
    <t>Cozinhas</t>
  </si>
  <si>
    <t>A. Serv.</t>
  </si>
  <si>
    <t>Válvula de escoamento para cuba</t>
  </si>
  <si>
    <t>Cuba de cozinha</t>
  </si>
  <si>
    <t>Qtd.</t>
  </si>
  <si>
    <t>Tanque</t>
  </si>
  <si>
    <t>Torneira tanque</t>
  </si>
  <si>
    <t>Acabamento metálico para registro de pressão</t>
  </si>
  <si>
    <t>IMPERMEABILIZAÇÃO EM PAREDE DIVISA VIZINHO</t>
  </si>
  <si>
    <t>BF1</t>
  </si>
  <si>
    <t>BF2</t>
  </si>
  <si>
    <t>BF3</t>
  </si>
  <si>
    <t>BF4</t>
  </si>
  <si>
    <t>BF5</t>
  </si>
  <si>
    <t>BF6</t>
  </si>
  <si>
    <t>BF7</t>
  </si>
  <si>
    <t>BF8</t>
  </si>
  <si>
    <t>BF9</t>
  </si>
  <si>
    <t>BF10</t>
  </si>
  <si>
    <t>BF11</t>
  </si>
  <si>
    <t>BF12</t>
  </si>
  <si>
    <t>BF13</t>
  </si>
  <si>
    <t>BF14</t>
  </si>
  <si>
    <t>BF15</t>
  </si>
  <si>
    <t>BF16</t>
  </si>
  <si>
    <t>B9</t>
  </si>
  <si>
    <t>B10</t>
  </si>
  <si>
    <t>B11</t>
  </si>
  <si>
    <t>B18</t>
  </si>
  <si>
    <t>B(P25+P30)</t>
  </si>
  <si>
    <t>B(P26+P31)</t>
  </si>
  <si>
    <t>B24</t>
  </si>
  <si>
    <t>B27</t>
  </si>
  <si>
    <t>B29</t>
  </si>
  <si>
    <t>B32</t>
  </si>
  <si>
    <t>Sense - Blocos de Fundação.dwg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</si>
  <si>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</si>
  <si>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</si>
  <si>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</si>
  <si>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</si>
  <si>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</si>
  <si>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</si>
  <si>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</si>
  <si>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</si>
  <si>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</si>
  <si>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</si>
  <si>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</si>
  <si>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</si>
  <si>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</si>
  <si>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</si>
  <si>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</si>
  <si>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</si>
  <si>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</si>
  <si>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</si>
  <si>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</si>
  <si>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</si>
  <si>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</si>
  <si>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</si>
  <si>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</si>
  <si>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</si>
  <si>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</si>
  <si>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</si>
  <si>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</si>
  <si>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</si>
  <si>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</si>
  <si>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</si>
  <si>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</si>
  <si>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</si>
  <si>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</si>
  <si>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</si>
  <si>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</si>
  <si>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</si>
  <si>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</si>
  <si>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</si>
  <si>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</si>
  <si>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</si>
  <si>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</si>
  <si>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</si>
  <si>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</si>
  <si>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</si>
  <si>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</si>
  <si>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</si>
  <si>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</si>
  <si>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</si>
  <si>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</si>
  <si>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</si>
  <si>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</si>
  <si>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</si>
  <si>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</si>
  <si>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</si>
  <si>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</si>
  <si>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</si>
  <si>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</si>
  <si>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POÇOS DE ELEVADORES</t>
  </si>
  <si>
    <t>COMPRIMENTO DO POÇO</t>
  </si>
  <si>
    <t>LARGURA DO POÇO</t>
  </si>
  <si>
    <t>ESPESSURA DE CONCRETO</t>
  </si>
  <si>
    <t>ALTURA DO POÇO</t>
  </si>
  <si>
    <t>ALTURA INTERNA DO RESERVATÓRIO</t>
  </si>
  <si>
    <t>COMPRIMENTO INTERNO DO RESERVATÓRIO</t>
  </si>
  <si>
    <t>LARGURA INTERNA DO RESERVATÓRIO</t>
  </si>
  <si>
    <t>NÚMERO DE ELEVADORES</t>
  </si>
  <si>
    <t>ESPESSURA DE LASTRO PARA O POÇO</t>
  </si>
  <si>
    <t>ESPAÇAMENTO LATERAL PARA ESCAVAÇÃO</t>
  </si>
  <si>
    <t>VOLUME DE ESCAVAÇÃO</t>
  </si>
  <si>
    <t>VOLUME DE REATERRO</t>
  </si>
  <si>
    <t>VOLUME DE BOTA-FORA</t>
  </si>
  <si>
    <t>APILOAMENTO DE VALA</t>
  </si>
  <si>
    <t>VOLUME DE LASTRO</t>
  </si>
  <si>
    <t>COD.</t>
  </si>
  <si>
    <t>L</t>
  </si>
  <si>
    <t>e.C.</t>
  </si>
  <si>
    <t>h</t>
  </si>
  <si>
    <t>l</t>
  </si>
  <si>
    <t>b</t>
  </si>
  <si>
    <t>n</t>
  </si>
  <si>
    <t>CÓDIGO DA LAJE MACIÇA</t>
  </si>
  <si>
    <t>LADO 1 DA LAJE</t>
  </si>
  <si>
    <t>LADO 2 DA LAJE</t>
  </si>
  <si>
    <t>AREA DE LAJE</t>
  </si>
  <si>
    <t>ESPESSURA DA LAJE</t>
  </si>
  <si>
    <t>FORMAS DE COMPENSADO</t>
  </si>
  <si>
    <t>VOLUME DE CONCRETO</t>
  </si>
  <si>
    <t>Cód.</t>
  </si>
  <si>
    <t>L1</t>
  </si>
  <si>
    <t>L2</t>
  </si>
  <si>
    <t>e</t>
  </si>
  <si>
    <t>LE1</t>
  </si>
  <si>
    <t>LE2</t>
  </si>
  <si>
    <t>VIGAS BALDRAME</t>
  </si>
  <si>
    <t>PILARES ENTERRADOS</t>
  </si>
  <si>
    <t>DUTO E CISTERNA</t>
  </si>
  <si>
    <t>CÓDIGO DO RESERVATÓRIO</t>
  </si>
  <si>
    <t>NÚMERO DE REPETIÇÕES</t>
  </si>
  <si>
    <t>COMPRIMENTO DO RESERVATÓRIO</t>
  </si>
  <si>
    <t>LARGURA DO RESERVATÓRIO</t>
  </si>
  <si>
    <t>ALTURA DO RESERVATÓRIO</t>
  </si>
  <si>
    <t>ESPESSURA DE LASTRO PARA O RESERVATÓRIO</t>
  </si>
  <si>
    <t>FORMA DO RESERVATÓRIO</t>
  </si>
  <si>
    <t>CISTERNA</t>
  </si>
  <si>
    <t>TAMPA CISTERNA</t>
  </si>
  <si>
    <t>DUTO DE AR - TRECHO 1</t>
  </si>
  <si>
    <t>DUTO DE AR - TRECHO 2</t>
  </si>
  <si>
    <t>Comtempla escavação do poço e a concretagem do fundo</t>
  </si>
  <si>
    <t>CÓDIGO DO PILAR</t>
  </si>
  <si>
    <t>REPETIÇÕES</t>
  </si>
  <si>
    <t>LADO 1 DO PILAR</t>
  </si>
  <si>
    <t>LADO 2 DO PILAR</t>
  </si>
  <si>
    <t>ALTURA DO PILAR</t>
  </si>
  <si>
    <t>VOLUME DE       BOTA-FORA</t>
  </si>
  <si>
    <t>P25</t>
  </si>
  <si>
    <t>P26</t>
  </si>
  <si>
    <t>P30</t>
  </si>
  <si>
    <t>P31</t>
  </si>
  <si>
    <t>POÇO DO ELEVADOR</t>
  </si>
  <si>
    <t>LAJE RADIER</t>
  </si>
  <si>
    <t>Quantitativo conforme projetos, englobando blocos, baldrames, pilares enterrados e radier.</t>
  </si>
  <si>
    <t>Sarrafo</t>
  </si>
  <si>
    <t>um</t>
  </si>
  <si>
    <t>Compensado</t>
  </si>
  <si>
    <t xml:space="preserve">Pontalete </t>
  </si>
  <si>
    <t>Prego 17x21</t>
  </si>
  <si>
    <t>Desmoldante</t>
  </si>
  <si>
    <t>Arame</t>
  </si>
  <si>
    <t>Fabricação+montagem</t>
  </si>
  <si>
    <t>6x</t>
  </si>
  <si>
    <t>1x</t>
  </si>
  <si>
    <t>Fabricação</t>
  </si>
  <si>
    <t>COMPOSIÇÕES</t>
  </si>
  <si>
    <t>Montagem</t>
  </si>
  <si>
    <t>UN</t>
  </si>
  <si>
    <t>Considerada a impermeabilização do lado e  da parte de cima, PREVALECE quantidades do modelo.</t>
  </si>
  <si>
    <t>Pintura impermeaável para fachadas</t>
  </si>
  <si>
    <t>18kg/150m²</t>
  </si>
  <si>
    <t>VERIFICAR SE VEM MAT+MO</t>
  </si>
  <si>
    <t>Armação aço CA-50, diâmetro de 6,3mm para infraestrutura, corte e dobra em indústria</t>
  </si>
  <si>
    <t>Armação aço CA-50, diâmetro de 8,0mm para infraestrutura, corte e dobra em indústria</t>
  </si>
  <si>
    <t>Armação aço CA-50, diâmetro de 10,0mm para infraestrutura, corte e dobra em indústria</t>
  </si>
  <si>
    <t>Armação aço CA-50, diâmetro de 12,5mm para infraestrutura, corte e dobra em indústria</t>
  </si>
  <si>
    <t>Armação aço CA-50, diâmetro de 16,0mm para infraestrutura, corte e dobra em indústria</t>
  </si>
  <si>
    <t>Armação aço CA-50, diâmetro de 20,0mm para infraestrutura, corte e dobra em indústria</t>
  </si>
  <si>
    <t>Fabricação, Montagem e Desmontagem de Fôrma para Pilares de Arranque, em Tábua de Madeira</t>
  </si>
  <si>
    <t>Quantitativo conforme projetos, englobando blocos e baldrames.</t>
  </si>
  <si>
    <t>Quantitativo conforme projetos, englobando lajes do elevador e radier.</t>
  </si>
  <si>
    <t>Quantitativo conforme projetos, englobando pilares de arranque.</t>
  </si>
  <si>
    <t>TANQUE DE DESCARTE DE LODO</t>
  </si>
  <si>
    <t>DESINFCÇÃO</t>
  </si>
  <si>
    <t>DECANTADOR SECUNDÁRIO</t>
  </si>
  <si>
    <t>REATOR</t>
  </si>
  <si>
    <t>DECANTADOR PRIMARIO</t>
  </si>
  <si>
    <t>Área impermeabilização</t>
  </si>
  <si>
    <t>Altura útil</t>
  </si>
  <si>
    <t>Diâmetro</t>
  </si>
  <si>
    <t>CAP. ÁGUA CHUVA</t>
  </si>
  <si>
    <t>Pontalete</t>
  </si>
  <si>
    <t>Prego</t>
  </si>
  <si>
    <t>Tábua</t>
  </si>
  <si>
    <t>BLOCOS DE FUNDAÇÃO E VIGAS BALDRAME</t>
  </si>
  <si>
    <t>Aquisição de escoras de madeira</t>
  </si>
  <si>
    <t>Quantidades solicitadas pela Holze.</t>
  </si>
  <si>
    <t>Complementares (cubetas)</t>
  </si>
  <si>
    <t>Fabricação e montagem de forma p/ Escadas Compensado Plástificado 17mm 6x</t>
  </si>
  <si>
    <t>custo mensal</t>
  </si>
  <si>
    <t>Concreto usinado bombeável, para supraestrutura, fck 35MPa, slump = 14 +/- 3 B01, incluindo serviço de bombeamento</t>
  </si>
  <si>
    <t>Concreto usinado bombeável, para supraestrutura, fck 40MPa, slump = 14 +/- 3 B1, incluindo serviço de bombeamento</t>
  </si>
  <si>
    <t>Mão de obra empreitada para polimento de piso</t>
  </si>
  <si>
    <t>Mão de obra empreitada para execução de chapisco e reboco em paredes internas</t>
  </si>
  <si>
    <t>Mão de obra de contrapiso e regularização</t>
  </si>
  <si>
    <t>Porta Corta Fogo 90x210 completa P60</t>
  </si>
  <si>
    <t>Mão de obra empreitada para execução de infraestrutura</t>
  </si>
  <si>
    <t>Porta Corta Fogo 90x210 completa P90</t>
  </si>
  <si>
    <t>Concreto usinado bombeável, para infraestrutura, fck 40 MPa, slump = 14 +/- 3 B01, incluindo serviço de bombeamento</t>
  </si>
  <si>
    <t>Fabricação, Montagem e Desmontagem de Fôrma para Lajes da fundação em Tábua de Madeira*</t>
  </si>
  <si>
    <t>Regularização de superfície com argamassa usinada, espessura de 3 cm</t>
  </si>
  <si>
    <t>Regularização de superfície com argamassa usinada, espessura de 5 cm</t>
  </si>
  <si>
    <t>Regularização de superfície com argamassa usinada, espessura de 1 cm</t>
  </si>
  <si>
    <t>Impermeabilização Rígida</t>
  </si>
  <si>
    <t>IMPERMEABILIZAÇÃO E TRATAMENTOS - TÉRREO</t>
  </si>
  <si>
    <t>IMPERMEABILIZAÇÃO E TRATAMENTOS - GARAGEM 02</t>
  </si>
  <si>
    <t>IMPERMEABILIZAÇÃO E TRATAMENTOS - GARAGEM 03</t>
  </si>
  <si>
    <t>IMPERMEABILIZAÇÃO E TRATAMENTOS - GARAGEM 04</t>
  </si>
  <si>
    <t>IMPERMEABILIZAÇÃO E TRATAMENTOS - LAZER</t>
  </si>
  <si>
    <t>IMPERMEABILIZAÇÃO E TRATAMENTOS - TIPOS (x20)</t>
  </si>
  <si>
    <t>IMPERMEABILIZAÇÃO E TRATAMENTOS - COBERTURA</t>
  </si>
  <si>
    <t>IMPERMEABILIZAÇÃO E TRATAMENTOS - PAV. TÉCNICOS</t>
  </si>
  <si>
    <t>Impermeabilização de superfície com manta, duas camadas, E=4mm - M.O. e Material</t>
  </si>
  <si>
    <t>Impermeabilização de fachada</t>
  </si>
  <si>
    <t>Pintura impermeável para fachadas</t>
  </si>
  <si>
    <t>Mão de obra para impermeabilização de fachada</t>
  </si>
  <si>
    <t>Custo/m</t>
  </si>
  <si>
    <t>ÁREA CONSTRUÍDA</t>
  </si>
  <si>
    <t>1,5 %</t>
  </si>
  <si>
    <t>FACHADA FRONTAL - .CHAPISCO ARGAMASSADO EXTERNO</t>
  </si>
  <si>
    <t>FACHADA LATERAL DIREITA - .CHAPISCO ARGAMASSADO EXTERNO</t>
  </si>
  <si>
    <t>FACHADA LATERAL ESQUERDA - .CHAPISCO ARGAMASSADO EXTERNO</t>
  </si>
  <si>
    <t>FACHADA POSTERIOR - .CHAPISCO ARGAMASSADO EXTERNO</t>
  </si>
  <si>
    <t>FACHADA FRONTAL - .CHAPISCO ARGAMASSADO PARA ESTRUTURA EXTERNO</t>
  </si>
  <si>
    <t>FACHADA LATERAL DIREITA - .CHAPISCO ARGAMASSADO PARA ESTRUTURA EXTERNO</t>
  </si>
  <si>
    <t>FACHADA LATERAL ESQUERDA - .CHAPISCO ARGAMASSADO PARA ESTRUTURA EXTERNO</t>
  </si>
  <si>
    <t>FACHADA POSTERIOR - .CHAPISCO ARGAMASSADO PARA ESTRUTURA EXTERNO</t>
  </si>
  <si>
    <t>FACHADA FRONTAL - .REBOCO ARGAMASSADO EXTERNO</t>
  </si>
  <si>
    <t>FACHADA LATERAL DIREITA - .REBOCO ARGAMASSADO EXTERNO</t>
  </si>
  <si>
    <t>FACHADA LATERAL ESQUERDA - .REBOCO ARGAMASSADO EXTERNO</t>
  </si>
  <si>
    <t>FACHADA POSTERIOR - .REBOCO ARGAMASSADO EXTERNO</t>
  </si>
  <si>
    <t>FACHADA FRONTAL - REVESTIMENTO EXTERNO - PINTURA PARA FACHADA, ELEFANTE</t>
  </si>
  <si>
    <t>FACHADA FRONTAL - REVESTIMENTO EXTERNO - PINTURA PARA FACHADA, PATATIVA</t>
  </si>
  <si>
    <t>FACHADA FRONTAL - REVESTIMENTO EXTERNO - TEXTURA GRAFIATO PARA FACHADA, ELEFANTE</t>
  </si>
  <si>
    <t>FACHADA FRONTAL - REVESTIMENTO EXTERNO - TEXTURA GRAFIATO PARA FACHADA, NANQUIM</t>
  </si>
  <si>
    <t>FACHADA FRONTAL - REVESTIMENTO EXTERNO - TEXTURA GRAFIATO PARA FACHADA,PATATIVA</t>
  </si>
  <si>
    <t>FACHADA FRONTAL - REVESTIMENTO EXTERNO - TEXTURA GRAFITO PARA FACHADA, ELEFANTE</t>
  </si>
  <si>
    <t>FACHADA LATERAL DIREITA - REVESTIMENTO EXTERNO - TEXTURA GRAFIATO PARA FACHADA, ELEFANTE</t>
  </si>
  <si>
    <t>FACHADA LATERAL DIREITA - REVESTIMENTO EXTERNO - TEXTURA GRAFIATO PARA FACHADA,PATATIVA</t>
  </si>
  <si>
    <t>FACHADA LATERAL DIREITA - REVESTIMENTO EXTERNO - TEXTURA GRAFITO PARA FACHADA, ELEFANTE</t>
  </si>
  <si>
    <t>FACHADA LATERAL DIREITA - REVESTIMENTO EXTERNO - TEXTURA PARA FACHADA, LAZER EXTERNO</t>
  </si>
  <si>
    <t>FACHADA LATERAL ESQUERDA - REVESTIMENTO EXTERNO - PINTURA PARA FACHADA, DIVISA VIZINHO</t>
  </si>
  <si>
    <t>FACHADA LATERAL ESQUERDA - REVESTIMENTO EXTERNO - TEXTURA GRAFIATO PARA FACHADA, ELEFANTE</t>
  </si>
  <si>
    <t>FACHADA LATERAL ESQUERDA - REVESTIMENTO EXTERNO - TEXTURA GRAFIATO PARA FACHADA,PATATIVA</t>
  </si>
  <si>
    <t>FACHADA LATERAL ESQUERDA - REVESTIMENTO EXTERNO - TEXTURA GRAFITO PARA FACHADA, ELEFANTE</t>
  </si>
  <si>
    <t>FACHADA LATERAL ESQUERDA - REVESTIMENTO EXTERNO - TEXTURA PARA FACHADA, LAZER EXTERNO</t>
  </si>
  <si>
    <t>FACHADA POSTERIOR - REVESTIMENTO EXTERNO - PINTURA PARA FACHADA, DIVISA VIZINHO</t>
  </si>
  <si>
    <t>FACHADA POSTERIOR - REVESTIMENTO EXTERNO - TEXTURA GRAFIATO PARA FACHADA, ELEFANTE</t>
  </si>
  <si>
    <t>FACHADA POSTERIOR - REVESTIMENTO EXTERNO - TEXTURA GRAFIATO PARA FACHADA,PATATIVA</t>
  </si>
  <si>
    <t>FACHADA POSTERIOR - REVESTIMENTO EXTERNO - TEXTURA GRAFITO PARA FACHADA, ELEFANTE</t>
  </si>
  <si>
    <t>FACHADA POSTERIOR - REVESTIMENTO EXTERNO - TEXTURA PARA FACHADA, LAZER EXTERNO</t>
  </si>
  <si>
    <t>FACHADA FRONTAL - 0303_CERAMICA MADEIRA ALVENARIA FACHADA - REVESTIMENTO EXTERNO - CERAMICA PARA FACHADA</t>
  </si>
  <si>
    <t>FACHADA LATERAL ESQUERDA - 0303_CERAMICA MADEIRA ALVENARIA FACHADA - REVESTIMENTO EXTERNO - CERAMICA PARA FACHADA</t>
  </si>
  <si>
    <t>FACHADA FRONTAL - 0304_CERAMICA MADEIRA ESTRUTURA FACHADA - REVESTIMENTO EXTERNO - CERAMICA PARA FACHADA</t>
  </si>
  <si>
    <t>FACHADA FRONTAL - 0305_CERAMICA VERTICAL ALVENARIA FACHADA - REVESTIMENTO EXTERNO - CERAMICA PARA FACHADA</t>
  </si>
  <si>
    <t>FACHADA FRONTAL - 0306_CERAMICA VERTICAL ESTRUTURA FACHADA - REVESTIMENTO EXTERNO - CERAMICA PARA FACHADA</t>
  </si>
  <si>
    <t>FACHADA LATERAL ESQUERDA - 0307_CERAMICA MADEIRA ALVENARIA FACHADA, DIVISA VIZINHO - REVESTIMENTO EXTERNO - CERAMICA PARA FACHADA</t>
  </si>
  <si>
    <t>FACHADA LATERAL ESQUERDA - 0308_CERAMICA MADEIRA ESTRUTURA FACHADA - DIVISA VIZINHO - REVESTIMENTO EXTERNO - CERAMICA PARA FACHADA</t>
  </si>
  <si>
    <t>FRONTAL</t>
  </si>
  <si>
    <t>LATERAL DIREITA</t>
  </si>
  <si>
    <t>LATERAL ESQUERDA</t>
  </si>
  <si>
    <t>POSTERIOR</t>
  </si>
  <si>
    <t>REVESTIMENTOS E ACABAMENTOS EM FACHADA - FRONTAL</t>
  </si>
  <si>
    <t>REVESTIMENTOS E ACABAMENTOS EM FACHADA - LATERAL DIREITA</t>
  </si>
  <si>
    <t>REVESTIMENTOS E ACABAMENTOS EM FACHADA - LATERAL ESQUERDA</t>
  </si>
  <si>
    <t>REVESTIMENTOS E ACABAMENTOS EM FACHADA - POSTERIOR</t>
  </si>
  <si>
    <t>Mão de obra para aplicação de textura com pintura em paredes externas - 1 demão</t>
  </si>
  <si>
    <t>Reboco para paredes externas em argamassa usinada, aplicação manual, espessura de 3cm, com execução de taliscas</t>
  </si>
  <si>
    <t>Mão de obra para empreitada para execução de chapisco e reboco em paredes externas</t>
  </si>
  <si>
    <t>Textura acrílica com pintura, aplicação em paredes externas - 1 demão - cinza elefante</t>
  </si>
  <si>
    <t>Textura acrílica com pintura, aplicação em paredes externas - 1 demão - patativa</t>
  </si>
  <si>
    <t>Textura acrílica com pintura, aplicação em paredes externas - 1 demão - nanquim</t>
  </si>
  <si>
    <t>Textura acrílica com pintura, aplicação em paredes externas - 1 demão - lazer</t>
  </si>
  <si>
    <t>Mão de obra empreitada para aplicação de pintura acrílica em paredes externas, 2 demãos</t>
  </si>
  <si>
    <t>Mão de obra empreitada para assentamento de cerâmicas em paredes externas</t>
  </si>
  <si>
    <t>FUNDAÇÕES</t>
  </si>
  <si>
    <t>IMPERMEABILIZAÇAO RESERVATÓRIO ENTERRADO</t>
  </si>
  <si>
    <t>Impermeabilização cisterna</t>
  </si>
  <si>
    <t>IMPERMEABILIZAÇAO DUTO</t>
  </si>
  <si>
    <t>Impermeabilização duto</t>
  </si>
  <si>
    <t>IMPERMEABILIZAÇAO EM ETE</t>
  </si>
  <si>
    <t>Impermeabilização com resina epóxi alcatrão</t>
  </si>
  <si>
    <t>IMPERMEABILIZAÇÃO TANQUE DE LODO</t>
  </si>
  <si>
    <t>IMPERMEABILIZAÇÃO CAPTAÇÃO DE ÁGUA DA CHUVA</t>
  </si>
  <si>
    <t>Impermeabilização de reservatório de água da chuva</t>
  </si>
  <si>
    <t>IMPERMEABILIZAÇÃO</t>
  </si>
  <si>
    <t>Impermeabilização flexível com manta</t>
  </si>
  <si>
    <t>Impermeabilização de superfície com manta, uma camada, E=4mm - M.O. e Material</t>
  </si>
  <si>
    <t>WC P.N.E.</t>
  </si>
  <si>
    <t>WC</t>
  </si>
  <si>
    <t>D.M.L.</t>
  </si>
  <si>
    <t>Lava pés</t>
  </si>
  <si>
    <t xml:space="preserve">WC </t>
  </si>
  <si>
    <t>WC Piscina</t>
  </si>
  <si>
    <t>BWC 01</t>
  </si>
  <si>
    <t>BWC 02</t>
  </si>
  <si>
    <t>TIPO (20X)</t>
  </si>
  <si>
    <t>Salão de festas</t>
  </si>
  <si>
    <t>Espaço gourmet e sala de jogos</t>
  </si>
  <si>
    <t>Quiosque</t>
  </si>
  <si>
    <t>Geral</t>
  </si>
  <si>
    <t>QUANTIFICAÇÃO</t>
  </si>
  <si>
    <t>Piscina</t>
  </si>
  <si>
    <t>Descrição quantitativo</t>
  </si>
  <si>
    <t>unidade</t>
  </si>
  <si>
    <t>Preço unitário</t>
  </si>
  <si>
    <t>Preço total</t>
  </si>
  <si>
    <t xml:space="preserve">un </t>
  </si>
  <si>
    <t>BR - BOCAL DE RETORNO QUADRA AÇO INOX 316-L CRISTAL LED ENCAIXE P/ TUBO DE 50mm</t>
  </si>
  <si>
    <t xml:space="preserve">COADEIRA COMPACTA CRISTAL LED EM ABS C/ ACABAMENTO FRENTE EM INOX </t>
  </si>
  <si>
    <t>TAMPA ARTICULADA GDA 110X110cm CÓDIGO 3140</t>
  </si>
  <si>
    <t>RALO DE FUNDO QUADRA ANTI-TURBILHÃO (16X16cm) E ANTI-APRISIONAMENTO COM DIFUSOR DE SOBREPOR EM AÇO INOX CRISTAL LED</t>
  </si>
  <si>
    <t>BOCAL DE ASPIRAÇÃO QUADRA ANTI-TURBILHÃO E ANTI-APRISIONAMENTO AÇO INOX 316-L CRISTAL LED ENCAIXE P/ TUBO DE 50mm</t>
  </si>
  <si>
    <t>FILTRO DANCOR DRF-24-13</t>
  </si>
  <si>
    <t>BOMBA DANCOR AUTO ASPITANTE PF-17 1,5cv</t>
  </si>
  <si>
    <t>BOMBA DANCOR AUTO ASPITANTE PF-17 1cv</t>
  </si>
  <si>
    <t>TROCADOR DE CALOR SODRAMAR SD 160 1cv</t>
  </si>
  <si>
    <t>Pintura de piso em garagem, com tinta epóxi, aplicação manual, 3 demãos</t>
  </si>
  <si>
    <t>Mão de obra empreitada para aplicação de tinta epoxi em piso, incluindo faixas de garagem</t>
  </si>
  <si>
    <t>Pintura de piso em escadarias, com resina acrílica de base solvente, aplicação manual, 3 demãos</t>
  </si>
  <si>
    <t>Mão de obra empreitada para pintura sobre estucamento em paredes e tetos</t>
  </si>
  <si>
    <t>Mão de obra empreitada para pintura com massa corrida em paredes e tetos</t>
  </si>
  <si>
    <t>Mão de obra empreitada para aplicação de texturas em paredes e tetos</t>
  </si>
  <si>
    <t>ESPAÇO FITNESS</t>
  </si>
  <si>
    <t>Esteira</t>
  </si>
  <si>
    <t>Bicicleta ergométrica</t>
  </si>
  <si>
    <t>Banco de musculação</t>
  </si>
  <si>
    <t>Halteres</t>
  </si>
  <si>
    <t>Espelho grande</t>
  </si>
  <si>
    <t>Colchonete</t>
  </si>
  <si>
    <t>Bola suíça</t>
  </si>
  <si>
    <t>Acessórios (faixas elásticas, fitas de suspensão, etc.)</t>
  </si>
  <si>
    <t>Tapete</t>
  </si>
  <si>
    <t>Estante</t>
  </si>
  <si>
    <t>Mesinha e cadeiras</t>
  </si>
  <si>
    <t>Caixa de brinquedos</t>
  </si>
  <si>
    <t>Tenda</t>
  </si>
  <si>
    <t>Lousa</t>
  </si>
  <si>
    <t>Espelho</t>
  </si>
  <si>
    <t>Almofadas</t>
  </si>
  <si>
    <t>Luzes</t>
  </si>
  <si>
    <t>Plantas artificiais</t>
  </si>
  <si>
    <t>Mesas</t>
  </si>
  <si>
    <t>Cadeiras</t>
  </si>
  <si>
    <t>Iluminação</t>
  </si>
  <si>
    <t>Decoração</t>
  </si>
  <si>
    <t>Copos, talheres, pratos</t>
  </si>
  <si>
    <t>Kit churrasqueira</t>
  </si>
  <si>
    <t>SALÃO DE FESTAS</t>
  </si>
  <si>
    <t>SALÃO GOURMET</t>
  </si>
  <si>
    <t>Mesa de jantar</t>
  </si>
  <si>
    <t>Banquetas</t>
  </si>
  <si>
    <t>Mesa de bilhar</t>
  </si>
  <si>
    <t>Geladeira</t>
  </si>
  <si>
    <t>Freezer/Adega</t>
  </si>
  <si>
    <t>ESPAÇO FITNESS ABERTO</t>
  </si>
  <si>
    <t>PLAYGROUND</t>
  </si>
  <si>
    <t>PRAÇA DE FOGO E REDÁRIO</t>
  </si>
  <si>
    <t>Redário</t>
  </si>
  <si>
    <t>Poltronas</t>
  </si>
  <si>
    <t>Mesa de centro</t>
  </si>
  <si>
    <t>Luminárias</t>
  </si>
  <si>
    <t>Vasos</t>
  </si>
  <si>
    <t>Marcenaria</t>
  </si>
  <si>
    <t>Revestimento de piso de pedra</t>
  </si>
  <si>
    <t>ESPAÇO ZEN/JARDIM</t>
  </si>
  <si>
    <t>QUIOSQUE</t>
  </si>
  <si>
    <t>Cooktop</t>
  </si>
  <si>
    <t>TERRAÇO PISCINA</t>
  </si>
  <si>
    <t>Fogueira</t>
  </si>
  <si>
    <t>Espreguiçadeiras externa</t>
  </si>
  <si>
    <t>Espreguiçadeira de piscina</t>
  </si>
  <si>
    <t>Mesa</t>
  </si>
  <si>
    <t>Mesinhas</t>
  </si>
  <si>
    <t>HALL DE ENTRADA</t>
  </si>
  <si>
    <t>Impermeabilização de superfície com manta asfáltica colada com asfalto derretido, uma camada, E=4mm - M.O. e Material</t>
  </si>
  <si>
    <t>Instalações de água fria - Tipo (x20)</t>
  </si>
  <si>
    <t>Instalações de água quente - Tipo (x20)</t>
  </si>
  <si>
    <t>Instalações de esgoto/água pluvial - Tipo (x20)</t>
  </si>
  <si>
    <t>Aparelhos sanitários, louças, metais e acessórios - Tipo (x20)</t>
  </si>
  <si>
    <t>Mão de obra para assentamento de blocos</t>
  </si>
  <si>
    <t>SISTEMAS E INSTALAÇÕES HIDROSSANITÁRIAS E DRENAGEM - TÉRREO</t>
  </si>
  <si>
    <t>SISTEMAS E INSTALAÇÕES HIDROSSANITÁRIAS E DRENAGEM - GARAGEM G2</t>
  </si>
  <si>
    <t>SISTEMAS E INSTALAÇÕES HIDROSSANITÁRIAS E DRENAGEM - GARAGEM G3</t>
  </si>
  <si>
    <t>SISTEMAS E INSTALAÇÕES HIDROSSANITÁRIAS E DRENAGEM - GARAGEM G4</t>
  </si>
  <si>
    <t>SISTEMAS E INSTALAÇÕES HIDROSSANITÁRIAS E DRENAGEM - LAZER</t>
  </si>
  <si>
    <t>SISTEMAS E INSTALAÇÕES HIDROSSANITÁRIAS E DRENAGEM - TIPOS (x20)</t>
  </si>
  <si>
    <t>SISTEMAS E INSTALAÇÕES HIDROSSANITÁRIAS E DRENAGEM - COBERTURA E RESERVATÓRIO</t>
  </si>
  <si>
    <t>Instalações de esgoto/água pluvial</t>
  </si>
  <si>
    <t>Sistema de bombas - Térreo</t>
  </si>
  <si>
    <t>Instalações de esgoto/água pluvial - 4° Pavimento Garagem</t>
  </si>
  <si>
    <t>Instalações de água fria - 4° Pavimento Garagem</t>
  </si>
  <si>
    <t>Instalações de água fria - Lazer</t>
  </si>
  <si>
    <t>Instalações de água quente - Lazer</t>
  </si>
  <si>
    <t>Instalações de esgoto/água pluvial - Lazer</t>
  </si>
  <si>
    <t>INSTALAÇÕES PREVENTIVAS E GÁS</t>
  </si>
  <si>
    <t>Mão de obra empreitada para execução de instalações preventivas e gás</t>
  </si>
  <si>
    <t>CLIMATIZAÇÃO E EXAUSTÃO</t>
  </si>
  <si>
    <t>REVESTIMENTOS INTERNOS EM PISO E PAREDE</t>
  </si>
  <si>
    <t>REVESTIMENTOS INTERNOS EM PISO E PAREDE -TÉRREO</t>
  </si>
  <si>
    <t>REVESTIMENTOS INTERNOS EM PISO E PAREDE - GARAGEM G2</t>
  </si>
  <si>
    <t>REVESTIMENTOS INTERNOS EM PISO E PAREDE - GARAGEM G3</t>
  </si>
  <si>
    <t>REVESTIMENTOS INTERNOS EM PISO E PAREDE - GARAGEM G4</t>
  </si>
  <si>
    <t>REVESTIMENTOS INTERNOS EM PISO E PAREDE - LAZER</t>
  </si>
  <si>
    <t>REVESTIMENTOS INTERNOS EM PISO E PAREDE - TIPOS (x20)</t>
  </si>
  <si>
    <t>REVESTIMENTOS INTERNOS EM PISO E PAREDE - COBERTURA</t>
  </si>
  <si>
    <t>REVESTIMENTOS INTERNOS EM PISO E PAREDE - PAV. TÉCNICOS</t>
  </si>
  <si>
    <t>ALVENARIA, VEDAÇÕES E DIVISÓRIAS - COBERTURA</t>
  </si>
  <si>
    <t>Instalações de Comunicações</t>
  </si>
  <si>
    <t>Mão de obra empreitada para estucamento em estrutura de concreto</t>
  </si>
  <si>
    <t>Piso emborrachado MAT+MO</t>
  </si>
  <si>
    <t>Mão de obra para fixação de contramarco com parafuso</t>
  </si>
  <si>
    <t>Mão de obra empreitada para tratamento de juntas de dilatação</t>
  </si>
  <si>
    <t>Painéis  solares</t>
  </si>
  <si>
    <t>Mão de obra para instalação de louças e metais sanitários</t>
  </si>
  <si>
    <t>Fechadura eletrônica</t>
  </si>
  <si>
    <t>Fechadura eletrônica com leitura facial</t>
  </si>
  <si>
    <t>Considerando portas de aberturas de apto e lazer</t>
  </si>
  <si>
    <t>Sistema de interfone</t>
  </si>
  <si>
    <t>Estimativa por área construída.</t>
  </si>
  <si>
    <t>Estofado de banco</t>
  </si>
  <si>
    <t>Mesinhas de madeira</t>
  </si>
  <si>
    <t>Sombreiros</t>
  </si>
  <si>
    <t>Lixeiras</t>
  </si>
  <si>
    <t>Sofá branco de linho</t>
  </si>
  <si>
    <t>Quadros</t>
  </si>
  <si>
    <t>Iluminação no forro</t>
  </si>
  <si>
    <t>Iluminação pendente</t>
  </si>
  <si>
    <t>Iluminação abertura</t>
  </si>
  <si>
    <t>Colchonete de ioga</t>
  </si>
  <si>
    <t>Toalhas</t>
  </si>
  <si>
    <t>Banquetas madeira</t>
  </si>
  <si>
    <t>Iluminação rústica</t>
  </si>
  <si>
    <t>Fitas de LED</t>
  </si>
  <si>
    <t>Caixas</t>
  </si>
  <si>
    <t>Televisão</t>
  </si>
  <si>
    <t>Marmoraria</t>
  </si>
  <si>
    <t>Painéis solares</t>
  </si>
  <si>
    <t>Instalações de água quente - 4° Pavimento Garagem</t>
  </si>
  <si>
    <t>CUSTOS INDIRETOS</t>
  </si>
  <si>
    <t>REVESTIMENTOS E ACABAMENTOS EM FACHADA</t>
  </si>
  <si>
    <t>Instalações de água fria - Cobertura e Pav. Técnico</t>
  </si>
  <si>
    <t>Instalações de esgoto/água pluvial - Cobertura e Pav. Técnico</t>
  </si>
  <si>
    <t>Instalações de água quente - Cobertura e Pav. Técnico</t>
  </si>
  <si>
    <t>Estação de Tratamento de Esgoto</t>
  </si>
  <si>
    <t>Considerando impemerabilização de duto, reservatório e cisternas, além de banheiro e fosso do elevador</t>
  </si>
  <si>
    <t>Sistema ETE</t>
  </si>
  <si>
    <t>Desconsiderado, pois PCF 60 é fora de norma.</t>
  </si>
  <si>
    <t>Custo diário</t>
  </si>
  <si>
    <t>Custo mensal</t>
  </si>
  <si>
    <t>Qtd</t>
  </si>
  <si>
    <t>Pendente</t>
  </si>
  <si>
    <t>UNIDADE CONSTRUTIVA</t>
  </si>
  <si>
    <t>CUSTOS DIRETOS</t>
  </si>
  <si>
    <t xml:space="preserve">01 </t>
  </si>
  <si>
    <t>AQUISIÇÃO DO TERRENO</t>
  </si>
  <si>
    <t xml:space="preserve">01.000.001 </t>
  </si>
  <si>
    <t xml:space="preserve">01.000.001.001 </t>
  </si>
  <si>
    <t xml:space="preserve">02 </t>
  </si>
  <si>
    <t>ESTUDOS, PROJETOS E CONSULTORIAS</t>
  </si>
  <si>
    <t xml:space="preserve">02.001 </t>
  </si>
  <si>
    <t xml:space="preserve">02.001.001 </t>
  </si>
  <si>
    <t xml:space="preserve">02.001.001.001 </t>
  </si>
  <si>
    <t xml:space="preserve">02.001.002 </t>
  </si>
  <si>
    <t xml:space="preserve">02.001.002.001 </t>
  </si>
  <si>
    <t xml:space="preserve">02.001.003 </t>
  </si>
  <si>
    <t xml:space="preserve">02.001.003.001 </t>
  </si>
  <si>
    <t xml:space="preserve">02.001.004 </t>
  </si>
  <si>
    <t xml:space="preserve">02.001.004.001 </t>
  </si>
  <si>
    <t xml:space="preserve">02.001.005 </t>
  </si>
  <si>
    <t xml:space="preserve">02.001.005.001 </t>
  </si>
  <si>
    <t xml:space="preserve">02.002 </t>
  </si>
  <si>
    <t>PROJETOS</t>
  </si>
  <si>
    <t xml:space="preserve">02.002.000.001 </t>
  </si>
  <si>
    <t xml:space="preserve">02.002.001 </t>
  </si>
  <si>
    <t>Projetos Integrados</t>
  </si>
  <si>
    <t xml:space="preserve">02.002.001.001 </t>
  </si>
  <si>
    <t xml:space="preserve">02.002.002 </t>
  </si>
  <si>
    <t xml:space="preserve"> Projeto de interiores</t>
  </si>
  <si>
    <t xml:space="preserve">02.002.002.001 </t>
  </si>
  <si>
    <t xml:space="preserve">02.002.003 </t>
  </si>
  <si>
    <t>Projetos Estrutural e Fundações</t>
  </si>
  <si>
    <t xml:space="preserve">02.002.003.001 </t>
  </si>
  <si>
    <t xml:space="preserve">02.002.003.002 </t>
  </si>
  <si>
    <t xml:space="preserve">02.003 </t>
  </si>
  <si>
    <t>CONSULTORIAS</t>
  </si>
  <si>
    <t xml:space="preserve">02.003.001 </t>
  </si>
  <si>
    <t xml:space="preserve">02.003.001.001 </t>
  </si>
  <si>
    <t xml:space="preserve">02.003.002 </t>
  </si>
  <si>
    <t>Softwares</t>
  </si>
  <si>
    <t xml:space="preserve">02.003.002.001 </t>
  </si>
  <si>
    <t xml:space="preserve">02.003.002.002 </t>
  </si>
  <si>
    <t xml:space="preserve">02.003.002.003 </t>
  </si>
  <si>
    <t xml:space="preserve">02.004 </t>
  </si>
  <si>
    <t>ENSAIOS E LAUDOS</t>
  </si>
  <si>
    <t xml:space="preserve">02.004.001 </t>
  </si>
  <si>
    <t xml:space="preserve">02.004.001.001 </t>
  </si>
  <si>
    <t xml:space="preserve">02.004.002 </t>
  </si>
  <si>
    <t>Arrancamento de argamassa</t>
  </si>
  <si>
    <t xml:space="preserve">02.004.002.001 </t>
  </si>
  <si>
    <t xml:space="preserve">03 </t>
  </si>
  <si>
    <t>TAXAS, DOCUMENTOS</t>
  </si>
  <si>
    <t xml:space="preserve">03.001 </t>
  </si>
  <si>
    <t xml:space="preserve">03.001.001 </t>
  </si>
  <si>
    <t xml:space="preserve">03.001.001.001 </t>
  </si>
  <si>
    <t xml:space="preserve">03.001.002 </t>
  </si>
  <si>
    <t>Aprovações e legalização</t>
  </si>
  <si>
    <t xml:space="preserve">03.001.002.001 </t>
  </si>
  <si>
    <t xml:space="preserve">03.001.002.002 </t>
  </si>
  <si>
    <t xml:space="preserve">03.001.002.003 </t>
  </si>
  <si>
    <t xml:space="preserve">03.001.002.004 </t>
  </si>
  <si>
    <t xml:space="preserve">03.001.002.005 </t>
  </si>
  <si>
    <t xml:space="preserve">03.001.003 </t>
  </si>
  <si>
    <t>Taxas de ART, cartório, licenças, certidões e jurídicas</t>
  </si>
  <si>
    <t xml:space="preserve">03.001.003.001 </t>
  </si>
  <si>
    <t xml:space="preserve">03.001.003.002 </t>
  </si>
  <si>
    <t xml:space="preserve">03.001.004 </t>
  </si>
  <si>
    <t xml:space="preserve">03.001.004.001 </t>
  </si>
  <si>
    <t xml:space="preserve">03.001.005 </t>
  </si>
  <si>
    <t xml:space="preserve">03.001.005.001 </t>
  </si>
  <si>
    <t xml:space="preserve">03.001.006 </t>
  </si>
  <si>
    <t>Incorporação</t>
  </si>
  <si>
    <t xml:space="preserve">03.001.006.001 </t>
  </si>
  <si>
    <t xml:space="preserve">03.001.007 </t>
  </si>
  <si>
    <t>IPTU</t>
  </si>
  <si>
    <t xml:space="preserve">03.001.007.001 </t>
  </si>
  <si>
    <t xml:space="preserve">03.001.008 </t>
  </si>
  <si>
    <t>Taxa Habite-se</t>
  </si>
  <si>
    <t xml:space="preserve">03.001.008.001 </t>
  </si>
  <si>
    <t xml:space="preserve">03.001.009 </t>
  </si>
  <si>
    <t xml:space="preserve">03.001.009.001 </t>
  </si>
  <si>
    <t xml:space="preserve">03.001.010 </t>
  </si>
  <si>
    <t xml:space="preserve">03.001.010.001 </t>
  </si>
  <si>
    <t xml:space="preserve">03.001.011 </t>
  </si>
  <si>
    <t xml:space="preserve">03.001.011.001 </t>
  </si>
  <si>
    <t xml:space="preserve">03.001.012 </t>
  </si>
  <si>
    <t xml:space="preserve">03.001.012.001 </t>
  </si>
  <si>
    <t xml:space="preserve">04 </t>
  </si>
  <si>
    <t>SEGURANÇA, MEIO AMBIENTE E SAÚDE</t>
  </si>
  <si>
    <t xml:space="preserve">04.001 </t>
  </si>
  <si>
    <t xml:space="preserve">04.001.001 </t>
  </si>
  <si>
    <t>Serviço terceirizado de segurança e técnico</t>
  </si>
  <si>
    <t xml:space="preserve">04.001.001.001 </t>
  </si>
  <si>
    <t xml:space="preserve">04.002 </t>
  </si>
  <si>
    <t>EQUIPAMENTOS DE PROTEÇÃO</t>
  </si>
  <si>
    <t xml:space="preserve">04.002.001 </t>
  </si>
  <si>
    <t>EPI</t>
  </si>
  <si>
    <t xml:space="preserve">04.002.001.001 </t>
  </si>
  <si>
    <t xml:space="preserve">04.002.002 </t>
  </si>
  <si>
    <t>Bandejas de proteção</t>
  </si>
  <si>
    <t xml:space="preserve">04.002.002.001 </t>
  </si>
  <si>
    <t xml:space="preserve">04.002.002.002 </t>
  </si>
  <si>
    <t xml:space="preserve">04.002.003 </t>
  </si>
  <si>
    <t>Guarda-corpos, fechamentos removíveis e proteções</t>
  </si>
  <si>
    <t xml:space="preserve">04.002.003.001 </t>
  </si>
  <si>
    <t xml:space="preserve">04.002.003.002 </t>
  </si>
  <si>
    <t xml:space="preserve">04.002.003.003 </t>
  </si>
  <si>
    <t xml:space="preserve">04.002.003.004 </t>
  </si>
  <si>
    <t xml:space="preserve">04.002.003.005 </t>
  </si>
  <si>
    <t xml:space="preserve">04.002.004 </t>
  </si>
  <si>
    <t>Tela fachadeira e SLQA</t>
  </si>
  <si>
    <t xml:space="preserve">04.002.004.001 </t>
  </si>
  <si>
    <t xml:space="preserve">04.002.004.002 </t>
  </si>
  <si>
    <t xml:space="preserve">04.002.005 </t>
  </si>
  <si>
    <t xml:space="preserve">04.002.005.001 </t>
  </si>
  <si>
    <t xml:space="preserve">04.002.006 </t>
  </si>
  <si>
    <t>PPRA / PCMSO / PCMAT / Projetos de segurança do trabalho</t>
  </si>
  <si>
    <t xml:space="preserve">04.002.006.001 </t>
  </si>
  <si>
    <t xml:space="preserve">04.002.006.002 </t>
  </si>
  <si>
    <t xml:space="preserve">04.002.006.003 </t>
  </si>
  <si>
    <t xml:space="preserve">04.002.006.004 </t>
  </si>
  <si>
    <t xml:space="preserve">04.002.007 </t>
  </si>
  <si>
    <t xml:space="preserve">04.002.007.001 </t>
  </si>
  <si>
    <t xml:space="preserve">04.002.008 </t>
  </si>
  <si>
    <t>Medicamentos preventivos e kit socorrista</t>
  </si>
  <si>
    <t xml:space="preserve">04.002.008.001 </t>
  </si>
  <si>
    <t xml:space="preserve">04.002.008.002 </t>
  </si>
  <si>
    <t xml:space="preserve">04.002.009 </t>
  </si>
  <si>
    <t>Detetização</t>
  </si>
  <si>
    <t xml:space="preserve">04.002.009.001 </t>
  </si>
  <si>
    <t xml:space="preserve">05 </t>
  </si>
  <si>
    <t>ADMINISTRAÇÃO E CANTEIRO DE OBRA</t>
  </si>
  <si>
    <t xml:space="preserve">05.001 </t>
  </si>
  <si>
    <t xml:space="preserve">05.001.001 </t>
  </si>
  <si>
    <t xml:space="preserve">05.001.001.001 </t>
  </si>
  <si>
    <t xml:space="preserve">05.001.002 </t>
  </si>
  <si>
    <t>Mestre de obras</t>
  </si>
  <si>
    <t xml:space="preserve">05.001.002.001 </t>
  </si>
  <si>
    <t xml:space="preserve">05.001.003 </t>
  </si>
  <si>
    <t xml:space="preserve">05.001.003.001 </t>
  </si>
  <si>
    <t xml:space="preserve">05.001.004 </t>
  </si>
  <si>
    <t>Auxiliar de engenharia</t>
  </si>
  <si>
    <t xml:space="preserve">05.001.004.001 </t>
  </si>
  <si>
    <t xml:space="preserve">05.001.005 </t>
  </si>
  <si>
    <t xml:space="preserve"> Servente</t>
  </si>
  <si>
    <t xml:space="preserve">05.001.005.001 </t>
  </si>
  <si>
    <t xml:space="preserve">05.001.006 </t>
  </si>
  <si>
    <t xml:space="preserve">05.001.006.001 </t>
  </si>
  <si>
    <t xml:space="preserve">05.001.007 </t>
  </si>
  <si>
    <t xml:space="preserve">05.001.007.001 </t>
  </si>
  <si>
    <t xml:space="preserve">05.001.008 </t>
  </si>
  <si>
    <t>Pessoas de Vigilância / portaria</t>
  </si>
  <si>
    <t xml:space="preserve">05.001.008.001 </t>
  </si>
  <si>
    <t xml:space="preserve">05.001.009 </t>
  </si>
  <si>
    <t xml:space="preserve">05.001.009.001 </t>
  </si>
  <si>
    <t xml:space="preserve">05.002 </t>
  </si>
  <si>
    <t>CANTEIRO DE OBRAS</t>
  </si>
  <si>
    <t xml:space="preserve">05.002.001 </t>
  </si>
  <si>
    <t xml:space="preserve">05.002.001.001 </t>
  </si>
  <si>
    <t xml:space="preserve">05.002.002 </t>
  </si>
  <si>
    <t xml:space="preserve">05.002.002.001 </t>
  </si>
  <si>
    <t xml:space="preserve">05.002.003 </t>
  </si>
  <si>
    <t>instalações provisórias / Galpão</t>
  </si>
  <si>
    <t xml:space="preserve">05.002.003.001 </t>
  </si>
  <si>
    <t xml:space="preserve">05.002.004 </t>
  </si>
  <si>
    <t xml:space="preserve">05.002.004.001 </t>
  </si>
  <si>
    <t xml:space="preserve">05.002.005 </t>
  </si>
  <si>
    <t xml:space="preserve">05.002.005.001 </t>
  </si>
  <si>
    <t xml:space="preserve">05.002.006 </t>
  </si>
  <si>
    <t xml:space="preserve">05.002.006.001 </t>
  </si>
  <si>
    <t xml:space="preserve">05.002.007 </t>
  </si>
  <si>
    <t>Sinalização de obra</t>
  </si>
  <si>
    <t xml:space="preserve">05.002.007.001 </t>
  </si>
  <si>
    <t xml:space="preserve">05.002.008 </t>
  </si>
  <si>
    <t xml:space="preserve">05.002.008.001 </t>
  </si>
  <si>
    <t xml:space="preserve">05.002.009 </t>
  </si>
  <si>
    <t xml:space="preserve">05.002.009.001 </t>
  </si>
  <si>
    <t xml:space="preserve">05.002.010 </t>
  </si>
  <si>
    <t xml:space="preserve">05.002.010.001 </t>
  </si>
  <si>
    <t xml:space="preserve">05.003 </t>
  </si>
  <si>
    <t>DESPESAS DE CONSUMO</t>
  </si>
  <si>
    <t xml:space="preserve">05.003.001 </t>
  </si>
  <si>
    <t>Aluguel do terreno</t>
  </si>
  <si>
    <t xml:space="preserve">05.003.001.001 </t>
  </si>
  <si>
    <t xml:space="preserve">05.003.002 </t>
  </si>
  <si>
    <t>Despesas de consumo de água, esgoto, energia, telefonia e coleta de lixo</t>
  </si>
  <si>
    <t xml:space="preserve">05.003.002.001 </t>
  </si>
  <si>
    <t xml:space="preserve">05.003.002.002 </t>
  </si>
  <si>
    <t xml:space="preserve">05.003.002.003 </t>
  </si>
  <si>
    <t xml:space="preserve">05.003.002.004 </t>
  </si>
  <si>
    <t xml:space="preserve">05.003.003 </t>
  </si>
  <si>
    <t>Despesas de consumo de material de expediente/escritório e higiene/limpeza</t>
  </si>
  <si>
    <t xml:space="preserve">05.003.003.001 </t>
  </si>
  <si>
    <t xml:space="preserve">05.003.003.002 </t>
  </si>
  <si>
    <t xml:space="preserve">05.003.004 </t>
  </si>
  <si>
    <t>Confraternizações em obra</t>
  </si>
  <si>
    <t xml:space="preserve">05.003.004.001 </t>
  </si>
  <si>
    <t xml:space="preserve">05.003.005 </t>
  </si>
  <si>
    <t xml:space="preserve">05.003.005.001 </t>
  </si>
  <si>
    <t xml:space="preserve">05.003.006 </t>
  </si>
  <si>
    <t>Manutenções provisórias de canteiro, elétrica, hidrossanitária, vigilância e acessos</t>
  </si>
  <si>
    <t xml:space="preserve">05.003.006.001 </t>
  </si>
  <si>
    <t xml:space="preserve">05.003.006.002 </t>
  </si>
  <si>
    <t xml:space="preserve">05.003.006.003 </t>
  </si>
  <si>
    <t xml:space="preserve">05.003.006.004 </t>
  </si>
  <si>
    <t xml:space="preserve">05.003.007 </t>
  </si>
  <si>
    <t>Despesas com veículos</t>
  </si>
  <si>
    <t xml:space="preserve">05.003.007.001 </t>
  </si>
  <si>
    <t xml:space="preserve">05.003.007.002 </t>
  </si>
  <si>
    <t xml:space="preserve">06 </t>
  </si>
  <si>
    <t xml:space="preserve">06.001 </t>
  </si>
  <si>
    <t xml:space="preserve">06.001.001 </t>
  </si>
  <si>
    <t>Ferramentas e equipamentos de apoio e condutor de entulho vertical</t>
  </si>
  <si>
    <t xml:space="preserve">06.001.001.001 </t>
  </si>
  <si>
    <t xml:space="preserve">06.001.001.002 </t>
  </si>
  <si>
    <t xml:space="preserve">06.001.001.003 </t>
  </si>
  <si>
    <t xml:space="preserve">06.001.001.004 </t>
  </si>
  <si>
    <t xml:space="preserve">06.001.001.005 </t>
  </si>
  <si>
    <t xml:space="preserve">06.001.002 </t>
  </si>
  <si>
    <t>Manutenção de ferramentas e equipamentos</t>
  </si>
  <si>
    <t xml:space="preserve">06.001.002.001 </t>
  </si>
  <si>
    <t xml:space="preserve">06.002 </t>
  </si>
  <si>
    <t>ELEVADOR CREMALHEIRA</t>
  </si>
  <si>
    <t xml:space="preserve">06.002.001 </t>
  </si>
  <si>
    <t xml:space="preserve">06.002.001.001 </t>
  </si>
  <si>
    <t xml:space="preserve">06.002.002 </t>
  </si>
  <si>
    <t xml:space="preserve">06.002.002.001 </t>
  </si>
  <si>
    <t xml:space="preserve">06.002.003 </t>
  </si>
  <si>
    <t xml:space="preserve">06.002.003.001 </t>
  </si>
  <si>
    <t xml:space="preserve">06.003 </t>
  </si>
  <si>
    <t>MINIGRUA</t>
  </si>
  <si>
    <t xml:space="preserve">06.003.001 </t>
  </si>
  <si>
    <t>Montagem e desmontagem de Minigrua</t>
  </si>
  <si>
    <t xml:space="preserve">06.003.001.001 </t>
  </si>
  <si>
    <t xml:space="preserve">06.003.001.002 </t>
  </si>
  <si>
    <t xml:space="preserve">06.003.002 </t>
  </si>
  <si>
    <t xml:space="preserve">06.003.002.001 </t>
  </si>
  <si>
    <t xml:space="preserve">06.003.003 </t>
  </si>
  <si>
    <t xml:space="preserve">06.003.003.001 </t>
  </si>
  <si>
    <t>2x GARAGEM</t>
  </si>
  <si>
    <t>3X TIPO</t>
  </si>
  <si>
    <t>DUTO DE AR - TETO</t>
  </si>
  <si>
    <t>DUTO DE AR - TRECHO 1.1</t>
  </si>
  <si>
    <t>Alvenaria de vedação de blocos cerâmicos furados na horizontal de 14x19x29cm com argamassa usinada para assentamento</t>
  </si>
  <si>
    <t>Alvenaria de vedação de blocos cerâmicos furados na horizontal de 11,5x19x29cm com argamassa usinada para assentamento</t>
  </si>
  <si>
    <t>Proteção mecânica em superfície impermeabilizada com argamassa usinada, espessura 4cm</t>
  </si>
  <si>
    <t>Alvenaria de vedação de blocos cerâmicos furados na horizontal de 9x19x29cm com argamassa usinada para assentamento</t>
  </si>
  <si>
    <t>Sofa</t>
  </si>
  <si>
    <t>Poltrona</t>
  </si>
  <si>
    <t>Mesa de apoio lateral</t>
  </si>
  <si>
    <t>Marcenaria hall entrada</t>
  </si>
  <si>
    <t>Verba</t>
  </si>
  <si>
    <t>Marcenaria espaço ftness</t>
  </si>
  <si>
    <t>Smart TV Samsung 58" UHD 4K 58CU7700 2023, Processador Crystal 4K, Gaming Hub Tela sem Limites 58"</t>
  </si>
  <si>
    <t>Anilhas com apoio</t>
  </si>
  <si>
    <t>BRINQUEDOTECA</t>
  </si>
  <si>
    <t>Tapete redondo</t>
  </si>
  <si>
    <t>R00 - Patricia Bragato</t>
  </si>
  <si>
    <t>Interfonia</t>
  </si>
  <si>
    <t>Aparelho interfone</t>
  </si>
  <si>
    <t>pç</t>
  </si>
  <si>
    <t>Porteiro externo</t>
  </si>
  <si>
    <t>Centro de acesso digital</t>
  </si>
  <si>
    <t>Fechadura solenoide</t>
  </si>
  <si>
    <t>Fechadura eletromagnetica</t>
  </si>
  <si>
    <t>Fonte alimentação</t>
  </si>
  <si>
    <t>no Break</t>
  </si>
  <si>
    <t>Bateria</t>
  </si>
  <si>
    <t>Botão de saida</t>
  </si>
  <si>
    <t>Tag id</t>
  </si>
  <si>
    <t>Junta em um serviço só, é a mesma composição</t>
  </si>
  <si>
    <t>esse serviço é por m no permiemtro</t>
  </si>
  <si>
    <t>BANHEIROS</t>
  </si>
  <si>
    <t>Decoração (Espelhos, vasos)</t>
  </si>
  <si>
    <t>Banco com barra de supino</t>
  </si>
  <si>
    <t>Estrutura metálica com barras</t>
  </si>
  <si>
    <t>Gaiola de agachamento</t>
  </si>
  <si>
    <t>Kit barras de supino com suporte</t>
  </si>
  <si>
    <t>Presilhas</t>
  </si>
  <si>
    <t>Piso emborrachado de sobrepor</t>
  </si>
  <si>
    <t>Marcenaria brinquedoteca</t>
  </si>
  <si>
    <t>Cortina</t>
  </si>
  <si>
    <t>Estação de torre com escorregador tubular</t>
  </si>
  <si>
    <t>Elementos decorativos</t>
  </si>
  <si>
    <t>WC PISCINA</t>
  </si>
  <si>
    <t>Mantas e almofadas</t>
  </si>
  <si>
    <t>Sofá branco dcom elementos de couro</t>
  </si>
  <si>
    <t>REVESTIMENTO DE PISO DE PEDRA</t>
  </si>
  <si>
    <t>PAVIMENTO TIPO</t>
  </si>
  <si>
    <t>WC comercial</t>
  </si>
  <si>
    <t>Sense106</t>
  </si>
  <si>
    <t>HOLZE Empreendimentos</t>
  </si>
  <si>
    <t>R00</t>
  </si>
  <si>
    <t>DADOS OBRA</t>
  </si>
  <si>
    <t>ARQUITETURA</t>
  </si>
  <si>
    <t>ÁREA DO TERRENO</t>
  </si>
  <si>
    <t>M2</t>
  </si>
  <si>
    <t>NÚMERO DE UNIDADES HABITACIONAIS</t>
  </si>
  <si>
    <t>MESES DE OBRA</t>
  </si>
  <si>
    <t>MÊS</t>
  </si>
  <si>
    <t>NÚMERO DE PAVIMENTOS</t>
  </si>
  <si>
    <t>LEVANTAMENTO QUANTITATIVO</t>
  </si>
  <si>
    <t>Equipamentos de proteção coletiva</t>
  </si>
  <si>
    <t>Perímetro de projeção embasamento</t>
  </si>
  <si>
    <t>Número de montagens de bandeja primária</t>
  </si>
  <si>
    <t>Perímetro de projeção torre</t>
  </si>
  <si>
    <t>Bandeja de proteção primária</t>
  </si>
  <si>
    <t>Número de montagens de bandeja secundária</t>
  </si>
  <si>
    <t>Bandeja de proteção secundária</t>
  </si>
  <si>
    <t>Guarda - corpo de desforma</t>
  </si>
  <si>
    <t>Perímetro de projeção da torre</t>
  </si>
  <si>
    <t>Repetições de pavimentos**</t>
  </si>
  <si>
    <t>Proteção de periferia pós desforma torre</t>
  </si>
  <si>
    <t>Tela fachadeira</t>
  </si>
  <si>
    <t>Area da fachada coberta</t>
  </si>
  <si>
    <t xml:space="preserve">Fechamento removível de vãos em madeira </t>
  </si>
  <si>
    <t xml:space="preserve">Área das portas de elevadores </t>
  </si>
  <si>
    <t>Quantidade de elevadores</t>
  </si>
  <si>
    <t>Quantidade de portas de elevadores</t>
  </si>
  <si>
    <t>Guarda - corpo de vãos</t>
  </si>
  <si>
    <t>Perímetro de vãos</t>
  </si>
  <si>
    <t>Tapume</t>
  </si>
  <si>
    <t>Perímetro de encontro com pavimentação</t>
  </si>
  <si>
    <t>Altura do tapume</t>
  </si>
  <si>
    <t>Área de tapume</t>
  </si>
  <si>
    <t>Perímetro da torre</t>
  </si>
  <si>
    <t>SLQA</t>
  </si>
  <si>
    <t>Altura de cobrimento da tela</t>
  </si>
  <si>
    <t>Tela SQLA</t>
  </si>
  <si>
    <t>Area de fossos</t>
  </si>
  <si>
    <t>Numero de pavimentos</t>
  </si>
  <si>
    <t>Área de fechamento de fossos</t>
  </si>
  <si>
    <t>Instalações de canteiro</t>
  </si>
  <si>
    <t>Produtividade média</t>
  </si>
  <si>
    <t>ac/prazo</t>
  </si>
  <si>
    <t>Pm</t>
  </si>
  <si>
    <t xml:space="preserve">h/m2 </t>
  </si>
  <si>
    <t>Numero de funcionários</t>
  </si>
  <si>
    <t>Equipe administrativa</t>
  </si>
  <si>
    <t>Pontos de água e esgoto</t>
  </si>
  <si>
    <t>20 funcionários/ponto</t>
  </si>
  <si>
    <t>Bebedouro</t>
  </si>
  <si>
    <t>1 / 5 pav.</t>
  </si>
  <si>
    <t>R$</t>
  </si>
  <si>
    <t>800,00/func.</t>
  </si>
  <si>
    <t>500,00/func.</t>
  </si>
  <si>
    <t xml:space="preserve">Banheiro </t>
  </si>
  <si>
    <t>1/20 func</t>
  </si>
  <si>
    <t>Mobiliário de canteiro</t>
  </si>
  <si>
    <t>Custo total</t>
  </si>
  <si>
    <t>Cadeira</t>
  </si>
  <si>
    <t>Ar condicionado</t>
  </si>
  <si>
    <t>Armário</t>
  </si>
  <si>
    <t>Escrivaninha</t>
  </si>
  <si>
    <t>Computador pessoal</t>
  </si>
  <si>
    <t>Impressora</t>
  </si>
  <si>
    <t>Roteador</t>
  </si>
  <si>
    <t>COND.01</t>
  </si>
  <si>
    <t>Descrição/Especificação</t>
  </si>
  <si>
    <t>V. Unit. (R$)</t>
  </si>
  <si>
    <t>Qtde.</t>
  </si>
  <si>
    <t>V. Total
(R$)</t>
  </si>
  <si>
    <t>CONTROLE TECNOLÓGICO  - CONCRETO</t>
  </si>
  <si>
    <t>Laudo e ART</t>
  </si>
  <si>
    <t>Controle Tecnologico - Coleta materiais da obra</t>
  </si>
  <si>
    <t>unid.</t>
  </si>
  <si>
    <t xml:space="preserve">4 CPs por caminhão betoneira de 8m³ </t>
  </si>
  <si>
    <t>Controle Tecnológico - Ensaio de concreto endurecido/grouth - compressão simples / Detalhe: Concreto</t>
  </si>
  <si>
    <t>cps</t>
  </si>
  <si>
    <t>Determinação do módulo de deformação tangente inicial (Eci) (módulo de elasticidade), Incluindo Avaliação Estática dos Resultados (NBR 8522 e NBR 12655)</t>
  </si>
  <si>
    <t>ensaio</t>
  </si>
  <si>
    <r>
      <t>A cada 5 pav.</t>
    </r>
    <r>
      <rPr>
        <sz val="9"/>
        <color theme="0" tint="-0.499984740745262"/>
        <rFont val="Poppins"/>
      </rPr>
      <t xml:space="preserve"> (e quando houver troca de fornecedor)</t>
    </r>
  </si>
  <si>
    <t>SUBTOTAL:</t>
  </si>
  <si>
    <t>ENSAIOS PARA ARGAMASSA DE REVESTIMENTO (FACHADA)</t>
  </si>
  <si>
    <r>
      <rPr>
        <b/>
        <sz val="9"/>
        <rFont val="Poppins"/>
      </rPr>
      <t xml:space="preserve">Ensaio de arrancamento de argamassa de revestimento </t>
    </r>
    <r>
      <rPr>
        <sz val="9"/>
        <rFont val="Poppins"/>
      </rPr>
      <t xml:space="preserve">
Determinação da aderencia a tração</t>
    </r>
  </si>
  <si>
    <t>ensaios</t>
  </si>
  <si>
    <t>1 ensaio por torre</t>
  </si>
  <si>
    <t xml:space="preserve">VALOR TOTAL: </t>
  </si>
  <si>
    <t>VALOR TOTAL</t>
  </si>
  <si>
    <t>Custo conforme respostas informadas no formulário de custos indiretos.</t>
  </si>
  <si>
    <t>Estimativa por ponto</t>
  </si>
  <si>
    <t>Custo atualizado conforme solicitação do dia 27/10/2024</t>
  </si>
  <si>
    <t>Aquisição de elevador cremalheira</t>
  </si>
  <si>
    <t>Custo inserido  conforme solicitação do dia 27/10/2024</t>
  </si>
  <si>
    <t>Manutenção preventiva de elevador cremalheira + ascensão</t>
  </si>
  <si>
    <t>Forma - 2° Pavimento</t>
  </si>
  <si>
    <t>Armadura - 2° Pavimento</t>
  </si>
  <si>
    <t>Concreto  - 2° Pavimento</t>
  </si>
  <si>
    <t>Complementares (escoras e cubetas) - 2° Pavimento</t>
  </si>
  <si>
    <t>Mão de obra - 2° Pavimento</t>
  </si>
  <si>
    <t>Forma - 3° Pavimento</t>
  </si>
  <si>
    <t>Armadura - 3° Pavimento</t>
  </si>
  <si>
    <t>Concreto - 3° Pavimento</t>
  </si>
  <si>
    <t>Complementares (cubetas) - 3° Pavimento</t>
  </si>
  <si>
    <t>Mão de obra - 3° Pavimento</t>
  </si>
  <si>
    <t>Manutenção periódica de minigrua + ascensão</t>
  </si>
  <si>
    <t>Custo atualizado conforme solicitação do dia 27/10/2024 / Alteração na profundidade das estacas.</t>
  </si>
  <si>
    <t>Alvenaria de vedação de blocos cerâmicos furados na horizontal de 19x19x29cm com argamassa estabilizada para assentamento</t>
  </si>
  <si>
    <t>Massa única para paredes internas em argamassa estabilizada, aplicação manual, espessura de 2cm, com execução de taliscas</t>
  </si>
  <si>
    <t>Massa única para teto em argamassa estabilizada, aplicação manual, espessura de 2cm, com execução de taliscas</t>
  </si>
  <si>
    <t>Mão de obra empreitada para execução de estrutura de concreto armado em supraestrutura - 2º pavimento</t>
  </si>
  <si>
    <t>Mão de obra empreitada para execução de estrutura de concreto armado em supraestrutura - Lazer</t>
  </si>
  <si>
    <t>Mão de obra empreitada para execução de estrutura de concreto armado em supraestrutura - Tipos</t>
  </si>
  <si>
    <t>Aquisição de Elevador cremalheira</t>
  </si>
  <si>
    <t>10x</t>
  </si>
  <si>
    <t>RAMPAS</t>
  </si>
  <si>
    <t>Fabricação e montagem de forma p/ Rampas e Escadas Compensado Plastificado 17mm 10x</t>
  </si>
  <si>
    <t>Fabricação e montagem de forma Compensado Plástificado 17mm para Pilar 10x</t>
  </si>
  <si>
    <t>Fabricação e montagem de forma Compensado Plástificado 17mm para Laje Nervurada 10x</t>
  </si>
  <si>
    <t>Fabricação e montagem de forma Compensado Plástificado 17mm para Viga 10x</t>
  </si>
  <si>
    <t>Custo atualizado conforme solicitação do dia 27/10/2024 / Atualização na quantidade de usos.</t>
  </si>
  <si>
    <t>R01 - Edileni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</si>
</sst>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_);_(&quot;R$&quot;* \(#,##0\);_(&quot;R$&quot;* &quot;-&quot;_);_(@_)"/>
    <numFmt numFmtId="165" formatCode="_(* #,##0_);_(* \(#,##0\);_(* &quot;-&quot;_);_(@_)"/>
    <numFmt numFmtId="166" formatCode="_(&quot;R$&quot;* #,##0.00_);_(&quot;R$&quot;* \(#,##0.00\);_(&quot;R$&quot;* &quot;-&quot;??_);_(@_)"/>
    <numFmt numFmtId="167" formatCode="_(* #,##0.00_);_(* \(#,##0.00\);_(* &quot;-&quot;??_);_(@_)"/>
    <numFmt numFmtId="168" formatCode="0.0"/>
    <numFmt numFmtId="169" formatCode="dd/mm/yy;@"/>
    <numFmt numFmtId="170" formatCode="0.000"/>
    <numFmt numFmtId="171" formatCode="#.##000"/>
    <numFmt numFmtId="172" formatCode="#.##0,"/>
    <numFmt numFmtId="173" formatCode="\$#,#00"/>
    <numFmt numFmtId="174" formatCode="\$#,"/>
    <numFmt numFmtId="175" formatCode="#,#00"/>
    <numFmt numFmtId="176" formatCode="%#,#00"/>
    <numFmt numFmtId="177" formatCode="_([$€-2]* #,##0.00_);_([$€-2]* \(#,##0.00\);_([$€-2]* &quot;-&quot;??_)"/>
    <numFmt numFmtId="178" formatCode="#,"/>
    <numFmt numFmtId="179" formatCode="#,##0.0"/>
    <numFmt numFmtId="180" formatCode="#,##0.000"/>
    <numFmt numFmtId="181" formatCode="#,##0.0000"/>
    <numFmt numFmtId="182" formatCode="General_)"/>
    <numFmt numFmtId="183" formatCode="_(&quot;R$ &quot;* #,##0.00_);_(&quot;R$ &quot;* \(#,##0.00\);_(&quot;R$ &quot;* &quot;-&quot;??_);_(@_)"/>
    <numFmt numFmtId="184" formatCode="&quot;R$&quot;\ #,##0.00"/>
    <numFmt numFmtId="185" formatCode="_-* #,##0.00_-;\-* #,##0.00_-;_-* &quot;-&quot;??_-;_-@"/>
    <numFmt numFmtId="186" formatCode="_(* #,##0_);_(* \(#,##0\);_(* &quot;-&quot;??_);_(@_)"/>
    <numFmt numFmtId="187" formatCode="_-&quot;R$&quot;\ * #,##0.0000_-;\-&quot;R$&quot;\ * #,##0.0000_-;_-&quot;R$&quot;\ * &quot;-&quot;??_-;_-@_-"/>
    <numFmt numFmtId="188" formatCode="_-* #,##0.00_-;\-* #,##0.00_-;_-* \-??_-;_-@_-"/>
    <numFmt numFmtId="189" formatCode="0.0000"/>
    <numFmt numFmtId="190" formatCode="0#"/>
    <numFmt numFmtId="191" formatCode="00#"/>
    <numFmt numFmtId="192" formatCode="0000"/>
    <numFmt numFmtId="193" formatCode="00000"/>
    <numFmt numFmtId="194" formatCode="###,##0.0000"/>
    <numFmt numFmtId="195" formatCode="##,##0.0000"/>
    <numFmt numFmtId="196" formatCode="#0.0000"/>
    <numFmt numFmtId="197" formatCode="##0.0000"/>
    <numFmt numFmtId="198" formatCode="_-&quot;R$&quot;\ * #,##0.00_-;\-&quot;R$&quot;\ * #,##0.00_-;_-&quot;R$&quot;\ * &quot;-&quot;??_-;_-@"/>
    <numFmt numFmtId="199" formatCode="#,##0.00000"/>
    <numFmt numFmtId="200" formatCode="_(* #,##0.0000_);_(* \(#,##0.0000\);_(* &quot;-&quot;??_);_(@_)"/>
    <numFmt numFmtId="201" formatCode="#,###,##0.0000"/>
  </numFmts>
  <fonts count="1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Swis721 Lt BT"/>
      <family val="2"/>
    </font>
    <font>
      <sz val="1"/>
      <color indexed="18"/>
      <name val="Courier"/>
      <family val="3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indexed="8"/>
      <name val="Arial"/>
      <family val="2"/>
    </font>
    <font>
      <b/>
      <sz val="8"/>
      <name val="Times New Roman"/>
      <family val="1"/>
    </font>
    <font>
      <sz val="8"/>
      <color indexed="81"/>
      <name val="Tahoma"/>
      <family val="2"/>
    </font>
    <font>
      <sz val="8"/>
      <name val="Trebuchet MS"/>
      <family val="2"/>
    </font>
    <font>
      <sz val="8"/>
      <color rgb="FFFF000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MS Sans Serif"/>
      <family val="2"/>
    </font>
    <font>
      <sz val="14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i/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color rgb="FFF717D7"/>
      <name val="Arial"/>
      <family val="2"/>
    </font>
    <font>
      <sz val="8"/>
      <color rgb="FF0000FF"/>
      <name val="Arial"/>
      <family val="2"/>
    </font>
    <font>
      <sz val="10"/>
      <color rgb="FFFF00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8"/>
      <color theme="6" tint="-0.499984740745262"/>
      <name val="Arial"/>
      <family val="2"/>
    </font>
    <font>
      <b/>
      <sz val="9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color theme="8" tint="-0.499984740745262"/>
      <name val="Calibri"/>
      <family val="2"/>
      <scheme val="minor"/>
    </font>
    <font>
      <b/>
      <sz val="9"/>
      <color theme="0" tint="-0.249977111117893"/>
      <name val="Calibri"/>
      <family val="2"/>
      <scheme val="minor"/>
    </font>
    <font>
      <sz val="8"/>
      <color theme="0" tint="-0.249977111117893"/>
      <name val="Arial"/>
      <family val="2"/>
    </font>
    <font>
      <b/>
      <i/>
      <sz val="9"/>
      <color indexed="8"/>
      <name val="Calibri"/>
      <family val="2"/>
      <scheme val="minor"/>
    </font>
    <font>
      <sz val="9"/>
      <color rgb="FF0000FF"/>
      <name val="Calibri"/>
      <family val="2"/>
      <scheme val="minor"/>
    </font>
    <font>
      <sz val="8"/>
      <color rgb="FF0000FF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indexed="12"/>
      <name val="Calibri"/>
      <family val="2"/>
      <scheme val="minor"/>
    </font>
    <font>
      <b/>
      <sz val="9"/>
      <color indexed="12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9.5"/>
      <name val="Calibri"/>
      <family val="2"/>
      <scheme val="minor"/>
    </font>
    <font>
      <sz val="9.5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sz val="8"/>
      <color rgb="FF0000FF"/>
      <name val="Arial"/>
      <family val="2"/>
    </font>
    <font>
      <sz val="8"/>
      <color theme="0" tint="-0.499984740745262"/>
      <name val="Calibri"/>
      <family val="2"/>
      <scheme val="minor"/>
    </font>
    <font>
      <sz val="8"/>
      <color theme="0" tint="-0.499984740745262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rgb="FFD2320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u/>
      <sz val="12"/>
      <color theme="10"/>
      <name val="Calibri"/>
      <family val="2"/>
      <scheme val="minor"/>
    </font>
    <font>
      <sz val="9"/>
      <color rgb="FFD23200"/>
      <name val="Calibri"/>
      <family val="2"/>
      <scheme val="minor"/>
    </font>
    <font>
      <b/>
      <sz val="14"/>
      <color theme="0"/>
      <name val="Arial"/>
      <family val="2"/>
    </font>
    <font>
      <b/>
      <sz val="8"/>
      <color rgb="FFF43800"/>
      <name val="Arial"/>
      <family val="2"/>
    </font>
    <font>
      <sz val="8"/>
      <color rgb="FFF43800"/>
      <name val="Arial"/>
      <family val="2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2060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ourier New"/>
      <family val="3"/>
    </font>
    <font>
      <sz val="9"/>
      <color rgb="FFF43800"/>
      <name val="Calibri"/>
      <family val="2"/>
      <scheme val="minor"/>
    </font>
    <font>
      <sz val="8"/>
      <color rgb="FFF43800"/>
      <name val="Calibri"/>
      <family val="2"/>
      <scheme val="minor"/>
    </font>
    <font>
      <b/>
      <sz val="9"/>
      <color rgb="FFF438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2"/>
      <name val="Arial"/>
      <family val="2"/>
    </font>
    <font>
      <b/>
      <i/>
      <sz val="10"/>
      <name val="Arial"/>
      <family val="2"/>
    </font>
    <font>
      <sz val="11"/>
      <color rgb="FF202124"/>
      <name val="Arial"/>
      <family val="2"/>
    </font>
    <font>
      <b/>
      <u/>
      <sz val="10"/>
      <name val="Arial"/>
      <family val="2"/>
    </font>
    <font>
      <b/>
      <i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rgb="FFFF0000"/>
      <name val="Calibri"/>
      <family val="2"/>
      <scheme val="minor"/>
    </font>
    <font>
      <sz val="11"/>
      <name val="Calibri"/>
      <family val="2"/>
    </font>
    <font>
      <sz val="10"/>
      <color rgb="FF2E75B5"/>
      <name val="Arial"/>
      <family val="2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sz val="9"/>
      <color theme="0" tint="-4.9989318521683403E-2"/>
      <name val="Calibri"/>
      <family val="2"/>
      <scheme val="minor"/>
    </font>
    <font>
      <b/>
      <i/>
      <sz val="9"/>
      <name val="Calibri"/>
      <family val="2"/>
      <scheme val="minor"/>
    </font>
    <font>
      <sz val="8"/>
      <color theme="0"/>
      <name val="Calibri"/>
      <family val="2"/>
      <scheme val="minor"/>
    </font>
    <font>
      <u/>
      <sz val="8"/>
      <color theme="0"/>
      <name val="Calibri"/>
      <family val="2"/>
      <scheme val="minor"/>
    </font>
    <font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sz val="11"/>
      <color rgb="FF121212"/>
      <name val="Poppins"/>
    </font>
    <font>
      <b/>
      <sz val="8"/>
      <color theme="0"/>
      <name val="Poppins"/>
    </font>
    <font>
      <sz val="8"/>
      <color rgb="FF121212"/>
      <name val="Poppins"/>
    </font>
    <font>
      <sz val="9"/>
      <name val="Poppins"/>
    </font>
    <font>
      <i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Poppins"/>
    </font>
    <font>
      <b/>
      <sz val="10"/>
      <color rgb="FF121212"/>
      <name val="Poppins"/>
    </font>
    <font>
      <b/>
      <sz val="11"/>
      <color theme="1"/>
      <name val="Calibri"/>
      <family val="2"/>
      <scheme val="minor"/>
    </font>
    <font>
      <b/>
      <sz val="8"/>
      <color rgb="FF002060"/>
      <name val="Poppins"/>
    </font>
    <font>
      <sz val="8"/>
      <color theme="1"/>
      <name val="Poppins"/>
    </font>
    <font>
      <b/>
      <sz val="8"/>
      <color rgb="FF121212"/>
      <name val="Poppins"/>
    </font>
    <font>
      <sz val="8"/>
      <color rgb="FFFF0000"/>
      <name val="Poppins"/>
    </font>
    <font>
      <sz val="9"/>
      <color theme="1"/>
      <name val="Poppins"/>
    </font>
    <font>
      <b/>
      <sz val="9"/>
      <color theme="1"/>
      <name val="Poppins"/>
    </font>
    <font>
      <b/>
      <sz val="9"/>
      <color theme="0"/>
      <name val="Poppins"/>
    </font>
    <font>
      <b/>
      <sz val="12"/>
      <color indexed="8"/>
      <name val="Arial"/>
      <family val="2"/>
    </font>
    <font>
      <sz val="9"/>
      <color theme="0" tint="-0.34998626667073579"/>
      <name val="Poppins"/>
    </font>
    <font>
      <b/>
      <sz val="9"/>
      <name val="Poppins"/>
    </font>
    <font>
      <sz val="10"/>
      <color indexed="8"/>
      <name val="MS Sans Serif"/>
    </font>
    <font>
      <b/>
      <sz val="9"/>
      <color theme="0" tint="-0.499984740745262"/>
      <name val="Poppins"/>
    </font>
    <font>
      <sz val="9"/>
      <color rgb="FFFF0000"/>
      <name val="Poppins"/>
    </font>
    <font>
      <sz val="9"/>
      <color theme="0" tint="-0.499984740745262"/>
      <name val="Poppins"/>
    </font>
    <font>
      <b/>
      <u/>
      <sz val="9"/>
      <name val="Poppins"/>
    </font>
    <font>
      <sz val="9"/>
      <color theme="0"/>
      <name val="Poppins"/>
    </font>
    <font>
      <sz val="9"/>
      <color rgb="FF0000FF"/>
      <name val="Poppins"/>
    </font>
    <font>
      <b/>
      <sz val="11"/>
      <name val="Calibri"/>
      <family val="2"/>
      <scheme val="minor"/>
    </font>
    <font>
      <sz val="8"/>
      <color rgb="FF1851D6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8486E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29292F"/>
        <bgColor indexed="64"/>
      </patternFill>
    </fill>
    <fill>
      <patternFill patternType="solid">
        <fgColor rgb="FF29292F"/>
        <bgColor rgb="FF3F3F3F"/>
      </patternFill>
    </fill>
    <fill>
      <patternFill patternType="solid">
        <fgColor rgb="FF29292F"/>
        <bgColor rgb="FFA6A6A6"/>
      </patternFill>
    </fill>
    <fill>
      <patternFill patternType="solid">
        <fgColor rgb="FF1851D6"/>
        <bgColor indexed="64"/>
      </patternFill>
    </fill>
    <fill>
      <patternFill patternType="solid">
        <fgColor theme="0" tint="-0.14999847407452621"/>
        <bgColor indexed="9"/>
      </patternFill>
    </fill>
    <fill>
      <patternFill patternType="solid">
        <fgColor rgb="FFF4380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255AE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9"/>
      </patternFill>
    </fill>
    <fill>
      <patternFill patternType="solid">
        <fgColor rgb="FF989DD0"/>
        <bgColor indexed="64"/>
      </patternFill>
    </fill>
    <fill>
      <patternFill patternType="solid">
        <fgColor rgb="FFF6F4F6"/>
        <bgColor indexed="64"/>
      </patternFill>
    </fill>
    <fill>
      <patternFill patternType="solid">
        <fgColor rgb="FFA077B5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BFBFBF"/>
        <bgColor indexed="64"/>
      </patternFill>
    </fill>
    <fill>
      <patternFill patternType="solid">
        <fgColor rgb="FFFC3400"/>
        <bgColor rgb="FFFC3400"/>
      </patternFill>
    </fill>
    <fill>
      <patternFill patternType="solid">
        <fgColor rgb="FF4B4B4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/>
        <bgColor indexed="64"/>
      </patternFill>
    </fill>
  </fills>
  <borders count="25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theme="1" tint="0.499984740745262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indexed="64"/>
      </left>
      <right style="thin">
        <color theme="0" tint="-0.499984740745262"/>
      </right>
      <top/>
      <bottom style="hair">
        <color indexed="64"/>
      </bottom>
      <diagonal/>
    </border>
    <border>
      <left style="hair">
        <color indexed="64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hair">
        <color indexed="64"/>
      </left>
      <right style="thin">
        <color theme="0" tint="-0.499984740745262"/>
      </right>
      <top style="hair">
        <color indexed="64"/>
      </top>
      <bottom style="hair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theme="1" tint="0.499984740745262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/>
      <right style="thin">
        <color rgb="FF29292F"/>
      </right>
      <top style="thin">
        <color rgb="FF29292F"/>
      </top>
      <bottom style="thin">
        <color rgb="FF29292F"/>
      </bottom>
      <diagonal/>
    </border>
    <border>
      <left style="thin">
        <color rgb="FF29292F"/>
      </left>
      <right style="thin">
        <color rgb="FF29292F"/>
      </right>
      <top style="thin">
        <color rgb="FF29292F"/>
      </top>
      <bottom/>
      <diagonal/>
    </border>
    <border>
      <left style="thin">
        <color rgb="FF29292F"/>
      </left>
      <right style="thin">
        <color rgb="FF29292F"/>
      </right>
      <top/>
      <bottom/>
      <diagonal/>
    </border>
    <border>
      <left style="thin">
        <color rgb="FF29292F"/>
      </left>
      <right style="thin">
        <color rgb="FF29292F"/>
      </right>
      <top/>
      <bottom style="thin">
        <color rgb="FF29292F"/>
      </bottom>
      <diagonal/>
    </border>
    <border>
      <left/>
      <right/>
      <top style="thin">
        <color rgb="FF29292F"/>
      </top>
      <bottom/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 style="thin">
        <color rgb="FF29292F"/>
      </right>
      <top style="thin">
        <color rgb="FF29292F"/>
      </top>
      <bottom/>
      <diagonal/>
    </border>
    <border>
      <left style="thin">
        <color rgb="FF29292F"/>
      </left>
      <right/>
      <top/>
      <bottom/>
      <diagonal/>
    </border>
    <border>
      <left/>
      <right style="thin">
        <color rgb="FF29292F"/>
      </right>
      <top/>
      <bottom/>
      <diagonal/>
    </border>
    <border>
      <left style="thin">
        <color rgb="FF29292F"/>
      </left>
      <right/>
      <top/>
      <bottom style="thin">
        <color rgb="FF29292F"/>
      </bottom>
      <diagonal/>
    </border>
    <border>
      <left/>
      <right style="thin">
        <color rgb="FF29292F"/>
      </right>
      <top/>
      <bottom style="thin">
        <color rgb="FF29292F"/>
      </bottom>
      <diagonal/>
    </border>
    <border>
      <left/>
      <right/>
      <top/>
      <bottom style="thin">
        <color rgb="FF29292F"/>
      </bottom>
      <diagonal/>
    </border>
    <border>
      <left/>
      <right/>
      <top style="thin">
        <color rgb="FF29292F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theme="0" tint="-0.34998626667073579"/>
      </bottom>
      <diagonal/>
    </border>
    <border>
      <left/>
      <right/>
      <top style="thin">
        <color indexed="64"/>
      </top>
      <bottom style="hair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hair">
        <color theme="0" tint="-0.34998626667073579"/>
      </bottom>
      <diagonal/>
    </border>
    <border>
      <left style="thin">
        <color indexed="64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29292F"/>
      </top>
      <bottom/>
      <diagonal/>
    </border>
    <border>
      <left style="thin">
        <color indexed="64"/>
      </left>
      <right/>
      <top style="thin">
        <color rgb="FF29292F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medium">
        <color rgb="FF000000"/>
      </left>
      <right style="hair">
        <color rgb="FF000000"/>
      </right>
      <top style="thin">
        <color theme="0" tint="-0.499984740745262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theme="0" tint="-0.499984740745262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hair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theme="1" tint="0.499984740745262"/>
      </right>
      <top/>
      <bottom/>
      <diagonal/>
    </border>
    <border>
      <left style="hair">
        <color indexed="64"/>
      </left>
      <right style="hair">
        <color indexed="64"/>
      </right>
      <top style="thin">
        <color theme="0" tint="-0.499984740745262"/>
      </top>
      <bottom style="hair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hair">
        <color indexed="64"/>
      </right>
      <top style="thin">
        <color rgb="FF29292F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rgb="FF29292F"/>
      </top>
      <bottom/>
      <diagonal/>
    </border>
    <border>
      <left/>
      <right style="thin">
        <color theme="1" tint="0.499984740745262"/>
      </right>
      <top/>
      <bottom style="thin">
        <color rgb="FF29292F"/>
      </bottom>
      <diagonal/>
    </border>
    <border>
      <left/>
      <right/>
      <top style="thin">
        <color theme="0" tint="-0.34998626667073579"/>
      </top>
      <bottom style="hair">
        <color indexed="64"/>
      </bottom>
      <diagonal/>
    </border>
    <border>
      <left/>
      <right style="hair">
        <color indexed="64"/>
      </right>
      <top style="thin">
        <color theme="0" tint="-0.34998626667073579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34998626667073579"/>
      </top>
      <bottom style="hair">
        <color indexed="64"/>
      </bottom>
      <diagonal/>
    </border>
    <border>
      <left style="hair">
        <color indexed="64"/>
      </left>
      <right style="thin">
        <color theme="0" tint="-0.499984740745262"/>
      </right>
      <top style="thin">
        <color theme="0" tint="-0.34998626667073579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rgb="FF29292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theme="0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hair">
        <color indexed="64"/>
      </top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hair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theme="1"/>
      </bottom>
      <diagonal/>
    </border>
    <border>
      <left style="thin">
        <color indexed="64"/>
      </left>
      <right/>
      <top style="hair">
        <color indexed="64"/>
      </top>
      <bottom style="thin">
        <color theme="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theme="0" tint="-0.499984740745262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rgb="FF29292F"/>
      </right>
      <top style="thin">
        <color indexed="64"/>
      </top>
      <bottom/>
      <diagonal/>
    </border>
    <border>
      <left style="thin">
        <color rgb="FF29292F"/>
      </left>
      <right/>
      <top style="thin">
        <color indexed="64"/>
      </top>
      <bottom style="thin">
        <color rgb="FF29292F"/>
      </bottom>
      <diagonal/>
    </border>
    <border>
      <left/>
      <right/>
      <top style="thin">
        <color indexed="64"/>
      </top>
      <bottom style="thin">
        <color rgb="FF29292F"/>
      </bottom>
      <diagonal/>
    </border>
    <border>
      <left style="thin">
        <color indexed="64"/>
      </left>
      <right style="thin">
        <color rgb="FF29292F"/>
      </right>
      <top/>
      <bottom/>
      <diagonal/>
    </border>
    <border>
      <left style="thin">
        <color indexed="64"/>
      </left>
      <right style="thin">
        <color rgb="FF29292F"/>
      </right>
      <top/>
      <bottom style="thin">
        <color rgb="FF29292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</borders>
  <cellStyleXfs count="269">
    <xf numFmtId="0" fontId="0" fillId="0" borderId="0" applyNumberFormat="0" applyFont="0" applyFill="0" applyBorder="0" applyAlignment="0" applyProtection="0"/>
    <xf numFmtId="171" fontId="33" fillId="0" borderId="0">
      <protection locked="0"/>
    </xf>
    <xf numFmtId="172" fontId="33" fillId="0" borderId="0">
      <protection locked="0"/>
    </xf>
    <xf numFmtId="173" fontId="33" fillId="0" borderId="0">
      <protection locked="0"/>
    </xf>
    <xf numFmtId="174" fontId="33" fillId="0" borderId="0">
      <protection locked="0"/>
    </xf>
    <xf numFmtId="0" fontId="33" fillId="0" borderId="0">
      <protection locked="0"/>
    </xf>
    <xf numFmtId="177" fontId="26" fillId="0" borderId="0" applyFont="0" applyFill="0" applyBorder="0" applyAlignment="0" applyProtection="0"/>
    <xf numFmtId="175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28" fillId="0" borderId="0" applyNumberFormat="0" applyFont="0" applyFill="0" applyBorder="0" applyAlignment="0" applyProtection="0"/>
    <xf numFmtId="0" fontId="26" fillId="0" borderId="0"/>
    <xf numFmtId="0" fontId="37" fillId="0" borderId="0"/>
    <xf numFmtId="0" fontId="32" fillId="0" borderId="0"/>
    <xf numFmtId="39" fontId="31" fillId="0" borderId="0"/>
    <xf numFmtId="0" fontId="26" fillId="0" borderId="0" applyNumberFormat="0" applyFont="0" applyFill="0" applyBorder="0" applyAlignment="0" applyProtection="0"/>
    <xf numFmtId="0" fontId="36" fillId="0" borderId="0"/>
    <xf numFmtId="0" fontId="26" fillId="0" borderId="0"/>
    <xf numFmtId="0" fontId="39" fillId="0" borderId="0"/>
    <xf numFmtId="176" fontId="33" fillId="0" borderId="0">
      <protection locked="0"/>
    </xf>
    <xf numFmtId="9" fontId="26" fillId="0" borderId="0" applyNumberFormat="0" applyFont="0" applyFill="0" applyBorder="0" applyAlignment="0" applyProtection="0"/>
    <xf numFmtId="178" fontId="38" fillId="0" borderId="0">
      <protection locked="0"/>
    </xf>
    <xf numFmtId="167" fontId="26" fillId="0" borderId="0" applyNumberFormat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5" fillId="0" borderId="0" applyNumberFormat="0" applyFont="0" applyFill="0" applyBorder="0" applyAlignment="0" applyProtection="0"/>
    <xf numFmtId="167" fontId="28" fillId="0" borderId="0" applyNumberFormat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NumberFormat="0" applyFont="0" applyFill="0" applyBorder="0" applyAlignment="0" applyProtection="0"/>
    <xf numFmtId="167" fontId="35" fillId="0" borderId="0" applyNumberFormat="0" applyFont="0" applyFill="0" applyBorder="0" applyAlignment="0" applyProtection="0"/>
    <xf numFmtId="167" fontId="36" fillId="0" borderId="0" applyFont="0" applyFill="0" applyBorder="0" applyAlignment="0" applyProtection="0"/>
    <xf numFmtId="0" fontId="25" fillId="0" borderId="0"/>
    <xf numFmtId="0" fontId="43" fillId="0" borderId="0" applyNumberFormat="0" applyFont="0" applyBorder="0" applyAlignment="0"/>
    <xf numFmtId="0" fontId="26" fillId="0" borderId="0"/>
    <xf numFmtId="0" fontId="44" fillId="0" borderId="41" applyNumberFormat="0" applyFont="0" applyBorder="0" applyAlignment="0"/>
    <xf numFmtId="0" fontId="24" fillId="0" borderId="0"/>
    <xf numFmtId="0" fontId="46" fillId="0" borderId="0"/>
    <xf numFmtId="167" fontId="46" fillId="0" borderId="0" applyFont="0" applyFill="0" applyBorder="0" applyAlignment="0" applyProtection="0"/>
    <xf numFmtId="0" fontId="49" fillId="0" borderId="0"/>
    <xf numFmtId="167" fontId="49" fillId="0" borderId="0" applyFont="0" applyFill="0" applyBorder="0" applyAlignment="0" applyProtection="0"/>
    <xf numFmtId="0" fontId="30" fillId="0" borderId="0"/>
    <xf numFmtId="167" fontId="30" fillId="0" borderId="0" applyFont="0" applyFill="0" applyBorder="0" applyAlignment="0" applyProtection="0"/>
    <xf numFmtId="0" fontId="25" fillId="0" borderId="0"/>
    <xf numFmtId="0" fontId="48" fillId="0" borderId="0"/>
    <xf numFmtId="167" fontId="49" fillId="0" borderId="0" applyFont="0" applyFill="0" applyBorder="0" applyAlignment="0" applyProtection="0"/>
    <xf numFmtId="167" fontId="46" fillId="0" borderId="0" applyFont="0" applyFill="0" applyBorder="0" applyAlignment="0" applyProtection="0"/>
    <xf numFmtId="0" fontId="25" fillId="0" borderId="0"/>
    <xf numFmtId="167" fontId="25" fillId="0" borderId="0" applyFont="0" applyFill="0" applyBorder="0" applyAlignment="0" applyProtection="0"/>
    <xf numFmtId="0" fontId="25" fillId="0" borderId="0" applyNumberFormat="0" applyFont="0" applyFill="0" applyBorder="0" applyAlignment="0" applyProtection="0"/>
    <xf numFmtId="167" fontId="25" fillId="0" borderId="0" applyNumberFormat="0" applyFont="0" applyFill="0" applyBorder="0" applyAlignment="0" applyProtection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0" fontId="51" fillId="0" borderId="0"/>
    <xf numFmtId="9" fontId="46" fillId="0" borderId="0" applyFont="0" applyFill="0" applyBorder="0" applyAlignment="0" applyProtection="0"/>
    <xf numFmtId="0" fontId="58" fillId="0" borderId="0"/>
    <xf numFmtId="167" fontId="25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30" fillId="0" borderId="0"/>
    <xf numFmtId="0" fontId="25" fillId="0" borderId="0"/>
    <xf numFmtId="0" fontId="64" fillId="0" borderId="0"/>
    <xf numFmtId="0" fontId="23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9" fontId="66" fillId="0" borderId="0" applyFont="0" applyFill="0" applyBorder="0" applyAlignment="0" applyProtection="0"/>
    <xf numFmtId="0" fontId="22" fillId="0" borderId="0"/>
    <xf numFmtId="167" fontId="22" fillId="0" borderId="0" applyFont="0" applyFill="0" applyBorder="0" applyAlignment="0" applyProtection="0"/>
    <xf numFmtId="0" fontId="21" fillId="0" borderId="0"/>
    <xf numFmtId="0" fontId="20" fillId="0" borderId="0"/>
    <xf numFmtId="167" fontId="20" fillId="0" borderId="0" applyFont="0" applyFill="0" applyBorder="0" applyAlignment="0" applyProtection="0"/>
    <xf numFmtId="0" fontId="19" fillId="0" borderId="0"/>
    <xf numFmtId="167" fontId="19" fillId="0" borderId="0" applyFont="0" applyFill="0" applyBorder="0" applyAlignment="0" applyProtection="0"/>
    <xf numFmtId="0" fontId="19" fillId="0" borderId="0"/>
    <xf numFmtId="0" fontId="18" fillId="0" borderId="0"/>
    <xf numFmtId="167" fontId="18" fillId="0" borderId="0" applyFont="0" applyFill="0" applyBorder="0" applyAlignment="0" applyProtection="0"/>
    <xf numFmtId="0" fontId="30" fillId="0" borderId="0"/>
    <xf numFmtId="182" fontId="25" fillId="0" borderId="0"/>
    <xf numFmtId="167" fontId="30" fillId="0" borderId="0" applyFont="0" applyFill="0" applyBorder="0" applyAlignment="0" applyProtection="0"/>
    <xf numFmtId="9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17" fillId="0" borderId="0"/>
    <xf numFmtId="9" fontId="25" fillId="0" borderId="0" applyNumberFormat="0" applyFont="0" applyFill="0" applyBorder="0" applyAlignment="0" applyProtection="0"/>
    <xf numFmtId="167" fontId="25" fillId="0" borderId="0" applyNumberFormat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NumberFormat="0" applyFont="0" applyFill="0" applyBorder="0" applyAlignment="0" applyProtection="0"/>
    <xf numFmtId="167" fontId="25" fillId="0" borderId="0" applyNumberFormat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NumberFormat="0" applyFont="0" applyFill="0" applyBorder="0" applyAlignment="0" applyProtection="0"/>
    <xf numFmtId="167" fontId="25" fillId="0" borderId="0" applyNumberFormat="0" applyFont="0" applyFill="0" applyBorder="0" applyAlignment="0" applyProtection="0"/>
    <xf numFmtId="167" fontId="25" fillId="0" borderId="0" applyFont="0" applyFill="0" applyBorder="0" applyAlignment="0" applyProtection="0"/>
    <xf numFmtId="0" fontId="25" fillId="0" borderId="0"/>
    <xf numFmtId="0" fontId="17" fillId="0" borderId="0"/>
    <xf numFmtId="167" fontId="46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NumberFormat="0" applyFont="0" applyFill="0" applyBorder="0" applyAlignment="0" applyProtection="0"/>
    <xf numFmtId="167" fontId="25" fillId="0" borderId="0" applyFont="0" applyFill="0" applyBorder="0" applyAlignment="0" applyProtection="0"/>
    <xf numFmtId="0" fontId="25" fillId="0" borderId="0"/>
    <xf numFmtId="167" fontId="25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25" fillId="0" borderId="0"/>
    <xf numFmtId="0" fontId="17" fillId="0" borderId="0"/>
    <xf numFmtId="9" fontId="25" fillId="0" borderId="0" applyFont="0" applyFill="0" applyBorder="0" applyAlignment="0" applyProtection="0"/>
    <xf numFmtId="0" fontId="17" fillId="0" borderId="0"/>
    <xf numFmtId="167" fontId="17" fillId="0" borderId="0" applyFont="0" applyFill="0" applyBorder="0" applyAlignment="0" applyProtection="0"/>
    <xf numFmtId="0" fontId="17" fillId="0" borderId="0"/>
    <xf numFmtId="0" fontId="17" fillId="0" borderId="0"/>
    <xf numFmtId="167" fontId="17" fillId="0" borderId="0" applyFont="0" applyFill="0" applyBorder="0" applyAlignment="0" applyProtection="0"/>
    <xf numFmtId="0" fontId="17" fillId="0" borderId="0"/>
    <xf numFmtId="167" fontId="17" fillId="0" borderId="0" applyFont="0" applyFill="0" applyBorder="0" applyAlignment="0" applyProtection="0"/>
    <xf numFmtId="0" fontId="17" fillId="0" borderId="0"/>
    <xf numFmtId="0" fontId="17" fillId="0" borderId="0"/>
    <xf numFmtId="167" fontId="17" fillId="0" borderId="0" applyFont="0" applyFill="0" applyBorder="0" applyAlignment="0" applyProtection="0"/>
    <xf numFmtId="167" fontId="30" fillId="0" borderId="0" applyFont="0" applyFill="0" applyBorder="0" applyAlignment="0" applyProtection="0"/>
    <xf numFmtId="166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166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6" fillId="0" borderId="0"/>
    <xf numFmtId="167" fontId="25" fillId="0" borderId="0" applyNumberFormat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NumberFormat="0" applyFont="0" applyFill="0" applyBorder="0" applyAlignment="0" applyProtection="0"/>
    <xf numFmtId="167" fontId="25" fillId="0" borderId="0" applyNumberFormat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NumberFormat="0" applyFont="0" applyFill="0" applyBorder="0" applyAlignment="0" applyProtection="0"/>
    <xf numFmtId="167" fontId="25" fillId="0" borderId="0" applyNumberFormat="0" applyFont="0" applyFill="0" applyBorder="0" applyAlignment="0" applyProtection="0"/>
    <xf numFmtId="167" fontId="25" fillId="0" borderId="0" applyFont="0" applyFill="0" applyBorder="0" applyAlignment="0" applyProtection="0"/>
    <xf numFmtId="0" fontId="16" fillId="0" borderId="0"/>
    <xf numFmtId="167" fontId="46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NumberFormat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167" fontId="30" fillId="0" borderId="0" applyFont="0" applyFill="0" applyBorder="0" applyAlignment="0" applyProtection="0"/>
    <xf numFmtId="166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30" fillId="0" borderId="0"/>
    <xf numFmtId="167" fontId="25" fillId="0" borderId="0" applyFont="0" applyFill="0" applyBorder="0" applyAlignment="0" applyProtection="0"/>
    <xf numFmtId="167" fontId="25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46" fillId="0" borderId="0"/>
    <xf numFmtId="167" fontId="46" fillId="0" borderId="0" applyFont="0" applyFill="0" applyBorder="0" applyAlignment="0" applyProtection="0"/>
    <xf numFmtId="0" fontId="25" fillId="0" borderId="0"/>
    <xf numFmtId="0" fontId="15" fillId="0" borderId="0"/>
    <xf numFmtId="9" fontId="99" fillId="0" borderId="0" applyFont="0" applyFill="0" applyBorder="0" applyAlignment="0" applyProtection="0"/>
    <xf numFmtId="167" fontId="99" fillId="0" borderId="0" applyFont="0" applyFill="0" applyBorder="0" applyAlignment="0" applyProtection="0"/>
    <xf numFmtId="0" fontId="100" fillId="0" borderId="0" applyNumberFormat="0" applyFill="0" applyBorder="0" applyAlignment="0" applyProtection="0"/>
    <xf numFmtId="0" fontId="51" fillId="0" borderId="0"/>
    <xf numFmtId="183" fontId="99" fillId="0" borderId="0" applyFont="0" applyFill="0" applyBorder="0" applyAlignment="0" applyProtection="0"/>
    <xf numFmtId="0" fontId="103" fillId="0" borderId="0" applyNumberFormat="0" applyFill="0" applyBorder="0" applyAlignment="0" applyProtection="0"/>
    <xf numFmtId="0" fontId="110" fillId="0" borderId="0"/>
    <xf numFmtId="188" fontId="110" fillId="0" borderId="0" applyBorder="0" applyProtection="0"/>
    <xf numFmtId="9" fontId="25" fillId="0" borderId="0"/>
    <xf numFmtId="0" fontId="14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2" fillId="0" borderId="0"/>
    <xf numFmtId="0" fontId="12" fillId="0" borderId="0"/>
    <xf numFmtId="167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0" fillId="0" borderId="0"/>
    <xf numFmtId="166" fontId="116" fillId="0" borderId="0" applyFont="0" applyFill="0" applyBorder="0" applyAlignment="0" applyProtection="0"/>
    <xf numFmtId="0" fontId="9" fillId="0" borderId="0"/>
    <xf numFmtId="43" fontId="119" fillId="0" borderId="0" applyFont="0" applyFill="0" applyBorder="0" applyAlignment="0" applyProtection="0"/>
    <xf numFmtId="182" fontId="119" fillId="0" borderId="0"/>
    <xf numFmtId="0" fontId="8" fillId="0" borderId="0"/>
    <xf numFmtId="44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5" fillId="0" borderId="0"/>
    <xf numFmtId="43" fontId="7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0" fontId="4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167" fontId="161" fillId="0" borderId="0" applyFont="0" applyFill="0" applyBorder="0" applyAlignment="0" applyProtection="0"/>
    <xf numFmtId="44" fontId="16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5" fillId="0" borderId="0" applyFont="0" applyFill="0" applyBorder="0" applyAlignment="0" applyProtection="0"/>
  </cellStyleXfs>
  <cellXfs count="1401">
    <xf numFmtId="0" fontId="0" fillId="0" borderId="0" xfId="0" applyNumberFormat="1" applyFont="1" applyFill="1" applyBorder="1" applyAlignment="1"/>
    <xf numFmtId="0" fontId="25" fillId="0" borderId="0" xfId="58" applyFont="1" applyAlignment="1">
      <alignment vertical="center"/>
    </xf>
    <xf numFmtId="0" fontId="55" fillId="0" borderId="0" xfId="58" applyFont="1" applyAlignment="1">
      <alignment vertical="center"/>
    </xf>
    <xf numFmtId="0" fontId="54" fillId="0" borderId="0" xfId="58" applyFont="1" applyAlignment="1">
      <alignment vertical="center"/>
    </xf>
    <xf numFmtId="0" fontId="30" fillId="0" borderId="0" xfId="41" applyFont="1" applyAlignment="1">
      <alignment vertical="center"/>
    </xf>
    <xf numFmtId="0" fontId="30" fillId="0" borderId="33" xfId="41" applyFont="1" applyBorder="1" applyAlignment="1">
      <alignment horizontal="center" vertical="center"/>
    </xf>
    <xf numFmtId="0" fontId="30" fillId="0" borderId="23" xfId="41" applyFont="1" applyBorder="1" applyAlignment="1">
      <alignment vertical="center"/>
    </xf>
    <xf numFmtId="0" fontId="30" fillId="2" borderId="0" xfId="41" applyFont="1" applyFill="1" applyAlignment="1">
      <alignment vertical="center"/>
    </xf>
    <xf numFmtId="0" fontId="29" fillId="2" borderId="45" xfId="41" applyFont="1" applyFill="1" applyBorder="1" applyAlignment="1">
      <alignment vertical="center"/>
    </xf>
    <xf numFmtId="4" fontId="30" fillId="2" borderId="0" xfId="41" applyNumberFormat="1" applyFont="1" applyFill="1" applyAlignment="1">
      <alignment vertical="center"/>
    </xf>
    <xf numFmtId="0" fontId="25" fillId="2" borderId="0" xfId="41" quotePrefix="1" applyFont="1" applyFill="1" applyAlignment="1">
      <alignment horizontal="left" vertical="center"/>
    </xf>
    <xf numFmtId="0" fontId="27" fillId="2" borderId="0" xfId="41" applyFont="1" applyFill="1" applyAlignment="1">
      <alignment vertical="center"/>
    </xf>
    <xf numFmtId="0" fontId="25" fillId="0" borderId="0" xfId="57"/>
    <xf numFmtId="2" fontId="30" fillId="3" borderId="28" xfId="57" applyNumberFormat="1" applyFont="1" applyFill="1" applyBorder="1" applyAlignment="1">
      <alignment vertical="center"/>
    </xf>
    <xf numFmtId="1" fontId="30" fillId="2" borderId="28" xfId="57" applyNumberFormat="1" applyFont="1" applyFill="1" applyBorder="1" applyAlignment="1">
      <alignment horizontal="center" vertical="center"/>
    </xf>
    <xf numFmtId="2" fontId="30" fillId="3" borderId="36" xfId="57" applyNumberFormat="1" applyFont="1" applyFill="1" applyBorder="1" applyAlignment="1">
      <alignment vertical="center"/>
    </xf>
    <xf numFmtId="2" fontId="30" fillId="0" borderId="28" xfId="57" applyNumberFormat="1" applyFont="1" applyBorder="1" applyAlignment="1">
      <alignment vertical="center"/>
    </xf>
    <xf numFmtId="0" fontId="25" fillId="0" borderId="0" xfId="57" applyAlignment="1">
      <alignment vertical="center"/>
    </xf>
    <xf numFmtId="0" fontId="25" fillId="0" borderId="23" xfId="57" applyBorder="1"/>
    <xf numFmtId="0" fontId="25" fillId="0" borderId="0" xfId="60" applyFont="1"/>
    <xf numFmtId="1" fontId="30" fillId="2" borderId="28" xfId="60" applyNumberFormat="1" applyFont="1" applyFill="1" applyBorder="1" applyAlignment="1">
      <alignment horizontal="center" vertical="center"/>
    </xf>
    <xf numFmtId="2" fontId="30" fillId="2" borderId="28" xfId="60" applyNumberFormat="1" applyFont="1" applyFill="1" applyBorder="1" applyAlignment="1">
      <alignment horizontal="center" vertical="center"/>
    </xf>
    <xf numFmtId="2" fontId="30" fillId="3" borderId="28" xfId="60" quotePrefix="1" applyNumberFormat="1" applyFont="1" applyFill="1" applyBorder="1" applyAlignment="1">
      <alignment vertical="center"/>
    </xf>
    <xf numFmtId="2" fontId="30" fillId="3" borderId="28" xfId="60" applyNumberFormat="1" applyFont="1" applyFill="1" applyBorder="1" applyAlignment="1">
      <alignment vertical="center"/>
    </xf>
    <xf numFmtId="2" fontId="30" fillId="3" borderId="36" xfId="60" applyNumberFormat="1" applyFont="1" applyFill="1" applyBorder="1" applyAlignment="1">
      <alignment vertical="center"/>
    </xf>
    <xf numFmtId="0" fontId="25" fillId="0" borderId="0" xfId="57" applyAlignment="1">
      <alignment horizontal="center"/>
    </xf>
    <xf numFmtId="2" fontId="25" fillId="0" borderId="0" xfId="57" applyNumberFormat="1"/>
    <xf numFmtId="0" fontId="57" fillId="0" borderId="0" xfId="57" applyFont="1"/>
    <xf numFmtId="0" fontId="56" fillId="0" borderId="0" xfId="57" applyFont="1"/>
    <xf numFmtId="0" fontId="27" fillId="0" borderId="0" xfId="57" applyFont="1" applyAlignment="1">
      <alignment horizontal="center"/>
    </xf>
    <xf numFmtId="0" fontId="25" fillId="0" borderId="5" xfId="57" applyBorder="1"/>
    <xf numFmtId="0" fontId="25" fillId="0" borderId="4" xfId="57" applyBorder="1"/>
    <xf numFmtId="0" fontId="25" fillId="0" borderId="11" xfId="57" applyBorder="1"/>
    <xf numFmtId="0" fontId="30" fillId="0" borderId="26" xfId="41" applyFont="1" applyBorder="1" applyAlignment="1">
      <alignment horizontal="center" vertical="center"/>
    </xf>
    <xf numFmtId="168" fontId="30" fillId="0" borderId="15" xfId="41" applyNumberFormat="1" applyFont="1" applyBorder="1" applyAlignment="1">
      <alignment horizontal="center" vertical="center"/>
    </xf>
    <xf numFmtId="168" fontId="30" fillId="0" borderId="18" xfId="41" applyNumberFormat="1" applyFont="1" applyBorder="1" applyAlignment="1">
      <alignment horizontal="center" vertical="center"/>
    </xf>
    <xf numFmtId="168" fontId="30" fillId="0" borderId="16" xfId="41" applyNumberFormat="1" applyFont="1" applyBorder="1" applyAlignment="1">
      <alignment horizontal="center" vertical="center"/>
    </xf>
    <xf numFmtId="168" fontId="30" fillId="0" borderId="19" xfId="41" applyNumberFormat="1" applyFont="1" applyBorder="1" applyAlignment="1">
      <alignment horizontal="center" vertical="center"/>
    </xf>
    <xf numFmtId="0" fontId="30" fillId="0" borderId="47" xfId="41" applyFont="1" applyBorder="1" applyAlignment="1">
      <alignment horizontal="center" vertical="center"/>
    </xf>
    <xf numFmtId="4" fontId="53" fillId="5" borderId="0" xfId="58" applyNumberFormat="1" applyFont="1" applyFill="1" applyAlignment="1">
      <alignment vertical="center" wrapText="1"/>
    </xf>
    <xf numFmtId="4" fontId="29" fillId="3" borderId="46" xfId="57" applyNumberFormat="1" applyFont="1" applyFill="1" applyBorder="1" applyAlignment="1">
      <alignment vertical="center"/>
    </xf>
    <xf numFmtId="2" fontId="30" fillId="3" borderId="43" xfId="57" applyNumberFormat="1" applyFont="1" applyFill="1" applyBorder="1" applyAlignment="1">
      <alignment vertical="center"/>
    </xf>
    <xf numFmtId="4" fontId="30" fillId="0" borderId="0" xfId="41" applyNumberFormat="1" applyFont="1" applyAlignment="1">
      <alignment vertical="center"/>
    </xf>
    <xf numFmtId="2" fontId="25" fillId="0" borderId="0" xfId="60" applyNumberFormat="1" applyFont="1"/>
    <xf numFmtId="0" fontId="30" fillId="0" borderId="0" xfId="57" applyFont="1"/>
    <xf numFmtId="0" fontId="30" fillId="0" borderId="0" xfId="41" applyFont="1" applyAlignment="1">
      <alignment horizontal="center" vertical="center"/>
    </xf>
    <xf numFmtId="0" fontId="61" fillId="0" borderId="0" xfId="58" applyFont="1" applyAlignment="1">
      <alignment vertical="center"/>
    </xf>
    <xf numFmtId="0" fontId="47" fillId="0" borderId="0" xfId="58" applyFont="1" applyAlignment="1">
      <alignment vertical="center"/>
    </xf>
    <xf numFmtId="0" fontId="30" fillId="0" borderId="28" xfId="57" applyFont="1" applyBorder="1" applyAlignment="1">
      <alignment vertical="center"/>
    </xf>
    <xf numFmtId="0" fontId="59" fillId="0" borderId="45" xfId="41" quotePrefix="1" applyFont="1" applyBorder="1" applyAlignment="1">
      <alignment vertical="center"/>
    </xf>
    <xf numFmtId="0" fontId="30" fillId="0" borderId="45" xfId="41" quotePrefix="1" applyFont="1" applyBorder="1" applyAlignment="1">
      <alignment vertical="center"/>
    </xf>
    <xf numFmtId="1" fontId="30" fillId="0" borderId="28" xfId="60" applyNumberFormat="1" applyFont="1" applyBorder="1" applyAlignment="1">
      <alignment horizontal="center" vertical="center"/>
    </xf>
    <xf numFmtId="0" fontId="30" fillId="0" borderId="0" xfId="58" applyFont="1" applyAlignment="1">
      <alignment vertical="center"/>
    </xf>
    <xf numFmtId="0" fontId="40" fillId="0" borderId="0" xfId="45" applyFont="1" applyAlignment="1">
      <alignment vertical="center"/>
    </xf>
    <xf numFmtId="0" fontId="40" fillId="0" borderId="0" xfId="45" applyFont="1"/>
    <xf numFmtId="0" fontId="70" fillId="0" borderId="5" xfId="45" applyFont="1" applyBorder="1" applyAlignment="1">
      <alignment vertical="center"/>
    </xf>
    <xf numFmtId="0" fontId="41" fillId="0" borderId="0" xfId="45" applyFont="1"/>
    <xf numFmtId="0" fontId="41" fillId="0" borderId="0" xfId="45" applyFont="1" applyAlignment="1">
      <alignment vertical="center"/>
    </xf>
    <xf numFmtId="17" fontId="73" fillId="0" borderId="0" xfId="45" applyNumberFormat="1" applyFont="1" applyAlignment="1">
      <alignment horizontal="left" vertical="center"/>
    </xf>
    <xf numFmtId="0" fontId="73" fillId="0" borderId="0" xfId="45" applyFont="1"/>
    <xf numFmtId="181" fontId="73" fillId="0" borderId="0" xfId="83" applyNumberFormat="1" applyFont="1" applyBorder="1" applyAlignment="1">
      <alignment horizontal="left" vertical="center"/>
    </xf>
    <xf numFmtId="14" fontId="73" fillId="0" borderId="0" xfId="45" applyNumberFormat="1" applyFont="1" applyAlignment="1">
      <alignment horizontal="left" vertical="center"/>
    </xf>
    <xf numFmtId="0" fontId="70" fillId="0" borderId="0" xfId="45" applyFont="1" applyAlignment="1">
      <alignment vertical="center"/>
    </xf>
    <xf numFmtId="0" fontId="30" fillId="0" borderId="43" xfId="57" applyFont="1" applyBorder="1" applyAlignment="1">
      <alignment vertical="center"/>
    </xf>
    <xf numFmtId="2" fontId="30" fillId="0" borderId="43" xfId="57" applyNumberFormat="1" applyFont="1" applyBorder="1" applyAlignment="1">
      <alignment vertical="center"/>
    </xf>
    <xf numFmtId="1" fontId="30" fillId="2" borderId="43" xfId="57" applyNumberFormat="1" applyFont="1" applyFill="1" applyBorder="1" applyAlignment="1">
      <alignment horizontal="center" vertical="center"/>
    </xf>
    <xf numFmtId="2" fontId="30" fillId="3" borderId="50" xfId="57" applyNumberFormat="1" applyFont="1" applyFill="1" applyBorder="1" applyAlignment="1">
      <alignment vertical="center"/>
    </xf>
    <xf numFmtId="0" fontId="30" fillId="0" borderId="51" xfId="41" quotePrefix="1" applyFont="1" applyBorder="1" applyAlignment="1">
      <alignment vertical="center" wrapText="1"/>
    </xf>
    <xf numFmtId="0" fontId="30" fillId="2" borderId="9" xfId="57" applyFont="1" applyFill="1" applyBorder="1" applyAlignment="1">
      <alignment vertical="center"/>
    </xf>
    <xf numFmtId="0" fontId="30" fillId="2" borderId="0" xfId="57" applyFont="1" applyFill="1" applyAlignment="1">
      <alignment vertical="center"/>
    </xf>
    <xf numFmtId="2" fontId="30" fillId="3" borderId="43" xfId="60" applyNumberFormat="1" applyFont="1" applyFill="1" applyBorder="1" applyAlignment="1">
      <alignment vertical="center"/>
    </xf>
    <xf numFmtId="2" fontId="30" fillId="3" borderId="50" xfId="60" applyNumberFormat="1" applyFont="1" applyFill="1" applyBorder="1" applyAlignment="1">
      <alignment vertical="center"/>
    </xf>
    <xf numFmtId="0" fontId="57" fillId="3" borderId="53" xfId="57" applyFont="1" applyFill="1" applyBorder="1" applyAlignment="1">
      <alignment vertical="center"/>
    </xf>
    <xf numFmtId="0" fontId="29" fillId="3" borderId="46" xfId="57" applyFont="1" applyFill="1" applyBorder="1" applyAlignment="1">
      <alignment vertical="center"/>
    </xf>
    <xf numFmtId="0" fontId="29" fillId="3" borderId="46" xfId="60" applyFont="1" applyFill="1" applyBorder="1" applyAlignment="1">
      <alignment vertical="center"/>
    </xf>
    <xf numFmtId="2" fontId="29" fillId="3" borderId="46" xfId="60" applyNumberFormat="1" applyFont="1" applyFill="1" applyBorder="1" applyAlignment="1">
      <alignment vertical="center"/>
    </xf>
    <xf numFmtId="2" fontId="30" fillId="3" borderId="13" xfId="57" applyNumberFormat="1" applyFont="1" applyFill="1" applyBorder="1" applyAlignment="1">
      <alignment vertical="center"/>
    </xf>
    <xf numFmtId="0" fontId="30" fillId="3" borderId="46" xfId="57" applyFont="1" applyFill="1" applyBorder="1" applyAlignment="1">
      <alignment vertical="center"/>
    </xf>
    <xf numFmtId="2" fontId="29" fillId="3" borderId="46" xfId="57" applyNumberFormat="1" applyFont="1" applyFill="1" applyBorder="1" applyAlignment="1">
      <alignment vertical="center"/>
    </xf>
    <xf numFmtId="2" fontId="30" fillId="3" borderId="46" xfId="57" applyNumberFormat="1" applyFont="1" applyFill="1" applyBorder="1" applyAlignment="1">
      <alignment vertical="center"/>
    </xf>
    <xf numFmtId="1" fontId="29" fillId="3" borderId="46" xfId="57" applyNumberFormat="1" applyFont="1" applyFill="1" applyBorder="1" applyAlignment="1">
      <alignment horizontal="center" vertical="center"/>
    </xf>
    <xf numFmtId="4" fontId="29" fillId="0" borderId="0" xfId="57" applyNumberFormat="1" applyFont="1" applyAlignment="1">
      <alignment vertical="center"/>
    </xf>
    <xf numFmtId="0" fontId="27" fillId="0" borderId="0" xfId="57" applyFont="1" applyAlignment="1">
      <alignment vertical="center"/>
    </xf>
    <xf numFmtId="2" fontId="29" fillId="0" borderId="0" xfId="57" applyNumberFormat="1" applyFont="1" applyAlignment="1">
      <alignment vertical="center"/>
    </xf>
    <xf numFmtId="0" fontId="29" fillId="0" borderId="0" xfId="57" applyFont="1" applyAlignment="1">
      <alignment vertical="center"/>
    </xf>
    <xf numFmtId="0" fontId="74" fillId="7" borderId="7" xfId="57" applyFont="1" applyFill="1" applyBorder="1" applyAlignment="1">
      <alignment horizontal="centerContinuous" vertical="center"/>
    </xf>
    <xf numFmtId="0" fontId="74" fillId="7" borderId="14" xfId="57" applyFont="1" applyFill="1" applyBorder="1" applyAlignment="1">
      <alignment horizontal="centerContinuous" vertical="center"/>
    </xf>
    <xf numFmtId="0" fontId="74" fillId="7" borderId="22" xfId="57" applyFont="1" applyFill="1" applyBorder="1" applyAlignment="1">
      <alignment horizontal="centerContinuous" vertical="center"/>
    </xf>
    <xf numFmtId="0" fontId="74" fillId="7" borderId="14" xfId="57" applyFont="1" applyFill="1" applyBorder="1" applyAlignment="1">
      <alignment horizontal="center" vertical="center"/>
    </xf>
    <xf numFmtId="0" fontId="74" fillId="7" borderId="25" xfId="57" applyFont="1" applyFill="1" applyBorder="1" applyAlignment="1">
      <alignment horizontal="center" vertical="center"/>
    </xf>
    <xf numFmtId="0" fontId="74" fillId="7" borderId="22" xfId="57" applyFont="1" applyFill="1" applyBorder="1" applyAlignment="1">
      <alignment horizontal="center" vertical="center"/>
    </xf>
    <xf numFmtId="0" fontId="74" fillId="7" borderId="25" xfId="57" applyFont="1" applyFill="1" applyBorder="1" applyAlignment="1">
      <alignment horizontal="centerContinuous" vertical="center"/>
    </xf>
    <xf numFmtId="0" fontId="74" fillId="7" borderId="27" xfId="57" applyFont="1" applyFill="1" applyBorder="1" applyAlignment="1">
      <alignment horizontal="centerContinuous" vertical="center"/>
    </xf>
    <xf numFmtId="0" fontId="74" fillId="7" borderId="14" xfId="60" applyFont="1" applyFill="1" applyBorder="1" applyAlignment="1">
      <alignment horizontal="centerContinuous" vertical="center"/>
    </xf>
    <xf numFmtId="0" fontId="74" fillId="7" borderId="25" xfId="60" applyFont="1" applyFill="1" applyBorder="1" applyAlignment="1">
      <alignment horizontal="centerContinuous" vertical="center"/>
    </xf>
    <xf numFmtId="0" fontId="74" fillId="7" borderId="22" xfId="60" applyFont="1" applyFill="1" applyBorder="1" applyAlignment="1">
      <alignment horizontal="centerContinuous" vertical="center"/>
    </xf>
    <xf numFmtId="0" fontId="74" fillId="7" borderId="31" xfId="60" applyFont="1" applyFill="1" applyBorder="1" applyAlignment="1">
      <alignment horizontal="centerContinuous" vertical="center"/>
    </xf>
    <xf numFmtId="0" fontId="74" fillId="7" borderId="25" xfId="60" applyFont="1" applyFill="1" applyBorder="1" applyAlignment="1">
      <alignment horizontal="center" vertical="center"/>
    </xf>
    <xf numFmtId="0" fontId="74" fillId="7" borderId="14" xfId="60" applyFont="1" applyFill="1" applyBorder="1" applyAlignment="1">
      <alignment horizontal="center" vertical="center"/>
    </xf>
    <xf numFmtId="0" fontId="74" fillId="7" borderId="22" xfId="60" applyFont="1" applyFill="1" applyBorder="1" applyAlignment="1">
      <alignment horizontal="center" vertical="center"/>
    </xf>
    <xf numFmtId="0" fontId="74" fillId="7" borderId="14" xfId="60" applyFont="1" applyFill="1" applyBorder="1" applyAlignment="1">
      <alignment horizontal="center" vertical="center" wrapText="1"/>
    </xf>
    <xf numFmtId="0" fontId="74" fillId="7" borderId="30" xfId="57" applyFont="1" applyFill="1" applyBorder="1" applyAlignment="1">
      <alignment horizontal="center" vertical="center"/>
    </xf>
    <xf numFmtId="0" fontId="74" fillId="7" borderId="31" xfId="57" applyFont="1" applyFill="1" applyBorder="1" applyAlignment="1">
      <alignment horizontal="centerContinuous" vertical="center"/>
    </xf>
    <xf numFmtId="0" fontId="74" fillId="7" borderId="9" xfId="57" applyFont="1" applyFill="1" applyBorder="1" applyAlignment="1">
      <alignment horizontal="centerContinuous" vertical="center"/>
    </xf>
    <xf numFmtId="0" fontId="74" fillId="7" borderId="30" xfId="57" applyFont="1" applyFill="1" applyBorder="1" applyAlignment="1">
      <alignment horizontal="centerContinuous" vertical="center"/>
    </xf>
    <xf numFmtId="4" fontId="74" fillId="7" borderId="22" xfId="57" applyNumberFormat="1" applyFont="1" applyFill="1" applyBorder="1" applyAlignment="1">
      <alignment vertical="center"/>
    </xf>
    <xf numFmtId="4" fontId="30" fillId="3" borderId="68" xfId="50" applyNumberFormat="1" applyFont="1" applyFill="1" applyBorder="1" applyAlignment="1">
      <alignment vertical="center"/>
    </xf>
    <xf numFmtId="4" fontId="30" fillId="3" borderId="68" xfId="50" applyNumberFormat="1" applyFont="1" applyFill="1" applyBorder="1" applyAlignment="1">
      <alignment vertical="center" wrapText="1"/>
    </xf>
    <xf numFmtId="2" fontId="29" fillId="0" borderId="0" xfId="57" applyNumberFormat="1" applyFont="1" applyAlignment="1">
      <alignment horizontal="center" vertical="center"/>
    </xf>
    <xf numFmtId="0" fontId="25" fillId="0" borderId="23" xfId="57" applyBorder="1" applyAlignment="1">
      <alignment horizontal="center"/>
    </xf>
    <xf numFmtId="4" fontId="69" fillId="3" borderId="2" xfId="47" applyNumberFormat="1" applyFont="1" applyFill="1" applyBorder="1" applyAlignment="1">
      <alignment vertical="center"/>
    </xf>
    <xf numFmtId="4" fontId="83" fillId="3" borderId="2" xfId="47" applyNumberFormat="1" applyFont="1" applyFill="1" applyBorder="1" applyAlignment="1">
      <alignment vertical="center"/>
    </xf>
    <xf numFmtId="0" fontId="74" fillId="7" borderId="27" xfId="57" applyFont="1" applyFill="1" applyBorder="1" applyAlignment="1">
      <alignment horizontal="center" vertical="center"/>
    </xf>
    <xf numFmtId="0" fontId="74" fillId="7" borderId="7" xfId="57" applyFont="1" applyFill="1" applyBorder="1" applyAlignment="1">
      <alignment horizontal="center" vertical="center"/>
    </xf>
    <xf numFmtId="0" fontId="74" fillId="7" borderId="1" xfId="57" applyFont="1" applyFill="1" applyBorder="1" applyAlignment="1">
      <alignment horizontal="center" vertical="center"/>
    </xf>
    <xf numFmtId="0" fontId="69" fillId="3" borderId="46" xfId="41" applyFont="1" applyFill="1" applyBorder="1" applyAlignment="1">
      <alignment vertical="center"/>
    </xf>
    <xf numFmtId="0" fontId="30" fillId="2" borderId="0" xfId="57" applyFont="1" applyFill="1" applyAlignment="1">
      <alignment horizontal="center" vertical="center"/>
    </xf>
    <xf numFmtId="4" fontId="69" fillId="3" borderId="67" xfId="50" applyNumberFormat="1" applyFont="1" applyFill="1" applyBorder="1" applyAlignment="1">
      <alignment vertical="center"/>
    </xf>
    <xf numFmtId="0" fontId="74" fillId="7" borderId="27" xfId="57" applyFont="1" applyFill="1" applyBorder="1" applyAlignment="1">
      <alignment horizontal="center" vertical="top"/>
    </xf>
    <xf numFmtId="2" fontId="30" fillId="3" borderId="77" xfId="57" applyNumberFormat="1" applyFont="1" applyFill="1" applyBorder="1" applyAlignment="1">
      <alignment vertical="center"/>
    </xf>
    <xf numFmtId="2" fontId="30" fillId="3" borderId="56" xfId="57" applyNumberFormat="1" applyFont="1" applyFill="1" applyBorder="1" applyAlignment="1">
      <alignment vertical="center"/>
    </xf>
    <xf numFmtId="2" fontId="60" fillId="3" borderId="76" xfId="57" applyNumberFormat="1" applyFont="1" applyFill="1" applyBorder="1" applyAlignment="1">
      <alignment horizontal="center" vertical="center"/>
    </xf>
    <xf numFmtId="2" fontId="60" fillId="3" borderId="57" xfId="57" applyNumberFormat="1" applyFont="1" applyFill="1" applyBorder="1" applyAlignment="1">
      <alignment horizontal="center" vertical="center"/>
    </xf>
    <xf numFmtId="2" fontId="74" fillId="7" borderId="82" xfId="57" applyNumberFormat="1" applyFont="1" applyFill="1" applyBorder="1" applyAlignment="1">
      <alignment vertical="center"/>
    </xf>
    <xf numFmtId="2" fontId="29" fillId="3" borderId="79" xfId="57" applyNumberFormat="1" applyFont="1" applyFill="1" applyBorder="1" applyAlignment="1">
      <alignment horizontal="left" vertical="center"/>
    </xf>
    <xf numFmtId="2" fontId="29" fillId="3" borderId="79" xfId="57" applyNumberFormat="1" applyFont="1" applyFill="1" applyBorder="1" applyAlignment="1">
      <alignment horizontal="center" vertical="center"/>
    </xf>
    <xf numFmtId="0" fontId="30" fillId="0" borderId="0" xfId="57" applyFont="1" applyAlignment="1">
      <alignment horizontal="center"/>
    </xf>
    <xf numFmtId="0" fontId="57" fillId="3" borderId="86" xfId="57" applyFont="1" applyFill="1" applyBorder="1" applyAlignment="1">
      <alignment vertical="center"/>
    </xf>
    <xf numFmtId="0" fontId="57" fillId="3" borderId="85" xfId="57" applyFont="1" applyFill="1" applyBorder="1" applyAlignment="1">
      <alignment vertical="center"/>
    </xf>
    <xf numFmtId="0" fontId="25" fillId="0" borderId="46" xfId="60" applyFont="1" applyBorder="1"/>
    <xf numFmtId="4" fontId="29" fillId="3" borderId="46" xfId="60" applyNumberFormat="1" applyFont="1" applyFill="1" applyBorder="1" applyAlignment="1">
      <alignment vertical="center"/>
    </xf>
    <xf numFmtId="2" fontId="69" fillId="3" borderId="85" xfId="57" applyNumberFormat="1" applyFont="1" applyFill="1" applyBorder="1" applyAlignment="1">
      <alignment vertical="center"/>
    </xf>
    <xf numFmtId="1" fontId="69" fillId="3" borderId="85" xfId="57" applyNumberFormat="1" applyFont="1" applyFill="1" applyBorder="1" applyAlignment="1">
      <alignment horizontal="center" vertical="center"/>
    </xf>
    <xf numFmtId="4" fontId="69" fillId="3" borderId="85" xfId="57" applyNumberFormat="1" applyFont="1" applyFill="1" applyBorder="1" applyAlignment="1">
      <alignment vertical="center"/>
    </xf>
    <xf numFmtId="0" fontId="40" fillId="0" borderId="65" xfId="60" applyFont="1" applyBorder="1"/>
    <xf numFmtId="0" fontId="40" fillId="0" borderId="0" xfId="60" applyFont="1"/>
    <xf numFmtId="0" fontId="69" fillId="3" borderId="46" xfId="57" applyFont="1" applyFill="1" applyBorder="1" applyAlignment="1">
      <alignment vertical="center"/>
    </xf>
    <xf numFmtId="2" fontId="69" fillId="3" borderId="46" xfId="57" applyNumberFormat="1" applyFont="1" applyFill="1" applyBorder="1" applyAlignment="1">
      <alignment vertical="center"/>
    </xf>
    <xf numFmtId="1" fontId="69" fillId="3" borderId="46" xfId="57" applyNumberFormat="1" applyFont="1" applyFill="1" applyBorder="1" applyAlignment="1">
      <alignment horizontal="center" vertical="center"/>
    </xf>
    <xf numFmtId="4" fontId="69" fillId="3" borderId="46" xfId="57" applyNumberFormat="1" applyFont="1" applyFill="1" applyBorder="1" applyAlignment="1">
      <alignment vertical="center"/>
    </xf>
    <xf numFmtId="2" fontId="69" fillId="3" borderId="79" xfId="57" applyNumberFormat="1" applyFont="1" applyFill="1" applyBorder="1" applyAlignment="1">
      <alignment vertical="center"/>
    </xf>
    <xf numFmtId="2" fontId="74" fillId="7" borderId="84" xfId="57" applyNumberFormat="1" applyFont="1" applyFill="1" applyBorder="1" applyAlignment="1">
      <alignment horizontal="center" vertical="center"/>
    </xf>
    <xf numFmtId="0" fontId="42" fillId="0" borderId="0" xfId="41" applyFont="1" applyAlignment="1">
      <alignment vertical="center"/>
    </xf>
    <xf numFmtId="0" fontId="85" fillId="0" borderId="0" xfId="58" applyFont="1" applyAlignment="1">
      <alignment vertical="center"/>
    </xf>
    <xf numFmtId="4" fontId="72" fillId="3" borderId="46" xfId="41" applyNumberFormat="1" applyFont="1" applyFill="1" applyBorder="1" applyAlignment="1">
      <alignment vertical="center"/>
    </xf>
    <xf numFmtId="0" fontId="73" fillId="0" borderId="0" xfId="41" applyFont="1" applyAlignment="1">
      <alignment vertical="center"/>
    </xf>
    <xf numFmtId="4" fontId="73" fillId="3" borderId="59" xfId="50" applyNumberFormat="1" applyFont="1" applyFill="1" applyBorder="1" applyAlignment="1">
      <alignment vertical="center"/>
    </xf>
    <xf numFmtId="0" fontId="56" fillId="0" borderId="0" xfId="41" applyFont="1" applyAlignment="1">
      <alignment vertical="center"/>
    </xf>
    <xf numFmtId="0" fontId="74" fillId="7" borderId="7" xfId="57" applyFont="1" applyFill="1" applyBorder="1" applyAlignment="1">
      <alignment horizontal="center" vertical="center" wrapText="1"/>
    </xf>
    <xf numFmtId="0" fontId="74" fillId="7" borderId="31" xfId="57" applyFont="1" applyFill="1" applyBorder="1" applyAlignment="1">
      <alignment horizontal="center" vertical="center" wrapText="1"/>
    </xf>
    <xf numFmtId="0" fontId="74" fillId="7" borderId="9" xfId="57" applyFont="1" applyFill="1" applyBorder="1" applyAlignment="1">
      <alignment horizontal="center" vertical="center" wrapText="1"/>
    </xf>
    <xf numFmtId="0" fontId="74" fillId="7" borderId="27" xfId="57" applyFont="1" applyFill="1" applyBorder="1" applyAlignment="1">
      <alignment horizontal="center" vertical="center" wrapText="1"/>
    </xf>
    <xf numFmtId="4" fontId="29" fillId="0" borderId="0" xfId="57" applyNumberFormat="1" applyFont="1" applyAlignment="1">
      <alignment horizontal="center" vertical="center"/>
    </xf>
    <xf numFmtId="0" fontId="73" fillId="0" borderId="0" xfId="57" applyFont="1"/>
    <xf numFmtId="4" fontId="73" fillId="3" borderId="83" xfId="50" applyNumberFormat="1" applyFont="1" applyFill="1" applyBorder="1" applyAlignment="1">
      <alignment vertical="center"/>
    </xf>
    <xf numFmtId="4" fontId="73" fillId="3" borderId="84" xfId="50" applyNumberFormat="1" applyFont="1" applyFill="1" applyBorder="1" applyAlignment="1">
      <alignment vertical="center"/>
    </xf>
    <xf numFmtId="2" fontId="73" fillId="0" borderId="28" xfId="57" applyNumberFormat="1" applyFont="1" applyBorder="1" applyAlignment="1">
      <alignment vertical="center"/>
    </xf>
    <xf numFmtId="2" fontId="73" fillId="3" borderId="42" xfId="57" applyNumberFormat="1" applyFont="1" applyFill="1" applyBorder="1" applyAlignment="1">
      <alignment vertical="center"/>
    </xf>
    <xf numFmtId="2" fontId="73" fillId="3" borderId="28" xfId="57" applyNumberFormat="1" applyFont="1" applyFill="1" applyBorder="1" applyAlignment="1">
      <alignment vertical="center"/>
    </xf>
    <xf numFmtId="2" fontId="73" fillId="2" borderId="28" xfId="57" applyNumberFormat="1" applyFont="1" applyFill="1" applyBorder="1" applyAlignment="1">
      <alignment vertical="center"/>
    </xf>
    <xf numFmtId="4" fontId="86" fillId="3" borderId="60" xfId="50" applyNumberFormat="1" applyFont="1" applyFill="1" applyBorder="1" applyAlignment="1">
      <alignment horizontal="center" vertical="center"/>
    </xf>
    <xf numFmtId="0" fontId="73" fillId="0" borderId="0" xfId="57" applyFont="1" applyAlignment="1">
      <alignment vertical="center"/>
    </xf>
    <xf numFmtId="1" fontId="73" fillId="0" borderId="28" xfId="57" applyNumberFormat="1" applyFont="1" applyBorder="1" applyAlignment="1">
      <alignment horizontal="center" vertical="center"/>
    </xf>
    <xf numFmtId="179" fontId="42" fillId="5" borderId="17" xfId="58" applyNumberFormat="1" applyFont="1" applyFill="1" applyBorder="1" applyAlignment="1">
      <alignment horizontal="center" vertical="center"/>
    </xf>
    <xf numFmtId="0" fontId="40" fillId="0" borderId="0" xfId="41" applyFont="1" applyAlignment="1">
      <alignment vertical="center"/>
    </xf>
    <xf numFmtId="0" fontId="73" fillId="0" borderId="0" xfId="57" applyFont="1" applyAlignment="1">
      <alignment horizontal="center"/>
    </xf>
    <xf numFmtId="0" fontId="73" fillId="0" borderId="0" xfId="58" applyFont="1" applyAlignment="1">
      <alignment vertical="center"/>
    </xf>
    <xf numFmtId="0" fontId="74" fillId="7" borderId="33" xfId="57" applyFont="1" applyFill="1" applyBorder="1" applyAlignment="1">
      <alignment horizontal="center" vertical="center"/>
    </xf>
    <xf numFmtId="0" fontId="74" fillId="7" borderId="32" xfId="57" applyFont="1" applyFill="1" applyBorder="1" applyAlignment="1">
      <alignment horizontal="center" vertical="center"/>
    </xf>
    <xf numFmtId="0" fontId="74" fillId="7" borderId="34" xfId="57" applyFont="1" applyFill="1" applyBorder="1" applyAlignment="1">
      <alignment horizontal="center" vertical="center"/>
    </xf>
    <xf numFmtId="167" fontId="73" fillId="0" borderId="0" xfId="50" applyFont="1" applyAlignment="1">
      <alignment vertical="center"/>
    </xf>
    <xf numFmtId="0" fontId="73" fillId="2" borderId="28" xfId="41" applyFont="1" applyFill="1" applyBorder="1" applyAlignment="1">
      <alignment vertical="center" wrapText="1"/>
    </xf>
    <xf numFmtId="3" fontId="73" fillId="2" borderId="28" xfId="50" applyNumberFormat="1" applyFont="1" applyFill="1" applyBorder="1" applyAlignment="1">
      <alignment horizontal="center" vertical="center" wrapText="1"/>
    </xf>
    <xf numFmtId="4" fontId="73" fillId="2" borderId="28" xfId="50" applyNumberFormat="1" applyFont="1" applyFill="1" applyBorder="1" applyAlignment="1">
      <alignment vertical="center" wrapText="1"/>
    </xf>
    <xf numFmtId="4" fontId="73" fillId="0" borderId="28" xfId="50" applyNumberFormat="1" applyFont="1" applyFill="1" applyBorder="1" applyAlignment="1">
      <alignment vertical="center" wrapText="1"/>
    </xf>
    <xf numFmtId="4" fontId="73" fillId="3" borderId="28" xfId="50" applyNumberFormat="1" applyFont="1" applyFill="1" applyBorder="1" applyAlignment="1">
      <alignment vertical="center" wrapText="1"/>
    </xf>
    <xf numFmtId="4" fontId="73" fillId="3" borderId="36" xfId="50" applyNumberFormat="1" applyFont="1" applyFill="1" applyBorder="1" applyAlignment="1">
      <alignment vertical="center" wrapText="1"/>
    </xf>
    <xf numFmtId="181" fontId="73" fillId="0" borderId="28" xfId="50" applyNumberFormat="1" applyFont="1" applyFill="1" applyBorder="1" applyAlignment="1">
      <alignment vertical="center" wrapText="1"/>
    </xf>
    <xf numFmtId="0" fontId="73" fillId="2" borderId="0" xfId="41" applyFont="1" applyFill="1" applyAlignment="1">
      <alignment vertical="center"/>
    </xf>
    <xf numFmtId="4" fontId="69" fillId="3" borderId="0" xfId="41" applyNumberFormat="1" applyFont="1" applyFill="1" applyAlignment="1">
      <alignment vertical="center"/>
    </xf>
    <xf numFmtId="0" fontId="89" fillId="2" borderId="0" xfId="41" applyFont="1" applyFill="1" applyAlignment="1">
      <alignment vertical="center"/>
    </xf>
    <xf numFmtId="0" fontId="90" fillId="2" borderId="0" xfId="41" applyFont="1" applyFill="1" applyAlignment="1">
      <alignment horizontal="left" vertical="center"/>
    </xf>
    <xf numFmtId="0" fontId="69" fillId="2" borderId="0" xfId="41" applyFont="1" applyFill="1" applyAlignment="1">
      <alignment vertical="center"/>
    </xf>
    <xf numFmtId="0" fontId="73" fillId="2" borderId="28" xfId="41" quotePrefix="1" applyFont="1" applyFill="1" applyBorder="1" applyAlignment="1">
      <alignment vertical="center" wrapText="1"/>
    </xf>
    <xf numFmtId="0" fontId="78" fillId="2" borderId="28" xfId="41" quotePrefix="1" applyFont="1" applyFill="1" applyBorder="1" applyAlignment="1">
      <alignment vertical="center" wrapText="1"/>
    </xf>
    <xf numFmtId="0" fontId="69" fillId="3" borderId="55" xfId="41" applyFont="1" applyFill="1" applyBorder="1" applyAlignment="1">
      <alignment vertical="center"/>
    </xf>
    <xf numFmtId="3" fontId="69" fillId="3" borderId="46" xfId="41" applyNumberFormat="1" applyFont="1" applyFill="1" applyBorder="1" applyAlignment="1">
      <alignment horizontal="center" vertical="center"/>
    </xf>
    <xf numFmtId="0" fontId="73" fillId="3" borderId="46" xfId="41" applyFont="1" applyFill="1" applyBorder="1" applyAlignment="1">
      <alignment vertical="center"/>
    </xf>
    <xf numFmtId="0" fontId="90" fillId="3" borderId="46" xfId="41" applyFont="1" applyFill="1" applyBorder="1" applyAlignment="1">
      <alignment horizontal="right" vertical="center"/>
    </xf>
    <xf numFmtId="4" fontId="69" fillId="3" borderId="46" xfId="41" applyNumberFormat="1" applyFont="1" applyFill="1" applyBorder="1" applyAlignment="1">
      <alignment vertical="center"/>
    </xf>
    <xf numFmtId="4" fontId="69" fillId="3" borderId="66" xfId="41" applyNumberFormat="1" applyFont="1" applyFill="1" applyBorder="1" applyAlignment="1">
      <alignment vertical="center"/>
    </xf>
    <xf numFmtId="0" fontId="73" fillId="0" borderId="40" xfId="41" applyFont="1" applyBorder="1" applyAlignment="1">
      <alignment vertical="center"/>
    </xf>
    <xf numFmtId="4" fontId="69" fillId="3" borderId="40" xfId="41" applyNumberFormat="1" applyFont="1" applyFill="1" applyBorder="1" applyAlignment="1">
      <alignment vertical="center"/>
    </xf>
    <xf numFmtId="170" fontId="30" fillId="0" borderId="14" xfId="41" applyNumberFormat="1" applyFont="1" applyBorder="1" applyAlignment="1">
      <alignment horizontal="center" vertical="center"/>
    </xf>
    <xf numFmtId="170" fontId="30" fillId="0" borderId="18" xfId="41" applyNumberFormat="1" applyFont="1" applyBorder="1" applyAlignment="1">
      <alignment horizontal="center" vertical="center"/>
    </xf>
    <xf numFmtId="170" fontId="30" fillId="0" borderId="17" xfId="41" applyNumberFormat="1" applyFont="1" applyBorder="1" applyAlignment="1">
      <alignment horizontal="center" vertical="center"/>
    </xf>
    <xf numFmtId="170" fontId="30" fillId="0" borderId="19" xfId="41" applyNumberFormat="1" applyFont="1" applyBorder="1" applyAlignment="1">
      <alignment horizontal="center" vertical="center"/>
    </xf>
    <xf numFmtId="0" fontId="82" fillId="0" borderId="0" xfId="45" applyFont="1" applyAlignment="1">
      <alignment horizontal="center" vertical="center"/>
    </xf>
    <xf numFmtId="0" fontId="30" fillId="0" borderId="0" xfId="58" applyFont="1" applyAlignment="1">
      <alignment horizontal="center" vertical="center"/>
    </xf>
    <xf numFmtId="0" fontId="30" fillId="0" borderId="0" xfId="0" applyNumberFormat="1" applyFont="1" applyFill="1" applyBorder="1" applyAlignment="1">
      <alignment horizontal="center"/>
    </xf>
    <xf numFmtId="0" fontId="91" fillId="2" borderId="8" xfId="58" applyFont="1" applyFill="1" applyBorder="1" applyAlignment="1">
      <alignment vertical="center"/>
    </xf>
    <xf numFmtId="3" fontId="91" fillId="2" borderId="8" xfId="58" applyNumberFormat="1" applyFont="1" applyFill="1" applyBorder="1" applyAlignment="1">
      <alignment horizontal="center" vertical="center"/>
    </xf>
    <xf numFmtId="180" fontId="88" fillId="2" borderId="8" xfId="58" applyNumberFormat="1" applyFont="1" applyFill="1" applyBorder="1" applyAlignment="1">
      <alignment horizontal="center" vertical="center"/>
    </xf>
    <xf numFmtId="4" fontId="69" fillId="3" borderId="46" xfId="41" applyNumberFormat="1" applyFont="1" applyFill="1" applyBorder="1" applyAlignment="1">
      <alignment horizontal="center" vertical="center"/>
    </xf>
    <xf numFmtId="0" fontId="41" fillId="0" borderId="0" xfId="45" applyFont="1" applyAlignment="1">
      <alignment horizontal="left" vertical="center"/>
    </xf>
    <xf numFmtId="0" fontId="69" fillId="3" borderId="53" xfId="57" applyFont="1" applyFill="1" applyBorder="1" applyAlignment="1">
      <alignment vertical="center"/>
    </xf>
    <xf numFmtId="0" fontId="69" fillId="3" borderId="46" xfId="57" applyFont="1" applyFill="1" applyBorder="1" applyAlignment="1">
      <alignment horizontal="center" vertical="center"/>
    </xf>
    <xf numFmtId="0" fontId="73" fillId="0" borderId="0" xfId="60" applyFont="1"/>
    <xf numFmtId="4" fontId="69" fillId="3" borderId="46" xfId="57" applyNumberFormat="1" applyFont="1" applyFill="1" applyBorder="1" applyAlignment="1">
      <alignment horizontal="center" vertical="center"/>
    </xf>
    <xf numFmtId="4" fontId="69" fillId="3" borderId="79" xfId="57" applyNumberFormat="1" applyFont="1" applyFill="1" applyBorder="1" applyAlignment="1">
      <alignment vertical="center"/>
    </xf>
    <xf numFmtId="4" fontId="69" fillId="0" borderId="0" xfId="57" applyNumberFormat="1" applyFont="1" applyAlignment="1">
      <alignment vertical="center"/>
    </xf>
    <xf numFmtId="4" fontId="69" fillId="0" borderId="0" xfId="57" applyNumberFormat="1" applyFont="1" applyAlignment="1">
      <alignment horizontal="center" vertical="center"/>
    </xf>
    <xf numFmtId="0" fontId="73" fillId="0" borderId="0" xfId="57" applyFont="1" applyAlignment="1">
      <alignment horizontal="center" vertical="center"/>
    </xf>
    <xf numFmtId="0" fontId="69" fillId="0" borderId="0" xfId="45" applyFont="1"/>
    <xf numFmtId="0" fontId="69" fillId="0" borderId="0" xfId="45" applyFont="1" applyAlignment="1">
      <alignment vertical="center"/>
    </xf>
    <xf numFmtId="0" fontId="73" fillId="0" borderId="0" xfId="45" applyFont="1" applyAlignment="1">
      <alignment vertical="center"/>
    </xf>
    <xf numFmtId="2" fontId="73" fillId="3" borderId="77" xfId="57" applyNumberFormat="1" applyFont="1" applyFill="1" applyBorder="1" applyAlignment="1">
      <alignment vertical="center"/>
    </xf>
    <xf numFmtId="2" fontId="73" fillId="0" borderId="42" xfId="57" applyNumberFormat="1" applyFont="1" applyBorder="1" applyAlignment="1">
      <alignment vertical="center"/>
    </xf>
    <xf numFmtId="1" fontId="73" fillId="0" borderId="42" xfId="57" applyNumberFormat="1" applyFont="1" applyBorder="1" applyAlignment="1">
      <alignment horizontal="center" vertical="center"/>
    </xf>
    <xf numFmtId="0" fontId="73" fillId="0" borderId="80" xfId="57" applyFont="1" applyBorder="1"/>
    <xf numFmtId="2" fontId="73" fillId="3" borderId="56" xfId="57" applyNumberFormat="1" applyFont="1" applyFill="1" applyBorder="1" applyAlignment="1">
      <alignment vertical="center"/>
    </xf>
    <xf numFmtId="2" fontId="78" fillId="3" borderId="28" xfId="57" applyNumberFormat="1" applyFont="1" applyFill="1" applyBorder="1" applyAlignment="1">
      <alignment vertical="center"/>
    </xf>
    <xf numFmtId="2" fontId="78" fillId="3" borderId="36" xfId="57" applyNumberFormat="1" applyFont="1" applyFill="1" applyBorder="1" applyAlignment="1">
      <alignment vertical="center"/>
    </xf>
    <xf numFmtId="2" fontId="73" fillId="2" borderId="43" xfId="57" applyNumberFormat="1" applyFont="1" applyFill="1" applyBorder="1" applyAlignment="1">
      <alignment vertical="center"/>
    </xf>
    <xf numFmtId="2" fontId="73" fillId="3" borderId="58" xfId="57" applyNumberFormat="1" applyFont="1" applyFill="1" applyBorder="1" applyAlignment="1">
      <alignment vertical="center"/>
    </xf>
    <xf numFmtId="2" fontId="94" fillId="0" borderId="28" xfId="57" applyNumberFormat="1" applyFont="1" applyBorder="1" applyAlignment="1">
      <alignment vertical="center"/>
    </xf>
    <xf numFmtId="0" fontId="94" fillId="0" borderId="80" xfId="57" applyFont="1" applyBorder="1"/>
    <xf numFmtId="0" fontId="94" fillId="0" borderId="0" xfId="57" applyFont="1"/>
    <xf numFmtId="1" fontId="94" fillId="0" borderId="28" xfId="57" applyNumberFormat="1" applyFont="1" applyBorder="1" applyAlignment="1">
      <alignment horizontal="center" vertical="center"/>
    </xf>
    <xf numFmtId="2" fontId="94" fillId="2" borderId="28" xfId="57" applyNumberFormat="1" applyFont="1" applyFill="1" applyBorder="1" applyAlignment="1">
      <alignment vertical="center"/>
    </xf>
    <xf numFmtId="0" fontId="94" fillId="0" borderId="0" xfId="57" applyFont="1" applyAlignment="1">
      <alignment horizontal="center"/>
    </xf>
    <xf numFmtId="4" fontId="69" fillId="3" borderId="53" xfId="57" applyNumberFormat="1" applyFont="1" applyFill="1" applyBorder="1" applyAlignment="1">
      <alignment vertical="center"/>
    </xf>
    <xf numFmtId="0" fontId="69" fillId="3" borderId="46" xfId="41" applyFont="1" applyFill="1" applyBorder="1" applyAlignment="1">
      <alignment horizontal="center" vertical="center"/>
    </xf>
    <xf numFmtId="2" fontId="73" fillId="0" borderId="43" xfId="57" applyNumberFormat="1" applyFont="1" applyBorder="1" applyAlignment="1">
      <alignment vertical="center"/>
    </xf>
    <xf numFmtId="2" fontId="73" fillId="3" borderId="43" xfId="57" applyNumberFormat="1" applyFont="1" applyFill="1" applyBorder="1" applyAlignment="1">
      <alignment vertical="center"/>
    </xf>
    <xf numFmtId="2" fontId="69" fillId="3" borderId="10" xfId="57" applyNumberFormat="1" applyFont="1" applyFill="1" applyBorder="1" applyAlignment="1">
      <alignment vertical="center"/>
    </xf>
    <xf numFmtId="0" fontId="69" fillId="3" borderId="10" xfId="57" applyFont="1" applyFill="1" applyBorder="1" applyAlignment="1">
      <alignment vertical="center"/>
    </xf>
    <xf numFmtId="0" fontId="30" fillId="0" borderId="0" xfId="60" applyFont="1"/>
    <xf numFmtId="4" fontId="73" fillId="3" borderId="42" xfId="50" applyNumberFormat="1" applyFont="1" applyFill="1" applyBorder="1" applyAlignment="1">
      <alignment vertical="center"/>
    </xf>
    <xf numFmtId="4" fontId="86" fillId="0" borderId="36" xfId="50" applyNumberFormat="1" applyFont="1" applyFill="1" applyBorder="1" applyAlignment="1">
      <alignment vertical="center" wrapText="1"/>
    </xf>
    <xf numFmtId="0" fontId="97" fillId="2" borderId="0" xfId="41" applyFont="1" applyFill="1" applyAlignment="1">
      <alignment horizontal="center" vertical="center"/>
    </xf>
    <xf numFmtId="0" fontId="98" fillId="0" borderId="0" xfId="41" applyFont="1" applyAlignment="1">
      <alignment vertical="center"/>
    </xf>
    <xf numFmtId="4" fontId="73" fillId="2" borderId="42" xfId="50" applyNumberFormat="1" applyFont="1" applyFill="1" applyBorder="1" applyAlignment="1">
      <alignment vertical="center" wrapText="1"/>
    </xf>
    <xf numFmtId="4" fontId="73" fillId="0" borderId="42" xfId="50" applyNumberFormat="1" applyFont="1" applyFill="1" applyBorder="1" applyAlignment="1">
      <alignment vertical="center" wrapText="1"/>
    </xf>
    <xf numFmtId="3" fontId="73" fillId="4" borderId="42" xfId="50" applyNumberFormat="1" applyFont="1" applyFill="1" applyBorder="1" applyAlignment="1">
      <alignment horizontal="center" vertical="center" wrapText="1"/>
    </xf>
    <xf numFmtId="3" fontId="73" fillId="2" borderId="42" xfId="50" applyNumberFormat="1" applyFont="1" applyFill="1" applyBorder="1" applyAlignment="1">
      <alignment horizontal="center" vertical="center"/>
    </xf>
    <xf numFmtId="3" fontId="86" fillId="2" borderId="60" xfId="50" applyNumberFormat="1" applyFont="1" applyFill="1" applyBorder="1" applyAlignment="1">
      <alignment horizontal="center" vertical="center"/>
    </xf>
    <xf numFmtId="0" fontId="73" fillId="2" borderId="64" xfId="41" quotePrefix="1" applyFont="1" applyFill="1" applyBorder="1" applyAlignment="1">
      <alignment vertical="center"/>
    </xf>
    <xf numFmtId="4" fontId="73" fillId="3" borderId="46" xfId="41" applyNumberFormat="1" applyFont="1" applyFill="1" applyBorder="1" applyAlignment="1">
      <alignment vertical="center"/>
    </xf>
    <xf numFmtId="3" fontId="73" fillId="3" borderId="46" xfId="41" applyNumberFormat="1" applyFont="1" applyFill="1" applyBorder="1" applyAlignment="1">
      <alignment horizontal="center" vertical="center"/>
    </xf>
    <xf numFmtId="4" fontId="69" fillId="3" borderId="79" xfId="41" applyNumberFormat="1" applyFont="1" applyFill="1" applyBorder="1" applyAlignment="1">
      <alignment horizontal="center" vertical="center"/>
    </xf>
    <xf numFmtId="2" fontId="79" fillId="7" borderId="84" xfId="57" applyNumberFormat="1" applyFont="1" applyFill="1" applyBorder="1" applyAlignment="1">
      <alignment horizontal="center" vertical="center"/>
    </xf>
    <xf numFmtId="2" fontId="86" fillId="0" borderId="36" xfId="57" applyNumberFormat="1" applyFont="1" applyBorder="1" applyAlignment="1">
      <alignment horizontal="center" vertical="center"/>
    </xf>
    <xf numFmtId="4" fontId="60" fillId="3" borderId="81" xfId="50" applyNumberFormat="1" applyFont="1" applyFill="1" applyBorder="1" applyAlignment="1">
      <alignment vertical="center" wrapText="1"/>
    </xf>
    <xf numFmtId="2" fontId="60" fillId="0" borderId="57" xfId="57" applyNumberFormat="1" applyFont="1" applyBorder="1" applyAlignment="1">
      <alignment horizontal="center" vertical="center"/>
    </xf>
    <xf numFmtId="4" fontId="60" fillId="3" borderId="78" xfId="50" applyNumberFormat="1" applyFont="1" applyFill="1" applyBorder="1" applyAlignment="1">
      <alignment vertical="center" wrapText="1"/>
    </xf>
    <xf numFmtId="2" fontId="60" fillId="0" borderId="57" xfId="60" applyNumberFormat="1" applyFont="1" applyBorder="1" applyAlignment="1">
      <alignment horizontal="center" vertical="center"/>
    </xf>
    <xf numFmtId="4" fontId="60" fillId="3" borderId="81" xfId="50" applyNumberFormat="1" applyFont="1" applyFill="1" applyBorder="1" applyAlignment="1">
      <alignment horizontal="center" vertical="center" wrapText="1"/>
    </xf>
    <xf numFmtId="4" fontId="96" fillId="3" borderId="79" xfId="60" applyNumberFormat="1" applyFont="1" applyFill="1" applyBorder="1" applyAlignment="1">
      <alignment horizontal="center" vertical="center"/>
    </xf>
    <xf numFmtId="4" fontId="86" fillId="3" borderId="83" xfId="50" applyNumberFormat="1" applyFont="1" applyFill="1" applyBorder="1" applyAlignment="1">
      <alignment horizontal="center" vertical="center"/>
    </xf>
    <xf numFmtId="4" fontId="79" fillId="7" borderId="82" xfId="57" applyNumberFormat="1" applyFont="1" applyFill="1" applyBorder="1" applyAlignment="1">
      <alignment vertical="center"/>
    </xf>
    <xf numFmtId="4" fontId="95" fillId="3" borderId="39" xfId="47" applyNumberFormat="1" applyFont="1" applyFill="1" applyBorder="1" applyAlignment="1">
      <alignment vertical="center"/>
    </xf>
    <xf numFmtId="0" fontId="86" fillId="0" borderId="38" xfId="57" applyFont="1" applyBorder="1" applyAlignment="1">
      <alignment horizontal="center" vertical="center"/>
    </xf>
    <xf numFmtId="4" fontId="95" fillId="3" borderId="38" xfId="47" applyNumberFormat="1" applyFont="1" applyFill="1" applyBorder="1" applyAlignment="1">
      <alignment vertical="center"/>
    </xf>
    <xf numFmtId="2" fontId="95" fillId="3" borderId="52" xfId="57" applyNumberFormat="1" applyFont="1" applyFill="1" applyBorder="1" applyAlignment="1">
      <alignment horizontal="center" vertical="center"/>
    </xf>
    <xf numFmtId="2" fontId="95" fillId="3" borderId="54" xfId="57" applyNumberFormat="1" applyFont="1" applyFill="1" applyBorder="1" applyAlignment="1">
      <alignment horizontal="center" vertical="center"/>
    </xf>
    <xf numFmtId="2" fontId="74" fillId="7" borderId="25" xfId="57" applyNumberFormat="1" applyFont="1" applyFill="1" applyBorder="1" applyAlignment="1">
      <alignment horizontal="center" vertical="center"/>
    </xf>
    <xf numFmtId="0" fontId="69" fillId="0" borderId="85" xfId="57" applyFont="1" applyBorder="1" applyAlignment="1">
      <alignment vertical="center"/>
    </xf>
    <xf numFmtId="2" fontId="69" fillId="0" borderId="85" xfId="57" applyNumberFormat="1" applyFont="1" applyBorder="1" applyAlignment="1">
      <alignment vertical="center"/>
    </xf>
    <xf numFmtId="2" fontId="95" fillId="0" borderId="85" xfId="57" applyNumberFormat="1" applyFont="1" applyBorder="1" applyAlignment="1">
      <alignment horizontal="center" vertical="center"/>
    </xf>
    <xf numFmtId="0" fontId="91" fillId="2" borderId="2" xfId="58" applyFont="1" applyFill="1" applyBorder="1" applyAlignment="1">
      <alignment horizontal="right" vertical="center"/>
    </xf>
    <xf numFmtId="0" fontId="91" fillId="2" borderId="2" xfId="58" applyFont="1" applyFill="1" applyBorder="1" applyAlignment="1">
      <alignment vertical="center"/>
    </xf>
    <xf numFmtId="4" fontId="91" fillId="2" borderId="2" xfId="58" applyNumberFormat="1" applyFont="1" applyFill="1" applyBorder="1" applyAlignment="1">
      <alignment horizontal="center" vertical="center"/>
    </xf>
    <xf numFmtId="0" fontId="73" fillId="0" borderId="0" xfId="58" applyFont="1" applyAlignment="1">
      <alignment horizontal="center" vertical="center"/>
    </xf>
    <xf numFmtId="0" fontId="91" fillId="2" borderId="8" xfId="58" applyFont="1" applyFill="1" applyBorder="1" applyAlignment="1">
      <alignment horizontal="right" vertical="center"/>
    </xf>
    <xf numFmtId="0" fontId="73" fillId="0" borderId="0" xfId="41" applyFont="1" applyAlignment="1">
      <alignment horizontal="center" vertical="center"/>
    </xf>
    <xf numFmtId="0" fontId="88" fillId="2" borderId="0" xfId="58" applyFont="1" applyFill="1" applyAlignment="1">
      <alignment vertical="center"/>
    </xf>
    <xf numFmtId="4" fontId="91" fillId="5" borderId="40" xfId="58" applyNumberFormat="1" applyFont="1" applyFill="1" applyBorder="1" applyAlignment="1">
      <alignment vertical="center"/>
    </xf>
    <xf numFmtId="10" fontId="88" fillId="2" borderId="0" xfId="59" applyNumberFormat="1" applyFont="1" applyFill="1" applyBorder="1" applyAlignment="1">
      <alignment horizontal="center" vertical="center"/>
    </xf>
    <xf numFmtId="4" fontId="69" fillId="3" borderId="72" xfId="41" applyNumberFormat="1" applyFont="1" applyFill="1" applyBorder="1" applyAlignment="1">
      <alignment horizontal="center" vertical="center"/>
    </xf>
    <xf numFmtId="3" fontId="91" fillId="2" borderId="61" xfId="58" applyNumberFormat="1" applyFont="1" applyFill="1" applyBorder="1" applyAlignment="1">
      <alignment horizontal="center" vertical="center"/>
    </xf>
    <xf numFmtId="180" fontId="88" fillId="2" borderId="61" xfId="58" applyNumberFormat="1" applyFont="1" applyFill="1" applyBorder="1" applyAlignment="1">
      <alignment horizontal="center" vertical="center"/>
    </xf>
    <xf numFmtId="0" fontId="73" fillId="0" borderId="35" xfId="57" applyFont="1" applyBorder="1" applyAlignment="1">
      <alignment horizontal="left" vertical="center"/>
    </xf>
    <xf numFmtId="0" fontId="73" fillId="0" borderId="28" xfId="57" applyFont="1" applyBorder="1" applyAlignment="1">
      <alignment horizontal="left" vertical="center"/>
    </xf>
    <xf numFmtId="2" fontId="69" fillId="0" borderId="28" xfId="57" applyNumberFormat="1" applyFont="1" applyBorder="1" applyAlignment="1">
      <alignment vertical="center"/>
    </xf>
    <xf numFmtId="0" fontId="73" fillId="0" borderId="62" xfId="57" applyFont="1" applyBorder="1" applyAlignment="1">
      <alignment horizontal="left" vertical="center"/>
    </xf>
    <xf numFmtId="0" fontId="73" fillId="0" borderId="43" xfId="57" applyFont="1" applyBorder="1" applyAlignment="1">
      <alignment horizontal="left" vertical="center"/>
    </xf>
    <xf numFmtId="2" fontId="69" fillId="0" borderId="43" xfId="57" applyNumberFormat="1" applyFont="1" applyBorder="1" applyAlignment="1">
      <alignment vertical="center"/>
    </xf>
    <xf numFmtId="4" fontId="73" fillId="3" borderId="83" xfId="207" applyNumberFormat="1" applyFont="1" applyFill="1" applyBorder="1" applyAlignment="1">
      <alignment vertical="center"/>
    </xf>
    <xf numFmtId="0" fontId="94" fillId="0" borderId="42" xfId="206" applyFont="1" applyBorder="1" applyAlignment="1">
      <alignment horizontal="center" vertical="center" wrapText="1"/>
    </xf>
    <xf numFmtId="0" fontId="73" fillId="0" borderId="63" xfId="57" applyFont="1" applyBorder="1" applyAlignment="1">
      <alignment horizontal="center" vertical="center"/>
    </xf>
    <xf numFmtId="0" fontId="94" fillId="0" borderId="28" xfId="206" applyFont="1" applyBorder="1" applyAlignment="1">
      <alignment horizontal="center" vertical="center" wrapText="1"/>
    </xf>
    <xf numFmtId="0" fontId="73" fillId="0" borderId="35" xfId="57" applyFont="1" applyBorder="1" applyAlignment="1">
      <alignment horizontal="center" vertical="center"/>
    </xf>
    <xf numFmtId="0" fontId="94" fillId="0" borderId="35" xfId="57" applyFont="1" applyBorder="1" applyAlignment="1">
      <alignment horizontal="center" vertical="center" wrapText="1"/>
    </xf>
    <xf numFmtId="4" fontId="81" fillId="3" borderId="82" xfId="207" applyNumberFormat="1" applyFont="1" applyFill="1" applyBorder="1" applyAlignment="1">
      <alignment vertical="center"/>
    </xf>
    <xf numFmtId="4" fontId="42" fillId="3" borderId="87" xfId="50" applyNumberFormat="1" applyFont="1" applyFill="1" applyBorder="1" applyAlignment="1">
      <alignment vertical="center"/>
    </xf>
    <xf numFmtId="2" fontId="79" fillId="0" borderId="0" xfId="57" applyNumberFormat="1" applyFont="1" applyAlignment="1">
      <alignment vertical="center"/>
    </xf>
    <xf numFmtId="2" fontId="79" fillId="0" borderId="0" xfId="57" applyNumberFormat="1" applyFont="1" applyAlignment="1">
      <alignment horizontal="center" vertical="center"/>
    </xf>
    <xf numFmtId="0" fontId="79" fillId="11" borderId="27" xfId="41" applyFont="1" applyFill="1" applyBorder="1" applyAlignment="1">
      <alignment horizontal="center" vertical="center"/>
    </xf>
    <xf numFmtId="0" fontId="79" fillId="11" borderId="7" xfId="41" applyFont="1" applyFill="1" applyBorder="1" applyAlignment="1">
      <alignment vertical="center"/>
    </xf>
    <xf numFmtId="0" fontId="79" fillId="11" borderId="7" xfId="41" applyFont="1" applyFill="1" applyBorder="1" applyAlignment="1">
      <alignment horizontal="center" vertical="center"/>
    </xf>
    <xf numFmtId="0" fontId="79" fillId="11" borderId="31" xfId="41" applyFont="1" applyFill="1" applyBorder="1" applyAlignment="1">
      <alignment horizontal="center" vertical="center"/>
    </xf>
    <xf numFmtId="0" fontId="79" fillId="11" borderId="1" xfId="41" applyFont="1" applyFill="1" applyBorder="1" applyAlignment="1">
      <alignment horizontal="center" vertical="center"/>
    </xf>
    <xf numFmtId="0" fontId="79" fillId="11" borderId="33" xfId="41" applyFont="1" applyFill="1" applyBorder="1" applyAlignment="1">
      <alignment horizontal="center" vertical="center"/>
    </xf>
    <xf numFmtId="0" fontId="79" fillId="11" borderId="0" xfId="41" applyFont="1" applyFill="1" applyAlignment="1">
      <alignment horizontal="center" vertical="center" wrapText="1"/>
    </xf>
    <xf numFmtId="0" fontId="79" fillId="11" borderId="31" xfId="41" applyFont="1" applyFill="1" applyBorder="1" applyAlignment="1">
      <alignment horizontal="center" vertical="center" wrapText="1"/>
    </xf>
    <xf numFmtId="0" fontId="79" fillId="12" borderId="91" xfId="0" applyFont="1" applyFill="1" applyBorder="1" applyAlignment="1">
      <alignment horizontal="center" vertical="center" wrapText="1"/>
    </xf>
    <xf numFmtId="0" fontId="79" fillId="13" borderId="90" xfId="0" applyFont="1" applyFill="1" applyBorder="1" applyAlignment="1">
      <alignment horizontal="center" vertical="center"/>
    </xf>
    <xf numFmtId="0" fontId="79" fillId="13" borderId="89" xfId="0" applyFont="1" applyFill="1" applyBorder="1" applyAlignment="1">
      <alignment horizontal="center" vertical="center"/>
    </xf>
    <xf numFmtId="0" fontId="79" fillId="11" borderId="1" xfId="41" applyFont="1" applyFill="1" applyBorder="1" applyAlignment="1">
      <alignment horizontal="center" vertical="center" wrapText="1"/>
    </xf>
    <xf numFmtId="0" fontId="79" fillId="11" borderId="27" xfId="41" applyFont="1" applyFill="1" applyBorder="1" applyAlignment="1">
      <alignment horizontal="center" vertical="center" wrapText="1"/>
    </xf>
    <xf numFmtId="0" fontId="79" fillId="11" borderId="23" xfId="41" applyFont="1" applyFill="1" applyBorder="1" applyAlignment="1">
      <alignment horizontal="center" vertical="center" wrapText="1"/>
    </xf>
    <xf numFmtId="0" fontId="79" fillId="11" borderId="7" xfId="41" applyFont="1" applyFill="1" applyBorder="1" applyAlignment="1">
      <alignment horizontal="center" vertical="center" wrapText="1"/>
    </xf>
    <xf numFmtId="49" fontId="71" fillId="11" borderId="7" xfId="53" applyNumberFormat="1" applyFont="1" applyFill="1" applyBorder="1" applyAlignment="1">
      <alignment horizontal="center" vertical="center" wrapText="1"/>
    </xf>
    <xf numFmtId="49" fontId="79" fillId="11" borderId="7" xfId="53" applyNumberFormat="1" applyFont="1" applyFill="1" applyBorder="1" applyAlignment="1">
      <alignment horizontal="center" vertical="center" wrapText="1"/>
    </xf>
    <xf numFmtId="0" fontId="79" fillId="11" borderId="27" xfId="30" applyNumberFormat="1" applyFont="1" applyFill="1" applyBorder="1" applyAlignment="1">
      <alignment horizontal="center" vertical="center" wrapText="1"/>
    </xf>
    <xf numFmtId="179" fontId="74" fillId="11" borderId="7" xfId="58" applyNumberFormat="1" applyFont="1" applyFill="1" applyBorder="1" applyAlignment="1">
      <alignment horizontal="center" vertical="center"/>
    </xf>
    <xf numFmtId="4" fontId="74" fillId="11" borderId="22" xfId="58" applyNumberFormat="1" applyFont="1" applyFill="1" applyBorder="1" applyAlignment="1">
      <alignment horizontal="centerContinuous" vertical="center"/>
    </xf>
    <xf numFmtId="0" fontId="75" fillId="11" borderId="24" xfId="58" applyFont="1" applyFill="1" applyBorder="1" applyAlignment="1">
      <alignment horizontal="centerContinuous" vertical="center"/>
    </xf>
    <xf numFmtId="4" fontId="74" fillId="11" borderId="24" xfId="58" applyNumberFormat="1" applyFont="1" applyFill="1" applyBorder="1" applyAlignment="1">
      <alignment horizontal="centerContinuous" vertical="center"/>
    </xf>
    <xf numFmtId="4" fontId="74" fillId="11" borderId="25" xfId="58" applyNumberFormat="1" applyFont="1" applyFill="1" applyBorder="1" applyAlignment="1">
      <alignment horizontal="centerContinuous" vertical="center"/>
    </xf>
    <xf numFmtId="4" fontId="74" fillId="11" borderId="75" xfId="58" applyNumberFormat="1" applyFont="1" applyFill="1" applyBorder="1" applyAlignment="1">
      <alignment horizontal="centerContinuous" vertical="center"/>
    </xf>
    <xf numFmtId="4" fontId="101" fillId="3" borderId="92" xfId="47" applyNumberFormat="1" applyFont="1" applyFill="1" applyBorder="1" applyAlignment="1">
      <alignment vertical="center"/>
    </xf>
    <xf numFmtId="4" fontId="101" fillId="3" borderId="93" xfId="47" applyNumberFormat="1" applyFont="1" applyFill="1" applyBorder="1" applyAlignment="1">
      <alignment vertical="center"/>
    </xf>
    <xf numFmtId="4" fontId="101" fillId="3" borderId="93" xfId="47" applyNumberFormat="1" applyFont="1" applyFill="1" applyBorder="1" applyAlignment="1">
      <alignment horizontal="center" vertical="center"/>
    </xf>
    <xf numFmtId="179" fontId="74" fillId="11" borderId="73" xfId="58" applyNumberFormat="1" applyFont="1" applyFill="1" applyBorder="1" applyAlignment="1">
      <alignment horizontal="center" vertical="center"/>
    </xf>
    <xf numFmtId="1" fontId="42" fillId="0" borderId="0" xfId="58" quotePrefix="1" applyNumberFormat="1" applyFont="1" applyAlignment="1">
      <alignment horizontal="left" vertical="center"/>
    </xf>
    <xf numFmtId="0" fontId="30" fillId="2" borderId="49" xfId="41" applyFont="1" applyFill="1" applyBorder="1" applyAlignment="1">
      <alignment vertical="center" wrapText="1"/>
    </xf>
    <xf numFmtId="3" fontId="42" fillId="2" borderId="48" xfId="50" applyNumberFormat="1" applyFont="1" applyFill="1" applyBorder="1" applyAlignment="1">
      <alignment horizontal="center" vertical="center" wrapText="1"/>
    </xf>
    <xf numFmtId="4" fontId="42" fillId="2" borderId="48" xfId="58" applyNumberFormat="1" applyFont="1" applyFill="1" applyBorder="1" applyAlignment="1">
      <alignment vertical="center"/>
    </xf>
    <xf numFmtId="4" fontId="30" fillId="2" borderId="71" xfId="58" applyNumberFormat="1" applyFont="1" applyFill="1" applyBorder="1" applyAlignment="1">
      <alignment vertical="center"/>
    </xf>
    <xf numFmtId="0" fontId="68" fillId="2" borderId="49" xfId="41" applyFont="1" applyFill="1" applyBorder="1" applyAlignment="1">
      <alignment vertical="center" wrapText="1"/>
    </xf>
    <xf numFmtId="4" fontId="101" fillId="3" borderId="94" xfId="47" applyNumberFormat="1" applyFont="1" applyFill="1" applyBorder="1" applyAlignment="1">
      <alignment horizontal="center" vertical="center"/>
    </xf>
    <xf numFmtId="1" fontId="42" fillId="0" borderId="64" xfId="58" quotePrefix="1" applyNumberFormat="1" applyFont="1" applyBorder="1" applyAlignment="1">
      <alignment horizontal="left" vertical="center"/>
    </xf>
    <xf numFmtId="0" fontId="30" fillId="0" borderId="87" xfId="41" applyFont="1" applyBorder="1" applyAlignment="1">
      <alignment horizontal="center" vertical="center" wrapText="1"/>
    </xf>
    <xf numFmtId="3" fontId="42" fillId="0" borderId="42" xfId="50" applyNumberFormat="1" applyFont="1" applyFill="1" applyBorder="1" applyAlignment="1">
      <alignment horizontal="center" vertical="center" wrapText="1"/>
    </xf>
    <xf numFmtId="4" fontId="42" fillId="0" borderId="42" xfId="58" applyNumberFormat="1" applyFont="1" applyBorder="1" applyAlignment="1">
      <alignment vertical="center"/>
    </xf>
    <xf numFmtId="4" fontId="30" fillId="0" borderId="70" xfId="58" applyNumberFormat="1" applyFont="1" applyBorder="1" applyAlignment="1">
      <alignment vertical="center"/>
    </xf>
    <xf numFmtId="0" fontId="77" fillId="0" borderId="96" xfId="45" applyFont="1" applyBorder="1" applyAlignment="1">
      <alignment vertical="center"/>
    </xf>
    <xf numFmtId="0" fontId="40" fillId="0" borderId="96" xfId="45" applyFont="1" applyBorder="1" applyAlignment="1">
      <alignment vertical="center"/>
    </xf>
    <xf numFmtId="0" fontId="40" fillId="0" borderId="97" xfId="45" applyFont="1" applyBorder="1" applyAlignment="1">
      <alignment vertical="center"/>
    </xf>
    <xf numFmtId="17" fontId="40" fillId="0" borderId="96" xfId="45" applyNumberFormat="1" applyFont="1" applyBorder="1" applyAlignment="1">
      <alignment horizontal="left" vertical="center"/>
    </xf>
    <xf numFmtId="181" fontId="40" fillId="0" borderId="96" xfId="83" applyNumberFormat="1" applyFont="1" applyBorder="1" applyAlignment="1">
      <alignment horizontal="left" vertical="center"/>
    </xf>
    <xf numFmtId="0" fontId="77" fillId="0" borderId="98" xfId="45" applyFont="1" applyBorder="1" applyAlignment="1">
      <alignment vertical="center"/>
    </xf>
    <xf numFmtId="17" fontId="40" fillId="0" borderId="100" xfId="45" applyNumberFormat="1" applyFont="1" applyBorder="1" applyAlignment="1">
      <alignment horizontal="left" vertical="center"/>
    </xf>
    <xf numFmtId="0" fontId="77" fillId="0" borderId="102" xfId="45" applyFont="1" applyBorder="1" applyAlignment="1">
      <alignment vertical="center"/>
    </xf>
    <xf numFmtId="0" fontId="77" fillId="0" borderId="103" xfId="45" applyFont="1" applyBorder="1" applyAlignment="1">
      <alignment vertical="center"/>
    </xf>
    <xf numFmtId="0" fontId="40" fillId="0" borderId="104" xfId="45" applyFont="1" applyBorder="1" applyAlignment="1">
      <alignment vertical="center"/>
    </xf>
    <xf numFmtId="0" fontId="40" fillId="0" borderId="105" xfId="45" applyFont="1" applyBorder="1" applyAlignment="1">
      <alignment vertical="center"/>
    </xf>
    <xf numFmtId="181" fontId="40" fillId="0" borderId="106" xfId="83" applyNumberFormat="1" applyFont="1" applyBorder="1" applyAlignment="1">
      <alignment horizontal="left" vertical="center"/>
    </xf>
    <xf numFmtId="14" fontId="40" fillId="0" borderId="107" xfId="45" applyNumberFormat="1" applyFont="1" applyBorder="1" applyAlignment="1">
      <alignment horizontal="left" vertical="center"/>
    </xf>
    <xf numFmtId="0" fontId="40" fillId="0" borderId="102" xfId="45" applyFont="1" applyBorder="1" applyAlignment="1">
      <alignment vertical="center"/>
    </xf>
    <xf numFmtId="0" fontId="40" fillId="0" borderId="103" xfId="45" applyFont="1" applyBorder="1" applyAlignment="1">
      <alignment vertical="center"/>
    </xf>
    <xf numFmtId="0" fontId="70" fillId="0" borderId="96" xfId="45" applyFont="1" applyBorder="1" applyAlignment="1">
      <alignment vertical="center"/>
    </xf>
    <xf numFmtId="0" fontId="40" fillId="0" borderId="101" xfId="45" applyFont="1" applyBorder="1" applyAlignment="1">
      <alignment vertical="center"/>
    </xf>
    <xf numFmtId="17" fontId="40" fillId="0" borderId="106" xfId="45" applyNumberFormat="1" applyFont="1" applyBorder="1" applyAlignment="1">
      <alignment horizontal="left" vertical="center"/>
    </xf>
    <xf numFmtId="0" fontId="79" fillId="11" borderId="0" xfId="41" applyFont="1" applyFill="1" applyAlignment="1">
      <alignment horizontal="centerContinuous" vertical="center"/>
    </xf>
    <xf numFmtId="14" fontId="40" fillId="0" borderId="96" xfId="45" applyNumberFormat="1" applyFont="1" applyBorder="1" applyAlignment="1">
      <alignment horizontal="left" vertical="center"/>
    </xf>
    <xf numFmtId="0" fontId="70" fillId="0" borderId="97" xfId="45" applyFont="1" applyBorder="1" applyAlignment="1">
      <alignment vertical="center"/>
    </xf>
    <xf numFmtId="0" fontId="71" fillId="11" borderId="1" xfId="41" applyFont="1" applyFill="1" applyBorder="1" applyAlignment="1">
      <alignment horizontal="center" vertical="center"/>
    </xf>
    <xf numFmtId="0" fontId="71" fillId="11" borderId="7" xfId="41" applyFont="1" applyFill="1" applyBorder="1" applyAlignment="1">
      <alignment horizontal="center" vertical="center"/>
    </xf>
    <xf numFmtId="0" fontId="57" fillId="0" borderId="0" xfId="41" applyFont="1" applyAlignment="1">
      <alignment vertical="center"/>
    </xf>
    <xf numFmtId="0" fontId="41" fillId="0" borderId="95" xfId="45" applyFont="1" applyBorder="1" applyAlignment="1">
      <alignment vertical="center"/>
    </xf>
    <xf numFmtId="169" fontId="93" fillId="0" borderId="109" xfId="52" quotePrefix="1" applyNumberFormat="1" applyFont="1" applyFill="1" applyBorder="1" applyAlignment="1">
      <alignment horizontal="left" vertical="center"/>
    </xf>
    <xf numFmtId="0" fontId="104" fillId="0" borderId="0" xfId="212" applyFont="1" applyAlignment="1">
      <alignment horizontal="left" vertical="top"/>
    </xf>
    <xf numFmtId="0" fontId="103" fillId="0" borderId="0" xfId="215" applyNumberFormat="1" applyFill="1" applyBorder="1" applyAlignment="1"/>
    <xf numFmtId="0" fontId="27" fillId="16" borderId="22" xfId="0" applyNumberFormat="1" applyFont="1" applyFill="1" applyBorder="1" applyAlignment="1">
      <alignment horizontal="center" vertical="center"/>
    </xf>
    <xf numFmtId="0" fontId="27" fillId="16" borderId="24" xfId="0" applyNumberFormat="1" applyFont="1" applyFill="1" applyBorder="1" applyAlignment="1">
      <alignment horizontal="center" vertical="center"/>
    </xf>
    <xf numFmtId="0" fontId="27" fillId="16" borderId="25" xfId="0" applyNumberFormat="1" applyFont="1" applyFill="1" applyBorder="1" applyAlignment="1">
      <alignment horizontal="center" vertical="center"/>
    </xf>
    <xf numFmtId="0" fontId="25" fillId="0" borderId="113" xfId="0" applyNumberFormat="1" applyFont="1" applyFill="1" applyBorder="1" applyAlignment="1"/>
    <xf numFmtId="0" fontId="103" fillId="0" borderId="114" xfId="215" applyNumberFormat="1" applyFill="1" applyBorder="1" applyAlignment="1"/>
    <xf numFmtId="14" fontId="0" fillId="0" borderId="114" xfId="0" applyNumberFormat="1" applyFont="1" applyFill="1" applyBorder="1" applyAlignment="1">
      <alignment horizontal="center"/>
    </xf>
    <xf numFmtId="0" fontId="25" fillId="0" borderId="115" xfId="215" applyNumberFormat="1" applyFont="1" applyFill="1" applyBorder="1" applyAlignment="1">
      <alignment vertical="top" wrapText="1"/>
    </xf>
    <xf numFmtId="0" fontId="25" fillId="0" borderId="115" xfId="215" applyNumberFormat="1" applyFont="1" applyFill="1" applyBorder="1" applyAlignment="1">
      <alignment vertical="top"/>
    </xf>
    <xf numFmtId="0" fontId="25" fillId="0" borderId="110" xfId="0" applyNumberFormat="1" applyFont="1" applyFill="1" applyBorder="1" applyAlignment="1">
      <alignment vertical="top"/>
    </xf>
    <xf numFmtId="14" fontId="0" fillId="0" borderId="111" xfId="0" applyNumberFormat="1" applyFont="1" applyFill="1" applyBorder="1" applyAlignment="1">
      <alignment horizontal="center" vertical="top"/>
    </xf>
    <xf numFmtId="0" fontId="103" fillId="0" borderId="111" xfId="215" applyNumberFormat="1" applyFill="1" applyBorder="1" applyAlignment="1">
      <alignment vertical="top"/>
    </xf>
    <xf numFmtId="0" fontId="0" fillId="0" borderId="0" xfId="0" applyNumberFormat="1" applyFont="1" applyFill="1" applyBorder="1" applyAlignment="1">
      <alignment vertical="top"/>
    </xf>
    <xf numFmtId="0" fontId="25" fillId="0" borderId="113" xfId="0" applyNumberFormat="1" applyFont="1" applyFill="1" applyBorder="1" applyAlignment="1">
      <alignment vertical="top"/>
    </xf>
    <xf numFmtId="14" fontId="0" fillId="0" borderId="114" xfId="0" applyNumberFormat="1" applyFont="1" applyFill="1" applyBorder="1" applyAlignment="1">
      <alignment horizontal="center" vertical="top"/>
    </xf>
    <xf numFmtId="0" fontId="103" fillId="0" borderId="114" xfId="215" applyNumberFormat="1" applyFill="1" applyBorder="1" applyAlignment="1">
      <alignment vertical="top"/>
    </xf>
    <xf numFmtId="14" fontId="25" fillId="0" borderId="114" xfId="0" applyNumberFormat="1" applyFont="1" applyFill="1" applyBorder="1" applyAlignment="1">
      <alignment horizontal="center" vertical="top"/>
    </xf>
    <xf numFmtId="0" fontId="41" fillId="0" borderId="22" xfId="45" applyFont="1" applyBorder="1" applyAlignment="1">
      <alignment vertical="center"/>
    </xf>
    <xf numFmtId="0" fontId="40" fillId="0" borderId="24" xfId="45" applyFont="1" applyBorder="1" applyAlignment="1">
      <alignment vertical="center"/>
    </xf>
    <xf numFmtId="0" fontId="41" fillId="0" borderId="22" xfId="45" applyFont="1" applyBorder="1"/>
    <xf numFmtId="0" fontId="40" fillId="0" borderId="24" xfId="45" applyFont="1" applyBorder="1"/>
    <xf numFmtId="0" fontId="77" fillId="0" borderId="25" xfId="45" applyFont="1" applyBorder="1" applyAlignment="1">
      <alignment vertical="center"/>
    </xf>
    <xf numFmtId="181" fontId="40" fillId="0" borderId="25" xfId="83" applyNumberFormat="1" applyFont="1" applyBorder="1" applyAlignment="1">
      <alignment horizontal="left" vertical="center"/>
    </xf>
    <xf numFmtId="0" fontId="25" fillId="0" borderId="112" xfId="215" applyNumberFormat="1" applyFont="1" applyFill="1" applyBorder="1" applyAlignment="1">
      <alignment vertical="top" wrapText="1"/>
    </xf>
    <xf numFmtId="0" fontId="27" fillId="0" borderId="111" xfId="215" applyNumberFormat="1" applyFont="1" applyFill="1" applyBorder="1" applyAlignment="1">
      <alignment horizontal="center" vertical="top"/>
    </xf>
    <xf numFmtId="0" fontId="27" fillId="0" borderId="114" xfId="215" applyNumberFormat="1" applyFont="1" applyFill="1" applyBorder="1" applyAlignment="1">
      <alignment horizontal="center" vertical="top"/>
    </xf>
    <xf numFmtId="0" fontId="27" fillId="0" borderId="114" xfId="215" applyNumberFormat="1" applyFont="1" applyFill="1" applyBorder="1" applyAlignment="1">
      <alignment horizontal="center"/>
    </xf>
    <xf numFmtId="0" fontId="79" fillId="8" borderId="30" xfId="0" applyNumberFormat="1" applyFont="1" applyFill="1" applyBorder="1" applyAlignment="1">
      <alignment horizontal="left" vertical="center"/>
    </xf>
    <xf numFmtId="0" fontId="67" fillId="8" borderId="6" xfId="0" applyNumberFormat="1" applyFont="1" applyFill="1" applyBorder="1" applyAlignment="1">
      <alignment horizontal="center" vertical="center"/>
    </xf>
    <xf numFmtId="0" fontId="67" fillId="8" borderId="27" xfId="0" applyNumberFormat="1" applyFont="1" applyFill="1" applyBorder="1" applyAlignment="1">
      <alignment horizontal="center" vertical="center"/>
    </xf>
    <xf numFmtId="0" fontId="79" fillId="11" borderId="14" xfId="53" applyNumberFormat="1" applyFont="1" applyFill="1" applyBorder="1" applyAlignment="1">
      <alignment horizontal="center" vertical="center" wrapText="1"/>
    </xf>
    <xf numFmtId="0" fontId="79" fillId="11" borderId="25" xfId="30" applyNumberFormat="1" applyFont="1" applyFill="1" applyBorder="1" applyAlignment="1">
      <alignment horizontal="center" vertical="center" wrapText="1"/>
    </xf>
    <xf numFmtId="0" fontId="40" fillId="0" borderId="99" xfId="45" applyFont="1" applyBorder="1" applyAlignment="1">
      <alignment vertical="center"/>
    </xf>
    <xf numFmtId="0" fontId="73" fillId="0" borderId="97" xfId="45" applyFont="1" applyBorder="1" applyAlignment="1">
      <alignment vertical="center"/>
    </xf>
    <xf numFmtId="0" fontId="73" fillId="0" borderId="96" xfId="45" applyFont="1" applyBorder="1" applyAlignment="1">
      <alignment vertical="center"/>
    </xf>
    <xf numFmtId="0" fontId="73" fillId="0" borderId="0" xfId="45" applyFont="1" applyAlignment="1">
      <alignment horizontal="center" vertical="center"/>
    </xf>
    <xf numFmtId="0" fontId="73" fillId="0" borderId="105" xfId="45" applyFont="1" applyBorder="1" applyAlignment="1">
      <alignment vertical="center"/>
    </xf>
    <xf numFmtId="0" fontId="73" fillId="0" borderId="104" xfId="45" applyFont="1" applyBorder="1" applyAlignment="1">
      <alignment vertical="center"/>
    </xf>
    <xf numFmtId="0" fontId="73" fillId="0" borderId="108" xfId="45" applyFont="1" applyBorder="1" applyAlignment="1">
      <alignment vertical="center"/>
    </xf>
    <xf numFmtId="0" fontId="73" fillId="0" borderId="107" xfId="45" applyFont="1" applyBorder="1" applyAlignment="1">
      <alignment vertical="center"/>
    </xf>
    <xf numFmtId="0" fontId="73" fillId="0" borderId="106" xfId="45" applyFont="1" applyBorder="1" applyAlignment="1">
      <alignment vertical="center"/>
    </xf>
    <xf numFmtId="166" fontId="30" fillId="0" borderId="0" xfId="41" applyNumberFormat="1" applyFont="1" applyAlignment="1">
      <alignment vertical="center"/>
    </xf>
    <xf numFmtId="166" fontId="29" fillId="0" borderId="0" xfId="41" applyNumberFormat="1" applyFont="1" applyAlignment="1">
      <alignment vertical="center"/>
    </xf>
    <xf numFmtId="187" fontId="30" fillId="0" borderId="0" xfId="41" applyNumberFormat="1" applyFont="1" applyAlignment="1">
      <alignment vertical="center"/>
    </xf>
    <xf numFmtId="0" fontId="107" fillId="0" borderId="0" xfId="41" applyFont="1" applyAlignment="1">
      <alignment vertical="center"/>
    </xf>
    <xf numFmtId="0" fontId="108" fillId="0" borderId="0" xfId="41" applyFont="1" applyAlignment="1">
      <alignment vertical="center"/>
    </xf>
    <xf numFmtId="0" fontId="77" fillId="0" borderId="104" xfId="45" applyFont="1" applyBorder="1" applyAlignment="1">
      <alignment vertical="center"/>
    </xf>
    <xf numFmtId="0" fontId="77" fillId="0" borderId="105" xfId="45" applyFont="1" applyBorder="1" applyAlignment="1">
      <alignment vertical="center"/>
    </xf>
    <xf numFmtId="17" fontId="40" fillId="0" borderId="24" xfId="45" applyNumberFormat="1" applyFont="1" applyBorder="1" applyAlignment="1">
      <alignment vertical="center"/>
    </xf>
    <xf numFmtId="0" fontId="42" fillId="0" borderId="0" xfId="45" applyFont="1" applyAlignment="1">
      <alignment vertical="center"/>
    </xf>
    <xf numFmtId="0" fontId="42" fillId="0" borderId="0" xfId="45" applyFont="1" applyAlignment="1">
      <alignment horizontal="center" vertical="center"/>
    </xf>
    <xf numFmtId="0" fontId="72" fillId="0" borderId="0" xfId="45" applyFont="1" applyAlignment="1">
      <alignment vertical="center"/>
    </xf>
    <xf numFmtId="0" fontId="81" fillId="12" borderId="91" xfId="0" applyFont="1" applyFill="1" applyBorder="1" applyAlignment="1">
      <alignment horizontal="center" vertical="center" wrapText="1"/>
    </xf>
    <xf numFmtId="4" fontId="73" fillId="3" borderId="42" xfId="50" applyNumberFormat="1" applyFont="1" applyFill="1" applyBorder="1" applyAlignment="1">
      <alignment vertical="center" wrapText="1"/>
    </xf>
    <xf numFmtId="3" fontId="89" fillId="2" borderId="70" xfId="50" applyNumberFormat="1" applyFont="1" applyFill="1" applyBorder="1" applyAlignment="1">
      <alignment horizontal="center" vertical="center"/>
    </xf>
    <xf numFmtId="4" fontId="73" fillId="3" borderId="48" xfId="50" applyNumberFormat="1" applyFont="1" applyFill="1" applyBorder="1" applyAlignment="1">
      <alignment vertical="center" wrapText="1"/>
    </xf>
    <xf numFmtId="186" fontId="73" fillId="3" borderId="46" xfId="41" applyNumberFormat="1" applyFont="1" applyFill="1" applyBorder="1" applyAlignment="1">
      <alignment vertical="center"/>
    </xf>
    <xf numFmtId="4" fontId="105" fillId="9" borderId="68" xfId="50" applyNumberFormat="1" applyFont="1" applyFill="1" applyBorder="1" applyAlignment="1">
      <alignment vertical="center"/>
    </xf>
    <xf numFmtId="4" fontId="105" fillId="9" borderId="68" xfId="50" applyNumberFormat="1" applyFont="1" applyFill="1" applyBorder="1" applyAlignment="1">
      <alignment vertical="center" wrapText="1"/>
    </xf>
    <xf numFmtId="4" fontId="105" fillId="9" borderId="69" xfId="50" applyNumberFormat="1" applyFont="1" applyFill="1" applyBorder="1" applyAlignment="1">
      <alignment horizontal="center" vertical="center"/>
    </xf>
    <xf numFmtId="0" fontId="73" fillId="0" borderId="64" xfId="41" applyFont="1" applyBorder="1" applyAlignment="1">
      <alignment horizontal="left" vertical="center"/>
    </xf>
    <xf numFmtId="3" fontId="73" fillId="0" borderId="42" xfId="50" applyNumberFormat="1" applyFont="1" applyFill="1" applyBorder="1" applyAlignment="1">
      <alignment horizontal="center" vertical="center" wrapText="1"/>
    </xf>
    <xf numFmtId="4" fontId="71" fillId="11" borderId="7" xfId="41" applyNumberFormat="1" applyFont="1" applyFill="1" applyBorder="1" applyAlignment="1">
      <alignment horizontal="center" vertical="center"/>
    </xf>
    <xf numFmtId="4" fontId="42" fillId="3" borderId="59" xfId="50" applyNumberFormat="1" applyFont="1" applyFill="1" applyBorder="1" applyAlignment="1">
      <alignment vertical="center"/>
    </xf>
    <xf numFmtId="4" fontId="87" fillId="3" borderId="60" xfId="50" applyNumberFormat="1" applyFont="1" applyFill="1" applyBorder="1" applyAlignment="1">
      <alignment vertical="center"/>
    </xf>
    <xf numFmtId="4" fontId="87" fillId="3" borderId="76" xfId="50" applyNumberFormat="1" applyFont="1" applyFill="1" applyBorder="1" applyAlignment="1">
      <alignment vertical="center"/>
    </xf>
    <xf numFmtId="2" fontId="71" fillId="11" borderId="82" xfId="57" applyNumberFormat="1" applyFont="1" applyFill="1" applyBorder="1" applyAlignment="1">
      <alignment vertical="center"/>
    </xf>
    <xf numFmtId="2" fontId="71" fillId="11" borderId="84" xfId="57" applyNumberFormat="1" applyFont="1" applyFill="1" applyBorder="1" applyAlignment="1">
      <alignment horizontal="center" vertical="center"/>
    </xf>
    <xf numFmtId="0" fontId="73" fillId="0" borderId="0" xfId="41" applyFont="1" applyAlignment="1">
      <alignment horizontal="left" vertical="center"/>
    </xf>
    <xf numFmtId="3" fontId="73" fillId="0" borderId="48" xfId="50" applyNumberFormat="1" applyFont="1" applyFill="1" applyBorder="1" applyAlignment="1">
      <alignment horizontal="center" vertical="center" wrapText="1"/>
    </xf>
    <xf numFmtId="4" fontId="73" fillId="0" borderId="48" xfId="50" applyNumberFormat="1" applyFont="1" applyFill="1" applyBorder="1" applyAlignment="1">
      <alignment vertical="center" wrapText="1"/>
    </xf>
    <xf numFmtId="4" fontId="73" fillId="3" borderId="48" xfId="50" applyNumberFormat="1" applyFont="1" applyFill="1" applyBorder="1" applyAlignment="1">
      <alignment vertical="center"/>
    </xf>
    <xf numFmtId="4" fontId="101" fillId="9" borderId="67" xfId="50" applyNumberFormat="1" applyFont="1" applyFill="1" applyBorder="1" applyAlignment="1">
      <alignment vertical="center"/>
    </xf>
    <xf numFmtId="4" fontId="101" fillId="9" borderId="68" xfId="50" applyNumberFormat="1" applyFont="1" applyFill="1" applyBorder="1" applyAlignment="1">
      <alignment vertical="center"/>
    </xf>
    <xf numFmtId="167" fontId="94" fillId="10" borderId="122" xfId="0" applyNumberFormat="1" applyFont="1" applyFill="1" applyBorder="1"/>
    <xf numFmtId="185" fontId="94" fillId="10" borderId="122" xfId="0" applyNumberFormat="1" applyFont="1" applyFill="1" applyBorder="1"/>
    <xf numFmtId="167" fontId="94" fillId="10" borderId="124" xfId="0" applyNumberFormat="1" applyFont="1" applyFill="1" applyBorder="1"/>
    <xf numFmtId="4" fontId="73" fillId="3" borderId="28" xfId="50" applyNumberFormat="1" applyFont="1" applyFill="1" applyBorder="1" applyAlignment="1">
      <alignment vertical="center"/>
    </xf>
    <xf numFmtId="0" fontId="73" fillId="2" borderId="125" xfId="41" applyFont="1" applyFill="1" applyBorder="1" applyAlignment="1">
      <alignment horizontal="left" vertical="center"/>
    </xf>
    <xf numFmtId="0" fontId="73" fillId="0" borderId="2" xfId="41" applyFont="1" applyBorder="1" applyAlignment="1">
      <alignment horizontal="left" vertical="center"/>
    </xf>
    <xf numFmtId="3" fontId="73" fillId="0" borderId="28" xfId="50" applyNumberFormat="1" applyFont="1" applyFill="1" applyBorder="1" applyAlignment="1">
      <alignment horizontal="center" vertical="center" wrapText="1"/>
    </xf>
    <xf numFmtId="3" fontId="89" fillId="2" borderId="74" xfId="50" applyNumberFormat="1" applyFont="1" applyFill="1" applyBorder="1" applyAlignment="1">
      <alignment horizontal="center" vertical="center"/>
    </xf>
    <xf numFmtId="186" fontId="40" fillId="0" borderId="0" xfId="45" applyNumberFormat="1" applyFont="1" applyAlignment="1">
      <alignment vertical="center"/>
    </xf>
    <xf numFmtId="4" fontId="105" fillId="9" borderId="126" xfId="50" applyNumberFormat="1" applyFont="1" applyFill="1" applyBorder="1" applyAlignment="1">
      <alignment horizontal="center" vertical="center"/>
    </xf>
    <xf numFmtId="0" fontId="73" fillId="0" borderId="125" xfId="41" applyFont="1" applyBorder="1" applyAlignment="1">
      <alignment horizontal="left" vertical="center"/>
    </xf>
    <xf numFmtId="0" fontId="94" fillId="0" borderId="121" xfId="0" applyFont="1" applyFill="1" applyBorder="1"/>
    <xf numFmtId="0" fontId="94" fillId="0" borderId="123" xfId="0" applyFont="1" applyFill="1" applyBorder="1"/>
    <xf numFmtId="186" fontId="69" fillId="3" borderId="46" xfId="41" applyNumberFormat="1" applyFont="1" applyFill="1" applyBorder="1" applyAlignment="1">
      <alignment vertical="center"/>
    </xf>
    <xf numFmtId="0" fontId="79" fillId="11" borderId="27" xfId="41" applyFont="1" applyFill="1" applyBorder="1" applyAlignment="1">
      <alignment vertical="center" wrapText="1"/>
    </xf>
    <xf numFmtId="0" fontId="79" fillId="11" borderId="34" xfId="41" applyFont="1" applyFill="1" applyBorder="1" applyAlignment="1">
      <alignment vertical="center" wrapText="1"/>
    </xf>
    <xf numFmtId="4" fontId="101" fillId="15" borderId="67" xfId="47" applyNumberFormat="1" applyFont="1" applyFill="1" applyBorder="1" applyAlignment="1">
      <alignment vertical="center"/>
    </xf>
    <xf numFmtId="4" fontId="101" fillId="15" borderId="68" xfId="47" applyNumberFormat="1" applyFont="1" applyFill="1" applyBorder="1" applyAlignment="1">
      <alignment vertical="center"/>
    </xf>
    <xf numFmtId="4" fontId="101" fillId="15" borderId="68" xfId="47" applyNumberFormat="1" applyFont="1" applyFill="1" applyBorder="1" applyAlignment="1">
      <alignment horizontal="center" vertical="center"/>
    </xf>
    <xf numFmtId="4" fontId="42" fillId="15" borderId="68" xfId="50" applyNumberFormat="1" applyFont="1" applyFill="1" applyBorder="1" applyAlignment="1">
      <alignment vertical="center"/>
    </xf>
    <xf numFmtId="4" fontId="42" fillId="15" borderId="69" xfId="50" applyNumberFormat="1" applyFont="1" applyFill="1" applyBorder="1" applyAlignment="1">
      <alignment vertical="center"/>
    </xf>
    <xf numFmtId="4" fontId="42" fillId="3" borderId="70" xfId="50" applyNumberFormat="1" applyFont="1" applyFill="1" applyBorder="1" applyAlignment="1">
      <alignment vertical="center"/>
    </xf>
    <xf numFmtId="4" fontId="72" fillId="3" borderId="72" xfId="41" applyNumberFormat="1" applyFont="1" applyFill="1" applyBorder="1" applyAlignment="1">
      <alignment vertical="center"/>
    </xf>
    <xf numFmtId="4" fontId="78" fillId="6" borderId="19" xfId="57" applyNumberFormat="1" applyFont="1" applyFill="1" applyBorder="1" applyAlignment="1">
      <alignment horizontal="center" vertical="center"/>
    </xf>
    <xf numFmtId="0" fontId="47" fillId="2" borderId="0" xfId="41" applyFont="1" applyFill="1" applyAlignment="1">
      <alignment vertical="center"/>
    </xf>
    <xf numFmtId="0" fontId="69" fillId="3" borderId="127" xfId="41" applyFont="1" applyFill="1" applyBorder="1" applyAlignment="1">
      <alignment vertical="center"/>
    </xf>
    <xf numFmtId="4" fontId="69" fillId="3" borderId="127" xfId="57" applyNumberFormat="1" applyFont="1" applyFill="1" applyBorder="1" applyAlignment="1">
      <alignment vertical="center"/>
    </xf>
    <xf numFmtId="0" fontId="69" fillId="0" borderId="0" xfId="41" applyFont="1" applyAlignment="1">
      <alignment vertical="center"/>
    </xf>
    <xf numFmtId="4" fontId="73" fillId="0" borderId="0" xfId="41" applyNumberFormat="1" applyFont="1" applyAlignment="1">
      <alignment vertical="center"/>
    </xf>
    <xf numFmtId="3" fontId="73" fillId="0" borderId="0" xfId="41" applyNumberFormat="1" applyFont="1" applyAlignment="1">
      <alignment horizontal="center" vertical="center"/>
    </xf>
    <xf numFmtId="4" fontId="69" fillId="0" borderId="0" xfId="41" applyNumberFormat="1" applyFont="1" applyAlignment="1">
      <alignment vertical="center"/>
    </xf>
    <xf numFmtId="4" fontId="72" fillId="0" borderId="0" xfId="41" applyNumberFormat="1" applyFont="1" applyAlignment="1">
      <alignment vertical="center"/>
    </xf>
    <xf numFmtId="4" fontId="81" fillId="3" borderId="93" xfId="47" applyNumberFormat="1" applyFont="1" applyFill="1" applyBorder="1" applyAlignment="1">
      <alignment vertical="center"/>
    </xf>
    <xf numFmtId="4" fontId="81" fillId="3" borderId="93" xfId="47" applyNumberFormat="1" applyFont="1" applyFill="1" applyBorder="1" applyAlignment="1">
      <alignment horizontal="center" vertical="center"/>
    </xf>
    <xf numFmtId="0" fontId="112" fillId="0" borderId="0" xfId="228" applyFont="1"/>
    <xf numFmtId="2" fontId="112" fillId="0" borderId="0" xfId="228" applyNumberFormat="1" applyFont="1"/>
    <xf numFmtId="0" fontId="114" fillId="0" borderId="0" xfId="233" applyFont="1" applyAlignment="1">
      <alignment vertical="center" wrapText="1"/>
    </xf>
    <xf numFmtId="0" fontId="112" fillId="0" borderId="0" xfId="233" applyFont="1"/>
    <xf numFmtId="2" fontId="112" fillId="0" borderId="0" xfId="233" applyNumberFormat="1" applyFont="1"/>
    <xf numFmtId="4" fontId="73" fillId="3" borderId="143" xfId="50" applyNumberFormat="1" applyFont="1" applyFill="1" applyBorder="1" applyAlignment="1">
      <alignment vertical="center"/>
    </xf>
    <xf numFmtId="4" fontId="73" fillId="3" borderId="132" xfId="50" applyNumberFormat="1" applyFont="1" applyFill="1" applyBorder="1" applyAlignment="1">
      <alignment vertical="center"/>
    </xf>
    <xf numFmtId="4" fontId="105" fillId="9" borderId="144" xfId="50" applyNumberFormat="1" applyFont="1" applyFill="1" applyBorder="1" applyAlignment="1">
      <alignment vertical="center"/>
    </xf>
    <xf numFmtId="4" fontId="105" fillId="9" borderId="144" xfId="50" applyNumberFormat="1" applyFont="1" applyFill="1" applyBorder="1" applyAlignment="1">
      <alignment vertical="center" wrapText="1"/>
    </xf>
    <xf numFmtId="0" fontId="73" fillId="2" borderId="129" xfId="41" applyFont="1" applyFill="1" applyBorder="1" applyAlignment="1">
      <alignment horizontal="left" vertical="center"/>
    </xf>
    <xf numFmtId="4" fontId="73" fillId="0" borderId="42" xfId="50" applyNumberFormat="1" applyFont="1" applyFill="1" applyBorder="1" applyAlignment="1">
      <alignment vertical="center"/>
    </xf>
    <xf numFmtId="4" fontId="73" fillId="0" borderId="44" xfId="50" applyNumberFormat="1" applyFont="1" applyFill="1" applyBorder="1" applyAlignment="1">
      <alignment vertical="center"/>
    </xf>
    <xf numFmtId="185" fontId="73" fillId="10" borderId="122" xfId="0" applyNumberFormat="1" applyFont="1" applyFill="1" applyBorder="1"/>
    <xf numFmtId="2" fontId="79" fillId="11" borderId="30" xfId="53" applyNumberFormat="1" applyFont="1" applyFill="1" applyBorder="1" applyAlignment="1">
      <alignment horizontal="center" vertical="center" wrapText="1"/>
    </xf>
    <xf numFmtId="4" fontId="74" fillId="11" borderId="146" xfId="58" applyNumberFormat="1" applyFont="1" applyFill="1" applyBorder="1" applyAlignment="1">
      <alignment horizontal="centerContinuous" vertical="center"/>
    </xf>
    <xf numFmtId="179" fontId="74" fillId="11" borderId="147" xfId="58" applyNumberFormat="1" applyFont="1" applyFill="1" applyBorder="1" applyAlignment="1">
      <alignment horizontal="center" vertical="center"/>
    </xf>
    <xf numFmtId="4" fontId="30" fillId="2" borderId="48" xfId="58" applyNumberFormat="1" applyFont="1" applyFill="1" applyBorder="1" applyAlignment="1">
      <alignment vertical="center"/>
    </xf>
    <xf numFmtId="0" fontId="91" fillId="2" borderId="129" xfId="58" applyFont="1" applyFill="1" applyBorder="1" applyAlignment="1">
      <alignment horizontal="right" vertical="center"/>
    </xf>
    <xf numFmtId="0" fontId="91" fillId="2" borderId="129" xfId="58" applyFont="1" applyFill="1" applyBorder="1" applyAlignment="1">
      <alignment vertical="center"/>
    </xf>
    <xf numFmtId="4" fontId="91" fillId="2" borderId="129" xfId="58" applyNumberFormat="1" applyFont="1" applyFill="1" applyBorder="1" applyAlignment="1">
      <alignment horizontal="center" vertical="center"/>
    </xf>
    <xf numFmtId="4" fontId="91" fillId="2" borderId="131" xfId="58" applyNumberFormat="1" applyFont="1" applyFill="1" applyBorder="1" applyAlignment="1">
      <alignment horizontal="center" vertical="center"/>
    </xf>
    <xf numFmtId="0" fontId="91" fillId="2" borderId="61" xfId="58" applyFont="1" applyFill="1" applyBorder="1" applyAlignment="1">
      <alignment horizontal="right" vertical="center"/>
    </xf>
    <xf numFmtId="0" fontId="91" fillId="2" borderId="61" xfId="58" applyFont="1" applyFill="1" applyBorder="1" applyAlignment="1">
      <alignment vertical="center"/>
    </xf>
    <xf numFmtId="180" fontId="88" fillId="2" borderId="133" xfId="58" applyNumberFormat="1" applyFont="1" applyFill="1" applyBorder="1" applyAlignment="1">
      <alignment horizontal="center" vertical="center"/>
    </xf>
    <xf numFmtId="4" fontId="69" fillId="3" borderId="66" xfId="41" applyNumberFormat="1" applyFont="1" applyFill="1" applyBorder="1" applyAlignment="1">
      <alignment horizontal="center" vertical="center"/>
    </xf>
    <xf numFmtId="0" fontId="73" fillId="0" borderId="128" xfId="41" applyFont="1" applyBorder="1" applyAlignment="1">
      <alignment horizontal="left" vertical="center"/>
    </xf>
    <xf numFmtId="0" fontId="77" fillId="0" borderId="149" xfId="45" applyFont="1" applyBorder="1" applyAlignment="1">
      <alignment vertical="center"/>
    </xf>
    <xf numFmtId="0" fontId="40" fillId="0" borderId="142" xfId="45" applyFont="1" applyBorder="1" applyAlignment="1">
      <alignment vertical="center"/>
    </xf>
    <xf numFmtId="14" fontId="40" fillId="0" borderId="150" xfId="45" applyNumberFormat="1" applyFont="1" applyBorder="1" applyAlignment="1">
      <alignment horizontal="left" vertical="center"/>
    </xf>
    <xf numFmtId="4" fontId="69" fillId="3" borderId="92" xfId="47" applyNumberFormat="1" applyFont="1" applyFill="1" applyBorder="1" applyAlignment="1">
      <alignment vertical="center"/>
    </xf>
    <xf numFmtId="4" fontId="81" fillId="3" borderId="46" xfId="41" applyNumberFormat="1" applyFont="1" applyFill="1" applyBorder="1" applyAlignment="1">
      <alignment vertical="center"/>
    </xf>
    <xf numFmtId="0" fontId="117" fillId="0" borderId="96" xfId="45" applyFont="1" applyBorder="1" applyAlignment="1">
      <alignment vertical="center"/>
    </xf>
    <xf numFmtId="0" fontId="78" fillId="0" borderId="96" xfId="45" applyFont="1" applyBorder="1" applyAlignment="1">
      <alignment vertical="center"/>
    </xf>
    <xf numFmtId="0" fontId="81" fillId="11" borderId="1" xfId="41" applyFont="1" applyFill="1" applyBorder="1" applyAlignment="1">
      <alignment horizontal="center" vertical="center"/>
    </xf>
    <xf numFmtId="4" fontId="78" fillId="9" borderId="68" xfId="50" applyNumberFormat="1" applyFont="1" applyFill="1" applyBorder="1" applyAlignment="1">
      <alignment vertical="center"/>
    </xf>
    <xf numFmtId="4" fontId="78" fillId="3" borderId="48" xfId="50" applyNumberFormat="1" applyFont="1" applyFill="1" applyBorder="1" applyAlignment="1">
      <alignment vertical="center"/>
    </xf>
    <xf numFmtId="4" fontId="78" fillId="3" borderId="28" xfId="50" applyNumberFormat="1" applyFont="1" applyFill="1" applyBorder="1" applyAlignment="1">
      <alignment vertical="center"/>
    </xf>
    <xf numFmtId="0" fontId="47" fillId="0" borderId="0" xfId="41" applyFont="1" applyAlignment="1">
      <alignment vertical="center"/>
    </xf>
    <xf numFmtId="0" fontId="81" fillId="13" borderId="90" xfId="0" applyFont="1" applyFill="1" applyBorder="1" applyAlignment="1">
      <alignment horizontal="center" vertical="center"/>
    </xf>
    <xf numFmtId="0" fontId="81" fillId="13" borderId="89" xfId="0" applyFont="1" applyFill="1" applyBorder="1" applyAlignment="1">
      <alignment horizontal="center" vertical="center"/>
    </xf>
    <xf numFmtId="0" fontId="118" fillId="0" borderId="101" xfId="45" applyFont="1" applyBorder="1" applyAlignment="1">
      <alignment vertical="center"/>
    </xf>
    <xf numFmtId="0" fontId="78" fillId="0" borderId="0" xfId="45" applyFont="1" applyAlignment="1">
      <alignment vertical="center"/>
    </xf>
    <xf numFmtId="0" fontId="78" fillId="0" borderId="108" xfId="45" applyFont="1" applyBorder="1" applyAlignment="1">
      <alignment vertical="center"/>
    </xf>
    <xf numFmtId="0" fontId="81" fillId="11" borderId="9" xfId="41" applyFont="1" applyFill="1" applyBorder="1" applyAlignment="1">
      <alignment horizontal="center" vertical="center"/>
    </xf>
    <xf numFmtId="4" fontId="78" fillId="3" borderId="128" xfId="50" applyNumberFormat="1" applyFont="1" applyFill="1" applyBorder="1" applyAlignment="1">
      <alignment vertical="center"/>
    </xf>
    <xf numFmtId="0" fontId="79" fillId="11" borderId="6" xfId="30" applyNumberFormat="1" applyFont="1" applyFill="1" applyBorder="1" applyAlignment="1">
      <alignment horizontal="center" vertical="center" wrapText="1"/>
    </xf>
    <xf numFmtId="0" fontId="25" fillId="0" borderId="0" xfId="0" applyNumberFormat="1" applyFont="1" applyFill="1" applyBorder="1" applyAlignment="1"/>
    <xf numFmtId="184" fontId="0" fillId="0" borderId="0" xfId="0" applyNumberFormat="1" applyFont="1" applyFill="1" applyBorder="1" applyAlignment="1"/>
    <xf numFmtId="166" fontId="0" fillId="0" borderId="0" xfId="237" applyFont="1" applyFill="1" applyBorder="1" applyAlignment="1"/>
    <xf numFmtId="1" fontId="42" fillId="0" borderId="151" xfId="58" quotePrefix="1" applyNumberFormat="1" applyFont="1" applyBorder="1" applyAlignment="1">
      <alignment horizontal="left" vertical="center"/>
    </xf>
    <xf numFmtId="0" fontId="30" fillId="2" borderId="152" xfId="41" applyFont="1" applyFill="1" applyBorder="1" applyAlignment="1">
      <alignment vertical="center" wrapText="1"/>
    </xf>
    <xf numFmtId="3" fontId="42" fillId="2" borderId="153" xfId="50" applyNumberFormat="1" applyFont="1" applyFill="1" applyBorder="1" applyAlignment="1">
      <alignment horizontal="center" vertical="center" wrapText="1"/>
    </xf>
    <xf numFmtId="4" fontId="42" fillId="2" borderId="153" xfId="58" applyNumberFormat="1" applyFont="1" applyFill="1" applyBorder="1" applyAlignment="1">
      <alignment vertical="center"/>
    </xf>
    <xf numFmtId="4" fontId="30" fillId="2" borderId="154" xfId="58" applyNumberFormat="1" applyFont="1" applyFill="1" applyBorder="1" applyAlignment="1">
      <alignment vertical="center"/>
    </xf>
    <xf numFmtId="0" fontId="120" fillId="2" borderId="64" xfId="41" quotePrefix="1" applyFont="1" applyFill="1" applyBorder="1" applyAlignment="1">
      <alignment vertical="center"/>
    </xf>
    <xf numFmtId="4" fontId="120" fillId="2" borderId="42" xfId="50" applyNumberFormat="1" applyFont="1" applyFill="1" applyBorder="1" applyAlignment="1">
      <alignment vertical="center" wrapText="1"/>
    </xf>
    <xf numFmtId="4" fontId="120" fillId="0" borderId="42" xfId="50" applyNumberFormat="1" applyFont="1" applyFill="1" applyBorder="1" applyAlignment="1">
      <alignment vertical="center" wrapText="1"/>
    </xf>
    <xf numFmtId="4" fontId="120" fillId="3" borderId="42" xfId="50" applyNumberFormat="1" applyFont="1" applyFill="1" applyBorder="1" applyAlignment="1">
      <alignment vertical="center"/>
    </xf>
    <xf numFmtId="3" fontId="120" fillId="4" borderId="42" xfId="50" applyNumberFormat="1" applyFont="1" applyFill="1" applyBorder="1" applyAlignment="1">
      <alignment horizontal="center" vertical="center" wrapText="1"/>
    </xf>
    <xf numFmtId="3" fontId="120" fillId="2" borderId="42" xfId="50" applyNumberFormat="1" applyFont="1" applyFill="1" applyBorder="1" applyAlignment="1">
      <alignment horizontal="center" vertical="center"/>
    </xf>
    <xf numFmtId="4" fontId="120" fillId="0" borderId="42" xfId="50" applyNumberFormat="1" applyFont="1" applyFill="1" applyBorder="1" applyAlignment="1">
      <alignment vertical="center"/>
    </xf>
    <xf numFmtId="4" fontId="120" fillId="0" borderId="44" xfId="50" applyNumberFormat="1" applyFont="1" applyFill="1" applyBorder="1" applyAlignment="1">
      <alignment vertical="center"/>
    </xf>
    <xf numFmtId="3" fontId="120" fillId="2" borderId="60" xfId="50" applyNumberFormat="1" applyFont="1" applyFill="1" applyBorder="1" applyAlignment="1">
      <alignment horizontal="center" vertical="center"/>
    </xf>
    <xf numFmtId="4" fontId="121" fillId="3" borderId="87" xfId="50" applyNumberFormat="1" applyFont="1" applyFill="1" applyBorder="1" applyAlignment="1">
      <alignment vertical="center"/>
    </xf>
    <xf numFmtId="4" fontId="122" fillId="3" borderId="46" xfId="41" applyNumberFormat="1" applyFont="1" applyFill="1" applyBorder="1" applyAlignment="1">
      <alignment vertical="center"/>
    </xf>
    <xf numFmtId="0" fontId="77" fillId="0" borderId="7" xfId="45" applyFont="1" applyBorder="1" applyAlignment="1">
      <alignment vertical="center"/>
    </xf>
    <xf numFmtId="181" fontId="40" fillId="0" borderId="33" xfId="83" applyNumberFormat="1" applyFont="1" applyBorder="1" applyAlignment="1">
      <alignment horizontal="left" vertical="center"/>
    </xf>
    <xf numFmtId="0" fontId="40" fillId="0" borderId="1" xfId="45" applyFont="1" applyBorder="1" applyAlignment="1">
      <alignment horizontal="center" vertical="center"/>
    </xf>
    <xf numFmtId="169" fontId="93" fillId="0" borderId="101" xfId="52" quotePrefix="1" applyNumberFormat="1" applyFont="1" applyFill="1" applyBorder="1" applyAlignment="1">
      <alignment horizontal="left" vertical="center"/>
    </xf>
    <xf numFmtId="166" fontId="77" fillId="0" borderId="96" xfId="237" applyFont="1" applyBorder="1" applyAlignment="1">
      <alignment vertical="center"/>
    </xf>
    <xf numFmtId="166" fontId="40" fillId="0" borderId="96" xfId="237" applyFont="1" applyBorder="1" applyAlignment="1">
      <alignment vertical="center"/>
    </xf>
    <xf numFmtId="0" fontId="79" fillId="22" borderId="158" xfId="57" applyFont="1" applyFill="1" applyBorder="1" applyAlignment="1">
      <alignment horizontal="center" vertical="center"/>
    </xf>
    <xf numFmtId="0" fontId="79" fillId="22" borderId="158" xfId="57" applyFont="1" applyFill="1" applyBorder="1" applyAlignment="1">
      <alignment vertical="center"/>
    </xf>
    <xf numFmtId="166" fontId="79" fillId="22" borderId="158" xfId="237" applyFont="1" applyFill="1" applyBorder="1" applyAlignment="1">
      <alignment vertical="center"/>
    </xf>
    <xf numFmtId="44" fontId="79" fillId="22" borderId="158" xfId="57" applyNumberFormat="1" applyFont="1" applyFill="1" applyBorder="1" applyAlignment="1">
      <alignment vertical="center"/>
    </xf>
    <xf numFmtId="43" fontId="79" fillId="22" borderId="158" xfId="57" applyNumberFormat="1" applyFont="1" applyFill="1" applyBorder="1" applyAlignment="1">
      <alignment vertical="center"/>
    </xf>
    <xf numFmtId="0" fontId="115" fillId="0" borderId="0" xfId="224" applyFont="1" applyAlignment="1">
      <alignment vertical="center"/>
    </xf>
    <xf numFmtId="0" fontId="8" fillId="0" borderId="0" xfId="223" applyFont="1"/>
    <xf numFmtId="0" fontId="65" fillId="0" borderId="0" xfId="223" applyFont="1"/>
    <xf numFmtId="0" fontId="8" fillId="19" borderId="0" xfId="223" applyFont="1" applyFill="1"/>
    <xf numFmtId="0" fontId="76" fillId="18" borderId="3" xfId="224" applyFont="1" applyFill="1" applyBorder="1" applyAlignment="1">
      <alignment horizontal="center" vertical="center" wrapText="1"/>
    </xf>
    <xf numFmtId="0" fontId="76" fillId="18" borderId="137" xfId="224" applyFont="1" applyFill="1" applyBorder="1" applyAlignment="1">
      <alignment horizontal="center" vertical="center" wrapText="1"/>
    </xf>
    <xf numFmtId="167" fontId="76" fillId="18" borderId="155" xfId="225" applyFont="1" applyFill="1" applyBorder="1" applyAlignment="1">
      <alignment horizontal="center" vertical="center" wrapText="1"/>
    </xf>
    <xf numFmtId="166" fontId="76" fillId="18" borderId="155" xfId="237" applyFont="1" applyFill="1" applyBorder="1" applyAlignment="1">
      <alignment horizontal="center" vertical="center" wrapText="1"/>
    </xf>
    <xf numFmtId="166" fontId="76" fillId="18" borderId="141" xfId="237" applyFont="1" applyFill="1" applyBorder="1" applyAlignment="1">
      <alignment horizontal="center" vertical="center" wrapText="1"/>
    </xf>
    <xf numFmtId="166" fontId="76" fillId="18" borderId="141" xfId="226" applyFont="1" applyFill="1" applyBorder="1" applyAlignment="1">
      <alignment horizontal="center" vertical="center" wrapText="1"/>
    </xf>
    <xf numFmtId="0" fontId="115" fillId="0" borderId="0" xfId="224" applyFont="1" applyAlignment="1">
      <alignment horizontal="center" vertical="center"/>
    </xf>
    <xf numFmtId="0" fontId="123" fillId="6" borderId="22" xfId="243" applyFont="1" applyFill="1" applyBorder="1" applyAlignment="1">
      <alignment vertical="center" wrapText="1"/>
    </xf>
    <xf numFmtId="0" fontId="123" fillId="6" borderId="24" xfId="243" applyFont="1" applyFill="1" applyBorder="1" applyAlignment="1">
      <alignment horizontal="left" vertical="center"/>
    </xf>
    <xf numFmtId="0" fontId="123" fillId="6" borderId="24" xfId="243" applyFont="1" applyFill="1" applyBorder="1" applyAlignment="1">
      <alignment horizontal="right" vertical="center" wrapText="1"/>
    </xf>
    <xf numFmtId="43" fontId="41" fillId="6" borderId="24" xfId="244" applyFont="1" applyFill="1" applyBorder="1" applyAlignment="1">
      <alignment vertical="center"/>
    </xf>
    <xf numFmtId="0" fontId="123" fillId="6" borderId="24" xfId="243" applyFont="1" applyFill="1" applyBorder="1" applyAlignment="1">
      <alignment vertical="center" wrapText="1"/>
    </xf>
    <xf numFmtId="166" fontId="123" fillId="6" borderId="24" xfId="237" applyFont="1" applyFill="1" applyBorder="1" applyAlignment="1">
      <alignment vertical="center" wrapText="1"/>
    </xf>
    <xf numFmtId="0" fontId="123" fillId="6" borderId="25" xfId="243" applyFont="1" applyFill="1" applyBorder="1" applyAlignment="1">
      <alignment vertical="center" wrapText="1"/>
    </xf>
    <xf numFmtId="0" fontId="115" fillId="21" borderId="157" xfId="243" applyFont="1" applyFill="1" applyBorder="1" applyAlignment="1">
      <alignment vertical="center" wrapText="1"/>
    </xf>
    <xf numFmtId="0" fontId="123" fillId="0" borderId="22" xfId="243" applyFont="1" applyBorder="1" applyAlignment="1">
      <alignment horizontal="left" vertical="center"/>
    </xf>
    <xf numFmtId="0" fontId="123" fillId="0" borderId="24" xfId="224" applyFont="1" applyBorder="1" applyAlignment="1">
      <alignment horizontal="right" vertical="center"/>
    </xf>
    <xf numFmtId="0" fontId="123" fillId="0" borderId="24" xfId="243" applyFont="1" applyBorder="1" applyAlignment="1">
      <alignment horizontal="right" vertical="center" wrapText="1"/>
    </xf>
    <xf numFmtId="43" fontId="41" fillId="0" borderId="24" xfId="244" applyFont="1" applyFill="1" applyBorder="1" applyAlignment="1">
      <alignment vertical="center"/>
    </xf>
    <xf numFmtId="166" fontId="115" fillId="0" borderId="24" xfId="237" applyFont="1" applyBorder="1" applyAlignment="1">
      <alignment vertical="center"/>
    </xf>
    <xf numFmtId="166" fontId="123" fillId="0" borderId="24" xfId="237" applyFont="1" applyBorder="1" applyAlignment="1">
      <alignment vertical="center"/>
    </xf>
    <xf numFmtId="49" fontId="40" fillId="0" borderId="14" xfId="237" applyNumberFormat="1" applyFont="1" applyFill="1" applyBorder="1" applyAlignment="1">
      <alignment vertical="center"/>
    </xf>
    <xf numFmtId="0" fontId="115" fillId="21" borderId="135" xfId="243" applyFont="1" applyFill="1" applyBorder="1" applyAlignment="1">
      <alignment horizontal="left" vertical="center"/>
    </xf>
    <xf numFmtId="0" fontId="115" fillId="0" borderId="135" xfId="224" applyFont="1" applyBorder="1" applyAlignment="1">
      <alignment vertical="center" wrapText="1"/>
    </xf>
    <xf numFmtId="167" fontId="40" fillId="0" borderId="135" xfId="227" applyFont="1" applyFill="1" applyBorder="1" applyAlignment="1">
      <alignment vertical="center"/>
    </xf>
    <xf numFmtId="167" fontId="40" fillId="0" borderId="136" xfId="225" applyFont="1" applyFill="1" applyBorder="1" applyAlignment="1">
      <alignment vertical="center"/>
    </xf>
    <xf numFmtId="166" fontId="40" fillId="0" borderId="136" xfId="237" applyFont="1" applyFill="1" applyBorder="1" applyAlignment="1">
      <alignment vertical="center"/>
    </xf>
    <xf numFmtId="166" fontId="115" fillId="0" borderId="130" xfId="237" applyFont="1" applyFill="1" applyBorder="1" applyAlignment="1">
      <alignment vertical="center"/>
    </xf>
    <xf numFmtId="49" fontId="40" fillId="0" borderId="1" xfId="237" applyNumberFormat="1" applyFont="1" applyFill="1" applyBorder="1" applyAlignment="1">
      <alignment vertical="center"/>
    </xf>
    <xf numFmtId="166" fontId="115" fillId="0" borderId="0" xfId="237" applyFont="1" applyAlignment="1">
      <alignment vertical="center"/>
    </xf>
    <xf numFmtId="167" fontId="115" fillId="0" borderId="0" xfId="225" applyFont="1" applyAlignment="1">
      <alignment vertical="center"/>
    </xf>
    <xf numFmtId="166" fontId="115" fillId="0" borderId="0" xfId="226" applyFont="1" applyAlignment="1">
      <alignment vertical="center"/>
    </xf>
    <xf numFmtId="166" fontId="124" fillId="5" borderId="0" xfId="237" applyFont="1" applyFill="1" applyBorder="1" applyAlignment="1">
      <alignment horizontal="center" vertical="center"/>
    </xf>
    <xf numFmtId="166" fontId="115" fillId="0" borderId="0" xfId="237" applyFont="1" applyBorder="1" applyAlignment="1">
      <alignment vertical="center"/>
    </xf>
    <xf numFmtId="0" fontId="76" fillId="18" borderId="155" xfId="224" applyFont="1" applyFill="1" applyBorder="1" applyAlignment="1">
      <alignment horizontal="center" vertical="center" wrapText="1"/>
    </xf>
    <xf numFmtId="167" fontId="40" fillId="0" borderId="136" xfId="227" applyFont="1" applyFill="1" applyBorder="1" applyAlignment="1">
      <alignment vertical="center"/>
    </xf>
    <xf numFmtId="2" fontId="77" fillId="0" borderId="96" xfId="30" applyNumberFormat="1" applyFont="1" applyBorder="1" applyAlignment="1">
      <alignment vertical="center"/>
    </xf>
    <xf numFmtId="2" fontId="40" fillId="0" borderId="96" xfId="30" applyNumberFormat="1" applyFont="1" applyBorder="1" applyAlignment="1">
      <alignment vertical="center"/>
    </xf>
    <xf numFmtId="2" fontId="76" fillId="18" borderId="155" xfId="30" applyNumberFormat="1" applyFont="1" applyFill="1" applyBorder="1" applyAlignment="1">
      <alignment horizontal="center" vertical="center" wrapText="1"/>
    </xf>
    <xf numFmtId="2" fontId="76" fillId="18" borderId="141" xfId="30" applyNumberFormat="1" applyFont="1" applyFill="1" applyBorder="1" applyAlignment="1">
      <alignment horizontal="center" vertical="center" wrapText="1"/>
    </xf>
    <xf numFmtId="2" fontId="123" fillId="6" borderId="24" xfId="30" applyNumberFormat="1" applyFont="1" applyFill="1" applyBorder="1" applyAlignment="1">
      <alignment vertical="center" wrapText="1"/>
    </xf>
    <xf numFmtId="2" fontId="115" fillId="0" borderId="24" xfId="30" applyNumberFormat="1" applyFont="1" applyBorder="1" applyAlignment="1">
      <alignment vertical="center"/>
    </xf>
    <xf numFmtId="2" fontId="40" fillId="0" borderId="136" xfId="30" applyNumberFormat="1" applyFont="1" applyFill="1" applyBorder="1" applyAlignment="1">
      <alignment vertical="center"/>
    </xf>
    <xf numFmtId="2" fontId="115" fillId="0" borderId="130" xfId="30" applyNumberFormat="1" applyFont="1" applyFill="1" applyBorder="1" applyAlignment="1">
      <alignment vertical="center"/>
    </xf>
    <xf numFmtId="2" fontId="79" fillId="22" borderId="158" xfId="30" applyNumberFormat="1" applyFont="1" applyFill="1" applyBorder="1" applyAlignment="1">
      <alignment vertical="center"/>
    </xf>
    <xf numFmtId="2" fontId="115" fillId="0" borderId="0" xfId="30" applyNumberFormat="1" applyFont="1" applyAlignment="1">
      <alignment vertical="center"/>
    </xf>
    <xf numFmtId="2" fontId="123" fillId="0" borderId="24" xfId="30" applyNumberFormat="1" applyFont="1" applyBorder="1" applyAlignment="1">
      <alignment vertical="center"/>
    </xf>
    <xf numFmtId="0" fontId="123" fillId="6" borderId="30" xfId="243" applyFont="1" applyFill="1" applyBorder="1" applyAlignment="1">
      <alignment vertical="center" wrapText="1"/>
    </xf>
    <xf numFmtId="0" fontId="123" fillId="6" borderId="6" xfId="243" applyFont="1" applyFill="1" applyBorder="1" applyAlignment="1">
      <alignment horizontal="left" vertical="center"/>
    </xf>
    <xf numFmtId="0" fontId="123" fillId="6" borderId="6" xfId="243" applyFont="1" applyFill="1" applyBorder="1" applyAlignment="1">
      <alignment horizontal="right" vertical="center" wrapText="1"/>
    </xf>
    <xf numFmtId="43" fontId="41" fillId="6" borderId="6" xfId="244" applyFont="1" applyFill="1" applyBorder="1" applyAlignment="1">
      <alignment vertical="center"/>
    </xf>
    <xf numFmtId="0" fontId="123" fillId="6" borderId="6" xfId="243" applyFont="1" applyFill="1" applyBorder="1" applyAlignment="1">
      <alignment vertical="center" wrapText="1"/>
    </xf>
    <xf numFmtId="2" fontId="123" fillId="6" borderId="6" xfId="30" applyNumberFormat="1" applyFont="1" applyFill="1" applyBorder="1" applyAlignment="1">
      <alignment vertical="center" wrapText="1"/>
    </xf>
    <xf numFmtId="0" fontId="123" fillId="6" borderId="27" xfId="243" applyFont="1" applyFill="1" applyBorder="1" applyAlignment="1">
      <alignment vertical="center" wrapText="1"/>
    </xf>
    <xf numFmtId="0" fontId="115" fillId="21" borderId="159" xfId="243" applyFont="1" applyFill="1" applyBorder="1" applyAlignment="1">
      <alignment vertical="center" wrapText="1"/>
    </xf>
    <xf numFmtId="0" fontId="123" fillId="0" borderId="160" xfId="243" applyFont="1" applyBorder="1" applyAlignment="1">
      <alignment horizontal="left" vertical="center"/>
    </xf>
    <xf numFmtId="0" fontId="123" fillId="0" borderId="161" xfId="224" applyFont="1" applyBorder="1" applyAlignment="1">
      <alignment horizontal="right" vertical="center"/>
    </xf>
    <xf numFmtId="0" fontId="123" fillId="0" borderId="161" xfId="243" applyFont="1" applyBorder="1" applyAlignment="1">
      <alignment horizontal="right" vertical="center" wrapText="1"/>
    </xf>
    <xf numFmtId="43" fontId="41" fillId="0" borderId="161" xfId="244" applyFont="1" applyFill="1" applyBorder="1" applyAlignment="1">
      <alignment vertical="center"/>
    </xf>
    <xf numFmtId="2" fontId="123" fillId="0" borderId="161" xfId="30" applyNumberFormat="1" applyFont="1" applyBorder="1" applyAlignment="1">
      <alignment vertical="center"/>
    </xf>
    <xf numFmtId="2" fontId="115" fillId="0" borderId="161" xfId="30" applyNumberFormat="1" applyFont="1" applyBorder="1" applyAlignment="1">
      <alignment vertical="center"/>
    </xf>
    <xf numFmtId="49" fontId="40" fillId="0" borderId="162" xfId="237" applyNumberFormat="1" applyFont="1" applyFill="1" applyBorder="1" applyAlignment="1">
      <alignment vertical="center"/>
    </xf>
    <xf numFmtId="0" fontId="115" fillId="21" borderId="163" xfId="243" applyFont="1" applyFill="1" applyBorder="1" applyAlignment="1">
      <alignment vertical="center" wrapText="1"/>
    </xf>
    <xf numFmtId="49" fontId="40" fillId="0" borderId="164" xfId="237" applyNumberFormat="1" applyFont="1" applyFill="1" applyBorder="1" applyAlignment="1">
      <alignment vertical="center"/>
    </xf>
    <xf numFmtId="2" fontId="115" fillId="0" borderId="165" xfId="30" applyNumberFormat="1" applyFont="1" applyFill="1" applyBorder="1" applyAlignment="1">
      <alignment vertical="center"/>
    </xf>
    <xf numFmtId="49" fontId="40" fillId="0" borderId="166" xfId="237" applyNumberFormat="1" applyFont="1" applyFill="1" applyBorder="1" applyAlignment="1">
      <alignment vertical="center"/>
    </xf>
    <xf numFmtId="49" fontId="40" fillId="0" borderId="167" xfId="237" applyNumberFormat="1" applyFont="1" applyFill="1" applyBorder="1" applyAlignment="1">
      <alignment vertical="center"/>
    </xf>
    <xf numFmtId="0" fontId="123" fillId="6" borderId="168" xfId="243" applyFont="1" applyFill="1" applyBorder="1" applyAlignment="1">
      <alignment vertical="center" wrapText="1"/>
    </xf>
    <xf numFmtId="0" fontId="123" fillId="6" borderId="169" xfId="243" applyFont="1" applyFill="1" applyBorder="1" applyAlignment="1">
      <alignment vertical="center" wrapText="1"/>
    </xf>
    <xf numFmtId="0" fontId="115" fillId="21" borderId="170" xfId="243" applyFont="1" applyFill="1" applyBorder="1" applyAlignment="1">
      <alignment vertical="center" wrapText="1"/>
    </xf>
    <xf numFmtId="0" fontId="115" fillId="21" borderId="171" xfId="243" applyFont="1" applyFill="1" applyBorder="1" applyAlignment="1">
      <alignment horizontal="left" vertical="center"/>
    </xf>
    <xf numFmtId="0" fontId="115" fillId="0" borderId="171" xfId="224" applyFont="1" applyBorder="1" applyAlignment="1">
      <alignment vertical="center" wrapText="1"/>
    </xf>
    <xf numFmtId="167" fontId="40" fillId="0" borderId="171" xfId="227" applyFont="1" applyFill="1" applyBorder="1" applyAlignment="1">
      <alignment vertical="center"/>
    </xf>
    <xf numFmtId="167" fontId="40" fillId="0" borderId="172" xfId="227" applyFont="1" applyFill="1" applyBorder="1" applyAlignment="1">
      <alignment vertical="center"/>
    </xf>
    <xf numFmtId="167" fontId="40" fillId="0" borderId="172" xfId="225" applyFont="1" applyFill="1" applyBorder="1" applyAlignment="1">
      <alignment vertical="center"/>
    </xf>
    <xf numFmtId="49" fontId="42" fillId="0" borderId="82" xfId="53" applyNumberFormat="1" applyFont="1" applyFill="1" applyBorder="1" applyAlignment="1">
      <alignment horizontal="left" vertical="center" wrapText="1"/>
    </xf>
    <xf numFmtId="49" fontId="42" fillId="0" borderId="83" xfId="53" quotePrefix="1" applyNumberFormat="1" applyFont="1" applyFill="1" applyBorder="1" applyAlignment="1">
      <alignment horizontal="left" vertical="center" wrapText="1"/>
    </xf>
    <xf numFmtId="0" fontId="42" fillId="0" borderId="83" xfId="53" applyNumberFormat="1" applyFont="1" applyFill="1" applyBorder="1" applyAlignment="1">
      <alignment horizontal="center" vertical="center" wrapText="1"/>
    </xf>
    <xf numFmtId="4" fontId="42" fillId="0" borderId="83" xfId="30" applyNumberFormat="1" applyFont="1" applyFill="1" applyBorder="1" applyAlignment="1">
      <alignment horizontal="center" vertical="center" wrapText="1"/>
    </xf>
    <xf numFmtId="4" fontId="42" fillId="0" borderId="84" xfId="53" applyNumberFormat="1" applyFont="1" applyFill="1" applyBorder="1" applyAlignment="1">
      <alignment horizontal="center" vertical="center" wrapText="1"/>
    </xf>
    <xf numFmtId="17" fontId="40" fillId="0" borderId="96" xfId="45" applyNumberFormat="1" applyFont="1" applyBorder="1" applyAlignment="1">
      <alignment vertical="center"/>
    </xf>
    <xf numFmtId="4" fontId="47" fillId="3" borderId="28" xfId="60" applyNumberFormat="1" applyFont="1" applyFill="1" applyBorder="1" applyAlignment="1">
      <alignment vertical="center"/>
    </xf>
    <xf numFmtId="2" fontId="47" fillId="3" borderId="36" xfId="60" applyNumberFormat="1" applyFont="1" applyFill="1" applyBorder="1" applyAlignment="1">
      <alignment vertical="center"/>
    </xf>
    <xf numFmtId="2" fontId="47" fillId="3" borderId="28" xfId="57" applyNumberFormat="1" applyFont="1" applyFill="1" applyBorder="1" applyAlignment="1">
      <alignment vertical="center"/>
    </xf>
    <xf numFmtId="2" fontId="47" fillId="3" borderId="36" xfId="57" applyNumberFormat="1" applyFont="1" applyFill="1" applyBorder="1" applyAlignment="1">
      <alignment vertical="center"/>
    </xf>
    <xf numFmtId="0" fontId="30" fillId="0" borderId="28" xfId="57" applyFont="1" applyBorder="1" applyAlignment="1">
      <alignment horizontal="left" vertical="center"/>
    </xf>
    <xf numFmtId="4" fontId="78" fillId="3" borderId="83" xfId="50" applyNumberFormat="1" applyFont="1" applyFill="1" applyBorder="1" applyAlignment="1">
      <alignment vertical="center"/>
    </xf>
    <xf numFmtId="2" fontId="47" fillId="3" borderId="43" xfId="57" applyNumberFormat="1" applyFont="1" applyFill="1" applyBorder="1" applyAlignment="1">
      <alignment vertical="center"/>
    </xf>
    <xf numFmtId="2" fontId="47" fillId="3" borderId="50" xfId="57" applyNumberFormat="1" applyFont="1" applyFill="1" applyBorder="1" applyAlignment="1">
      <alignment vertical="center"/>
    </xf>
    <xf numFmtId="2" fontId="60" fillId="3" borderId="76" xfId="57" applyNumberFormat="1" applyFont="1" applyFill="1" applyBorder="1" applyAlignment="1">
      <alignment horizontal="right" vertical="center"/>
    </xf>
    <xf numFmtId="2" fontId="60" fillId="3" borderId="57" xfId="57" applyNumberFormat="1" applyFont="1" applyFill="1" applyBorder="1" applyAlignment="1">
      <alignment horizontal="right" vertical="center"/>
    </xf>
    <xf numFmtId="2" fontId="47" fillId="3" borderId="28" xfId="60" applyNumberFormat="1" applyFont="1" applyFill="1" applyBorder="1" applyAlignment="1">
      <alignment vertical="center"/>
    </xf>
    <xf numFmtId="184" fontId="79" fillId="11" borderId="25" xfId="30" applyNumberFormat="1" applyFont="1" applyFill="1" applyBorder="1" applyAlignment="1">
      <alignment horizontal="center" vertical="center" wrapText="1"/>
    </xf>
    <xf numFmtId="184" fontId="42" fillId="0" borderId="83" xfId="30" applyNumberFormat="1" applyFont="1" applyFill="1" applyBorder="1" applyAlignment="1">
      <alignment horizontal="right" vertical="center" wrapText="1"/>
    </xf>
    <xf numFmtId="4" fontId="68" fillId="2" borderId="49" xfId="41" applyNumberFormat="1" applyFont="1" applyFill="1" applyBorder="1" applyAlignment="1">
      <alignment vertical="center" wrapText="1"/>
    </xf>
    <xf numFmtId="17" fontId="73" fillId="0" borderId="0" xfId="45" applyNumberFormat="1" applyFont="1"/>
    <xf numFmtId="0" fontId="25" fillId="0" borderId="3" xfId="53" applyFont="1" applyBorder="1" applyAlignment="1">
      <alignment wrapText="1"/>
    </xf>
    <xf numFmtId="0" fontId="25" fillId="0" borderId="6" xfId="53" applyNumberFormat="1" applyFont="1" applyFill="1" applyBorder="1" applyAlignment="1">
      <alignment vertical="center" wrapText="1"/>
    </xf>
    <xf numFmtId="0" fontId="25" fillId="0" borderId="23" xfId="53" applyNumberFormat="1" applyFont="1" applyFill="1" applyBorder="1" applyAlignment="1">
      <alignment vertical="center" wrapText="1"/>
    </xf>
    <xf numFmtId="0" fontId="92" fillId="0" borderId="0" xfId="45" applyFont="1" applyAlignment="1">
      <alignment wrapText="1"/>
    </xf>
    <xf numFmtId="17" fontId="93" fillId="0" borderId="0" xfId="45" applyNumberFormat="1" applyFont="1" applyAlignment="1">
      <alignment horizontal="left" vertical="center" wrapText="1"/>
    </xf>
    <xf numFmtId="0" fontId="42" fillId="0" borderId="83" xfId="53" applyNumberFormat="1" applyFont="1" applyFill="1" applyBorder="1" applyAlignment="1">
      <alignment vertical="center" wrapText="1"/>
    </xf>
    <xf numFmtId="0" fontId="30" fillId="0" borderId="0" xfId="53" applyNumberFormat="1" applyFont="1" applyFill="1" applyBorder="1" applyAlignment="1">
      <alignment vertical="center" wrapText="1"/>
    </xf>
    <xf numFmtId="0" fontId="25" fillId="0" borderId="0" xfId="57" applyAlignment="1">
      <alignment horizontal="center" vertical="center"/>
    </xf>
    <xf numFmtId="2" fontId="25" fillId="5" borderId="173" xfId="57" applyNumberFormat="1" applyFill="1" applyBorder="1" applyAlignment="1">
      <alignment horizontal="center" vertical="center"/>
    </xf>
    <xf numFmtId="1" fontId="25" fillId="5" borderId="173" xfId="57" applyNumberFormat="1" applyFill="1" applyBorder="1" applyAlignment="1">
      <alignment horizontal="center" vertical="center"/>
    </xf>
    <xf numFmtId="0" fontId="25" fillId="5" borderId="173" xfId="57" applyFill="1" applyBorder="1" applyAlignment="1">
      <alignment horizontal="left" vertical="center" wrapText="1"/>
    </xf>
    <xf numFmtId="2" fontId="25" fillId="23" borderId="173" xfId="57" applyNumberFormat="1" applyFill="1" applyBorder="1" applyAlignment="1">
      <alignment horizontal="center" vertical="center"/>
    </xf>
    <xf numFmtId="1" fontId="25" fillId="23" borderId="173" xfId="57" applyNumberFormat="1" applyFill="1" applyBorder="1" applyAlignment="1">
      <alignment horizontal="center" vertical="center"/>
    </xf>
    <xf numFmtId="0" fontId="25" fillId="23" borderId="173" xfId="57" applyFill="1" applyBorder="1" applyAlignment="1">
      <alignment horizontal="left" vertical="center" wrapText="1"/>
    </xf>
    <xf numFmtId="0" fontId="25" fillId="23" borderId="173" xfId="57" applyFill="1" applyBorder="1" applyAlignment="1">
      <alignment horizontal="left" vertical="center"/>
    </xf>
    <xf numFmtId="2" fontId="25" fillId="24" borderId="173" xfId="57" applyNumberFormat="1" applyFill="1" applyBorder="1" applyAlignment="1">
      <alignment horizontal="center" vertical="center"/>
    </xf>
    <xf numFmtId="1" fontId="25" fillId="24" borderId="173" xfId="57" applyNumberFormat="1" applyFill="1" applyBorder="1" applyAlignment="1">
      <alignment horizontal="center" vertical="center"/>
    </xf>
    <xf numFmtId="0" fontId="25" fillId="24" borderId="173" xfId="57" applyFill="1" applyBorder="1" applyAlignment="1">
      <alignment horizontal="left" vertical="center" wrapText="1"/>
    </xf>
    <xf numFmtId="2" fontId="25" fillId="25" borderId="174" xfId="57" applyNumberFormat="1" applyFill="1" applyBorder="1" applyAlignment="1">
      <alignment horizontal="center" vertical="center"/>
    </xf>
    <xf numFmtId="1" fontId="25" fillId="25" borderId="174" xfId="57" applyNumberFormat="1" applyFill="1" applyBorder="1" applyAlignment="1">
      <alignment horizontal="center" vertical="center"/>
    </xf>
    <xf numFmtId="0" fontId="25" fillId="25" borderId="174" xfId="57" applyFill="1" applyBorder="1" applyAlignment="1">
      <alignment horizontal="left" vertical="center" wrapText="1"/>
    </xf>
    <xf numFmtId="2" fontId="125" fillId="25" borderId="174" xfId="57" applyNumberFormat="1" applyFont="1" applyFill="1" applyBorder="1" applyAlignment="1">
      <alignment horizontal="center" vertical="center"/>
    </xf>
    <xf numFmtId="2" fontId="25" fillId="0" borderId="0" xfId="57" applyNumberFormat="1" applyAlignment="1">
      <alignment horizontal="right"/>
    </xf>
    <xf numFmtId="0" fontId="25" fillId="0" borderId="0" xfId="57" applyAlignment="1">
      <alignment horizontal="right"/>
    </xf>
    <xf numFmtId="2" fontId="25" fillId="27" borderId="173" xfId="57" applyNumberFormat="1" applyFill="1" applyBorder="1" applyAlignment="1">
      <alignment horizontal="center" vertical="center"/>
    </xf>
    <xf numFmtId="1" fontId="25" fillId="0" borderId="0" xfId="57" applyNumberFormat="1" applyAlignment="1">
      <alignment horizontal="right"/>
    </xf>
    <xf numFmtId="0" fontId="25" fillId="23" borderId="173" xfId="57" applyFill="1" applyBorder="1" applyAlignment="1">
      <alignment horizontal="right" vertical="center"/>
    </xf>
    <xf numFmtId="0" fontId="126" fillId="0" borderId="0" xfId="57" applyFont="1"/>
    <xf numFmtId="0" fontId="127" fillId="0" borderId="0" xfId="0" applyNumberFormat="1" applyFont="1" applyFill="1" applyBorder="1" applyAlignment="1"/>
    <xf numFmtId="49" fontId="127" fillId="0" borderId="0" xfId="0" applyNumberFormat="1" applyFont="1" applyFill="1" applyBorder="1" applyAlignment="1"/>
    <xf numFmtId="49" fontId="25" fillId="25" borderId="174" xfId="57" applyNumberFormat="1" applyFill="1" applyBorder="1" applyAlignment="1">
      <alignment horizontal="left" vertical="center" wrapText="1"/>
    </xf>
    <xf numFmtId="49" fontId="25" fillId="23" borderId="173" xfId="57" applyNumberFormat="1" applyFill="1" applyBorder="1" applyAlignment="1">
      <alignment horizontal="left" vertical="center" wrapText="1"/>
    </xf>
    <xf numFmtId="49" fontId="25" fillId="5" borderId="173" xfId="57" applyNumberFormat="1" applyFill="1" applyBorder="1" applyAlignment="1">
      <alignment horizontal="left" vertical="center" wrapText="1"/>
    </xf>
    <xf numFmtId="49" fontId="25" fillId="24" borderId="173" xfId="57" applyNumberFormat="1" applyFill="1" applyBorder="1" applyAlignment="1">
      <alignment horizontal="left" vertical="center" wrapText="1"/>
    </xf>
    <xf numFmtId="49" fontId="25" fillId="0" borderId="0" xfId="57" applyNumberFormat="1"/>
    <xf numFmtId="2" fontId="25" fillId="25" borderId="174" xfId="30" applyNumberFormat="1" applyFont="1" applyFill="1" applyBorder="1" applyAlignment="1">
      <alignment horizontal="center" vertical="center"/>
    </xf>
    <xf numFmtId="2" fontId="25" fillId="23" borderId="173" xfId="30" applyNumberFormat="1" applyFont="1" applyFill="1" applyBorder="1" applyAlignment="1">
      <alignment horizontal="center" vertical="center"/>
    </xf>
    <xf numFmtId="2" fontId="25" fillId="5" borderId="173" xfId="30" applyNumberFormat="1" applyFont="1" applyFill="1" applyBorder="1" applyAlignment="1">
      <alignment horizontal="center" vertical="center"/>
    </xf>
    <xf numFmtId="2" fontId="25" fillId="24" borderId="173" xfId="30" applyNumberFormat="1" applyFont="1" applyFill="1" applyBorder="1" applyAlignment="1">
      <alignment horizontal="center" vertical="center"/>
    </xf>
    <xf numFmtId="2" fontId="25" fillId="27" borderId="173" xfId="30" applyNumberFormat="1" applyFont="1" applyFill="1" applyBorder="1" applyAlignment="1">
      <alignment horizontal="center" vertical="center"/>
    </xf>
    <xf numFmtId="0" fontId="25" fillId="0" borderId="0" xfId="30" applyNumberFormat="1" applyFont="1" applyFill="1" applyBorder="1" applyAlignment="1">
      <alignment horizontal="center" vertical="center"/>
    </xf>
    <xf numFmtId="0" fontId="25" fillId="0" borderId="0" xfId="30" applyNumberFormat="1" applyFont="1" applyFill="1" applyBorder="1"/>
    <xf numFmtId="0" fontId="128" fillId="0" borderId="0" xfId="57" applyFont="1"/>
    <xf numFmtId="0" fontId="123" fillId="0" borderId="24" xfId="224" applyFont="1" applyBorder="1" applyAlignment="1">
      <alignment horizontal="left" vertical="center"/>
    </xf>
    <xf numFmtId="0" fontId="115" fillId="21" borderId="7" xfId="243" applyFont="1" applyFill="1" applyBorder="1" applyAlignment="1">
      <alignment vertical="center" wrapText="1"/>
    </xf>
    <xf numFmtId="0" fontId="123" fillId="0" borderId="25" xfId="243" applyFont="1" applyBorder="1" applyAlignment="1">
      <alignment horizontal="right" vertical="center" wrapText="1"/>
    </xf>
    <xf numFmtId="0" fontId="115" fillId="21" borderId="135" xfId="243" applyFont="1" applyFill="1" applyBorder="1" applyAlignment="1">
      <alignment vertical="center" wrapText="1"/>
    </xf>
    <xf numFmtId="0" fontId="115" fillId="21" borderId="29" xfId="243" applyFont="1" applyFill="1" applyBorder="1" applyAlignment="1">
      <alignment vertical="center" wrapText="1"/>
    </xf>
    <xf numFmtId="0" fontId="115" fillId="21" borderId="29" xfId="243" applyFont="1" applyFill="1" applyBorder="1" applyAlignment="1">
      <alignment horizontal="left" vertical="center"/>
    </xf>
    <xf numFmtId="0" fontId="115" fillId="0" borderId="29" xfId="224" applyFont="1" applyBorder="1" applyAlignment="1">
      <alignment vertical="center" wrapText="1"/>
    </xf>
    <xf numFmtId="167" fontId="40" fillId="0" borderId="29" xfId="227" applyFont="1" applyFill="1" applyBorder="1" applyAlignment="1">
      <alignment vertical="center"/>
    </xf>
    <xf numFmtId="167" fontId="40" fillId="0" borderId="37" xfId="227" applyFont="1" applyFill="1" applyBorder="1" applyAlignment="1">
      <alignment vertical="center"/>
    </xf>
    <xf numFmtId="0" fontId="129" fillId="0" borderId="0" xfId="224" applyFont="1" applyAlignment="1">
      <alignment vertical="center"/>
    </xf>
    <xf numFmtId="167" fontId="129" fillId="0" borderId="0" xfId="224" applyNumberFormat="1" applyFont="1" applyAlignment="1">
      <alignment vertical="center"/>
    </xf>
    <xf numFmtId="166" fontId="40" fillId="0" borderId="135" xfId="237" applyFont="1" applyFill="1" applyBorder="1" applyAlignment="1">
      <alignment vertical="center"/>
    </xf>
    <xf numFmtId="166" fontId="40" fillId="0" borderId="29" xfId="237" applyFont="1" applyFill="1" applyBorder="1" applyAlignment="1">
      <alignment vertical="center"/>
    </xf>
    <xf numFmtId="166" fontId="129" fillId="0" borderId="0" xfId="237" applyFont="1" applyAlignment="1">
      <alignment vertical="center"/>
    </xf>
    <xf numFmtId="2" fontId="115" fillId="0" borderId="29" xfId="224" applyNumberFormat="1" applyFont="1" applyBorder="1" applyAlignment="1">
      <alignment vertical="center" wrapText="1"/>
    </xf>
    <xf numFmtId="0" fontId="76" fillId="16" borderId="24" xfId="243" applyFont="1" applyFill="1" applyBorder="1" applyAlignment="1">
      <alignment horizontal="right" vertical="center" wrapText="1"/>
    </xf>
    <xf numFmtId="0" fontId="123" fillId="0" borderId="22" xfId="224" applyFont="1" applyBorder="1" applyAlignment="1">
      <alignment horizontal="left" vertical="center"/>
    </xf>
    <xf numFmtId="0" fontId="115" fillId="0" borderId="37" xfId="224" applyFont="1" applyBorder="1" applyAlignment="1">
      <alignment vertical="center" wrapText="1"/>
    </xf>
    <xf numFmtId="0" fontId="115" fillId="0" borderId="30" xfId="224" applyFont="1" applyBorder="1" applyAlignment="1">
      <alignment vertical="center"/>
    </xf>
    <xf numFmtId="0" fontId="115" fillId="0" borderId="6" xfId="224" applyFont="1" applyBorder="1" applyAlignment="1">
      <alignment vertical="center"/>
    </xf>
    <xf numFmtId="0" fontId="115" fillId="0" borderId="27" xfId="224" applyFont="1" applyBorder="1" applyAlignment="1">
      <alignment vertical="center"/>
    </xf>
    <xf numFmtId="0" fontId="123" fillId="0" borderId="32" xfId="224" applyFont="1" applyBorder="1" applyAlignment="1">
      <alignment horizontal="right" vertical="center"/>
    </xf>
    <xf numFmtId="166" fontId="115" fillId="0" borderId="23" xfId="237" applyFont="1" applyBorder="1" applyAlignment="1">
      <alignment vertical="center"/>
    </xf>
    <xf numFmtId="0" fontId="115" fillId="0" borderId="34" xfId="224" applyFont="1" applyBorder="1" applyAlignment="1">
      <alignment vertical="center"/>
    </xf>
    <xf numFmtId="167" fontId="115" fillId="0" borderId="6" xfId="224" applyNumberFormat="1" applyFont="1" applyBorder="1" applyAlignment="1">
      <alignment vertical="center"/>
    </xf>
    <xf numFmtId="0" fontId="115" fillId="0" borderId="14" xfId="224" applyFont="1" applyBorder="1" applyAlignment="1">
      <alignment vertical="center" wrapText="1"/>
    </xf>
    <xf numFmtId="167" fontId="40" fillId="0" borderId="22" xfId="227" applyFont="1" applyFill="1" applyBorder="1" applyAlignment="1">
      <alignment vertical="center"/>
    </xf>
    <xf numFmtId="167" fontId="40" fillId="0" borderId="14" xfId="227" applyFont="1" applyFill="1" applyBorder="1" applyAlignment="1">
      <alignment vertical="center"/>
    </xf>
    <xf numFmtId="43" fontId="115" fillId="0" borderId="0" xfId="224" applyNumberFormat="1" applyFont="1" applyAlignment="1">
      <alignment vertical="center"/>
    </xf>
    <xf numFmtId="0" fontId="130" fillId="0" borderId="0" xfId="224" applyFont="1" applyAlignment="1">
      <alignment horizontal="right" vertical="center"/>
    </xf>
    <xf numFmtId="0" fontId="129" fillId="0" borderId="30" xfId="224" applyFont="1" applyBorder="1" applyAlignment="1">
      <alignment vertical="center"/>
    </xf>
    <xf numFmtId="0" fontId="25" fillId="0" borderId="6" xfId="57" applyBorder="1"/>
    <xf numFmtId="0" fontId="25" fillId="0" borderId="27" xfId="57" applyBorder="1"/>
    <xf numFmtId="0" fontId="25" fillId="0" borderId="32" xfId="57" applyBorder="1"/>
    <xf numFmtId="43" fontId="25" fillId="0" borderId="23" xfId="57" applyNumberFormat="1" applyBorder="1"/>
    <xf numFmtId="0" fontId="25" fillId="0" borderId="34" xfId="57" applyBorder="1"/>
    <xf numFmtId="0" fontId="25" fillId="0" borderId="0" xfId="53" applyNumberFormat="1" applyFont="1" applyFill="1" applyBorder="1" applyAlignment="1">
      <alignment wrapText="1"/>
    </xf>
    <xf numFmtId="49" fontId="25" fillId="0" borderId="3" xfId="53" applyNumberFormat="1" applyFont="1" applyBorder="1" applyAlignment="1">
      <alignment wrapText="1"/>
    </xf>
    <xf numFmtId="0" fontId="25" fillId="0" borderId="3" xfId="53" applyFont="1" applyBorder="1" applyAlignment="1">
      <alignment horizontal="center" vertical="center" wrapText="1"/>
    </xf>
    <xf numFmtId="184" fontId="25" fillId="0" borderId="3" xfId="30" applyNumberFormat="1" applyFont="1" applyBorder="1" applyAlignment="1">
      <alignment horizontal="right" wrapText="1"/>
    </xf>
    <xf numFmtId="0" fontId="25" fillId="0" borderId="0" xfId="53" applyFont="1" applyBorder="1" applyAlignment="1">
      <alignment horizontal="center" wrapText="1"/>
    </xf>
    <xf numFmtId="0" fontId="25" fillId="0" borderId="0" xfId="53" applyNumberFormat="1" applyFont="1" applyFill="1" applyBorder="1" applyAlignment="1">
      <alignment horizontal="center" wrapText="1"/>
    </xf>
    <xf numFmtId="0" fontId="25" fillId="0" borderId="0" xfId="53" applyNumberFormat="1" applyFont="1" applyFill="1" applyBorder="1" applyAlignment="1">
      <alignment vertical="center" wrapText="1"/>
    </xf>
    <xf numFmtId="0" fontId="25" fillId="0" borderId="30" xfId="53" applyNumberFormat="1" applyFont="1" applyFill="1" applyBorder="1" applyAlignment="1">
      <alignment vertical="center" wrapText="1"/>
    </xf>
    <xf numFmtId="0" fontId="50" fillId="0" borderId="6" xfId="53" applyFont="1" applyBorder="1" applyAlignment="1">
      <alignment vertical="center" wrapText="1"/>
    </xf>
    <xf numFmtId="184" fontId="50" fillId="0" borderId="6" xfId="30" applyNumberFormat="1" applyFont="1" applyBorder="1" applyAlignment="1">
      <alignment horizontal="right" vertical="center" wrapText="1"/>
    </xf>
    <xf numFmtId="0" fontId="52" fillId="0" borderId="6" xfId="53" applyFont="1" applyBorder="1" applyAlignment="1">
      <alignment horizontal="center" vertical="center" wrapText="1"/>
    </xf>
    <xf numFmtId="0" fontId="25" fillId="0" borderId="27" xfId="53" applyNumberFormat="1" applyFont="1" applyFill="1" applyBorder="1" applyAlignment="1">
      <alignment vertical="center" wrapText="1"/>
    </xf>
    <xf numFmtId="0" fontId="84" fillId="0" borderId="0" xfId="53" applyNumberFormat="1" applyFont="1" applyFill="1" applyBorder="1" applyAlignment="1">
      <alignment horizontal="left" vertical="center" wrapText="1"/>
    </xf>
    <xf numFmtId="4" fontId="42" fillId="0" borderId="0" xfId="53" applyNumberFormat="1" applyFont="1" applyFill="1" applyBorder="1" applyAlignment="1">
      <alignment horizontal="center" vertical="center" wrapText="1"/>
    </xf>
    <xf numFmtId="0" fontId="42" fillId="0" borderId="0" xfId="53" applyNumberFormat="1" applyFont="1" applyFill="1" applyBorder="1" applyAlignment="1">
      <alignment horizontal="center" vertical="center" wrapText="1"/>
    </xf>
    <xf numFmtId="0" fontId="25" fillId="0" borderId="32" xfId="53" applyNumberFormat="1" applyFont="1" applyFill="1" applyBorder="1" applyAlignment="1">
      <alignment vertical="center" wrapText="1"/>
    </xf>
    <xf numFmtId="0" fontId="50" fillId="0" borderId="23" xfId="53" applyFont="1" applyBorder="1" applyAlignment="1">
      <alignment vertical="center" wrapText="1"/>
    </xf>
    <xf numFmtId="184" fontId="50" fillId="0" borderId="23" xfId="30" applyNumberFormat="1" applyFont="1" applyBorder="1" applyAlignment="1">
      <alignment horizontal="right" vertical="center" wrapText="1"/>
    </xf>
    <xf numFmtId="0" fontId="52" fillId="0" borderId="23" xfId="53" applyFont="1" applyBorder="1" applyAlignment="1">
      <alignment horizontal="center" vertical="center" wrapText="1"/>
    </xf>
    <xf numFmtId="0" fontId="25" fillId="0" borderId="34" xfId="53" applyNumberFormat="1" applyFont="1" applyFill="1" applyBorder="1" applyAlignment="1">
      <alignment vertical="center" wrapText="1"/>
    </xf>
    <xf numFmtId="0" fontId="93" fillId="0" borderId="0" xfId="45" applyFont="1" applyAlignment="1">
      <alignment wrapText="1"/>
    </xf>
    <xf numFmtId="0" fontId="69" fillId="0" borderId="9" xfId="45" applyFont="1" applyBorder="1" applyAlignment="1">
      <alignment vertical="center" wrapText="1"/>
    </xf>
    <xf numFmtId="0" fontId="69" fillId="0" borderId="0" xfId="45" applyFont="1" applyAlignment="1">
      <alignment vertical="center" wrapText="1"/>
    </xf>
    <xf numFmtId="184" fontId="93" fillId="0" borderId="0" xfId="30" applyNumberFormat="1" applyFont="1" applyAlignment="1">
      <alignment horizontal="right" wrapText="1"/>
    </xf>
    <xf numFmtId="169" fontId="69" fillId="0" borderId="31" xfId="52" quotePrefix="1" applyNumberFormat="1" applyFont="1" applyFill="1" applyBorder="1" applyAlignment="1">
      <alignment horizontal="left" vertical="center" wrapText="1"/>
    </xf>
    <xf numFmtId="2" fontId="40" fillId="0" borderId="0" xfId="45" applyNumberFormat="1" applyFont="1" applyAlignment="1">
      <alignment wrapText="1"/>
    </xf>
    <xf numFmtId="0" fontId="93" fillId="0" borderId="0" xfId="45" applyFont="1" applyAlignment="1">
      <alignment vertical="center" wrapText="1"/>
    </xf>
    <xf numFmtId="169" fontId="69" fillId="0" borderId="9" xfId="52" quotePrefix="1" applyNumberFormat="1" applyFont="1" applyFill="1" applyBorder="1" applyAlignment="1">
      <alignment horizontal="left" vertical="center" wrapText="1"/>
    </xf>
    <xf numFmtId="169" fontId="69" fillId="0" borderId="0" xfId="52" quotePrefix="1" applyNumberFormat="1" applyFont="1" applyFill="1" applyBorder="1" applyAlignment="1">
      <alignment horizontal="left" vertical="center" wrapText="1"/>
    </xf>
    <xf numFmtId="184" fontId="93" fillId="0" borderId="0" xfId="30" applyNumberFormat="1" applyFont="1" applyAlignment="1">
      <alignment horizontal="right" vertical="center" wrapText="1"/>
    </xf>
    <xf numFmtId="17" fontId="73" fillId="0" borderId="0" xfId="45" applyNumberFormat="1" applyFont="1" applyAlignment="1">
      <alignment vertical="center" wrapText="1"/>
    </xf>
    <xf numFmtId="169" fontId="73" fillId="0" borderId="31" xfId="52" quotePrefix="1" applyNumberFormat="1" applyFont="1" applyFill="1" applyBorder="1" applyAlignment="1">
      <alignment horizontal="left" vertical="center" wrapText="1"/>
    </xf>
    <xf numFmtId="0" fontId="97" fillId="0" borderId="0" xfId="0" applyFont="1" applyAlignment="1">
      <alignment wrapText="1"/>
    </xf>
    <xf numFmtId="0" fontId="42" fillId="0" borderId="0" xfId="53" applyNumberFormat="1" applyFont="1" applyFill="1" applyBorder="1" applyAlignment="1">
      <alignment vertical="center" wrapText="1"/>
    </xf>
    <xf numFmtId="190" fontId="98" fillId="0" borderId="0" xfId="51" applyNumberFormat="1" applyFont="1" applyAlignment="1">
      <alignment horizontal="left" vertical="center" wrapText="1"/>
    </xf>
    <xf numFmtId="191" fontId="98" fillId="0" borderId="0" xfId="51" applyNumberFormat="1" applyFont="1" applyAlignment="1">
      <alignment horizontal="left" vertical="center" wrapText="1"/>
    </xf>
    <xf numFmtId="0" fontId="40" fillId="0" borderId="0" xfId="53" applyNumberFormat="1" applyFont="1" applyFill="1" applyBorder="1" applyAlignment="1">
      <alignment vertical="center" wrapText="1"/>
    </xf>
    <xf numFmtId="0" fontId="40" fillId="0" borderId="0" xfId="53" applyNumberFormat="1" applyFont="1" applyFill="1" applyBorder="1" applyAlignment="1">
      <alignment horizontal="center" vertical="center" wrapText="1"/>
    </xf>
    <xf numFmtId="49" fontId="42" fillId="0" borderId="83" xfId="53" applyNumberFormat="1" applyFont="1" applyFill="1" applyBorder="1" applyAlignment="1">
      <alignment horizontal="left" vertical="center" wrapText="1"/>
    </xf>
    <xf numFmtId="4" fontId="42" fillId="0" borderId="83" xfId="30" applyNumberFormat="1" applyFont="1" applyFill="1" applyBorder="1" applyAlignment="1">
      <alignment horizontal="left" vertical="center" wrapText="1"/>
    </xf>
    <xf numFmtId="49" fontId="30" fillId="0" borderId="0" xfId="53" applyNumberFormat="1" applyFont="1" applyFill="1" applyBorder="1" applyAlignment="1">
      <alignment vertical="center" wrapText="1"/>
    </xf>
    <xf numFmtId="0" fontId="30" fillId="0" borderId="0" xfId="53" applyNumberFormat="1" applyFont="1" applyFill="1" applyBorder="1" applyAlignment="1">
      <alignment horizontal="center" vertical="center" wrapText="1"/>
    </xf>
    <xf numFmtId="0" fontId="29" fillId="0" borderId="0" xfId="30" applyNumberFormat="1" applyFont="1" applyFill="1" applyBorder="1" applyAlignment="1">
      <alignment vertical="center" wrapText="1"/>
    </xf>
    <xf numFmtId="184" fontId="29" fillId="0" borderId="0" xfId="30" applyNumberFormat="1" applyFont="1" applyFill="1" applyBorder="1" applyAlignment="1">
      <alignment horizontal="right" vertical="center" wrapText="1"/>
    </xf>
    <xf numFmtId="0" fontId="30" fillId="0" borderId="0" xfId="30" applyNumberFormat="1" applyFont="1" applyFill="1" applyBorder="1" applyAlignment="1">
      <alignment vertical="center" wrapText="1"/>
    </xf>
    <xf numFmtId="0" fontId="29" fillId="0" borderId="0" xfId="53" applyNumberFormat="1" applyFont="1" applyFill="1" applyBorder="1" applyAlignment="1">
      <alignment horizontal="center" vertical="center" wrapText="1"/>
    </xf>
    <xf numFmtId="0" fontId="53" fillId="28" borderId="180" xfId="0" applyNumberFormat="1" applyFont="1" applyFill="1" applyBorder="1" applyAlignment="1">
      <alignment horizontal="left" wrapText="1"/>
    </xf>
    <xf numFmtId="192" fontId="54" fillId="2" borderId="181" xfId="0" applyNumberFormat="1" applyFont="1" applyFill="1" applyBorder="1" applyAlignment="1">
      <alignment horizontal="left" vertical="top" wrapText="1"/>
    </xf>
    <xf numFmtId="0" fontId="54" fillId="2" borderId="181" xfId="0" applyNumberFormat="1" applyFont="1" applyFill="1" applyBorder="1" applyAlignment="1">
      <alignment horizontal="left" vertical="top" wrapText="1"/>
    </xf>
    <xf numFmtId="193" fontId="54" fillId="2" borderId="181" xfId="0" applyNumberFormat="1" applyFont="1" applyFill="1" applyBorder="1" applyAlignment="1">
      <alignment horizontal="left" vertical="top" wrapText="1"/>
    </xf>
    <xf numFmtId="0" fontId="53" fillId="28" borderId="181" xfId="0" applyNumberFormat="1" applyFont="1" applyFill="1" applyBorder="1" applyAlignment="1">
      <alignment horizontal="right" wrapText="1"/>
    </xf>
    <xf numFmtId="181" fontId="54" fillId="2" borderId="181" xfId="0" applyNumberFormat="1" applyFont="1" applyFill="1" applyBorder="1" applyAlignment="1">
      <alignment horizontal="right" vertical="top" wrapText="1"/>
    </xf>
    <xf numFmtId="194" fontId="54" fillId="2" borderId="181" xfId="0" applyNumberFormat="1" applyFont="1" applyFill="1" applyBorder="1" applyAlignment="1">
      <alignment horizontal="right" vertical="top" wrapText="1"/>
    </xf>
    <xf numFmtId="195" fontId="54" fillId="2" borderId="181" xfId="0" applyNumberFormat="1" applyFont="1" applyFill="1" applyBorder="1" applyAlignment="1">
      <alignment horizontal="right" vertical="top" wrapText="1"/>
    </xf>
    <xf numFmtId="196" fontId="54" fillId="2" borderId="181" xfId="0" applyNumberFormat="1" applyFont="1" applyFill="1" applyBorder="1" applyAlignment="1">
      <alignment horizontal="right" vertical="top" wrapText="1"/>
    </xf>
    <xf numFmtId="189" fontId="54" fillId="2" borderId="181" xfId="0" applyNumberFormat="1" applyFont="1" applyFill="1" applyBorder="1" applyAlignment="1">
      <alignment horizontal="right" vertical="top" wrapText="1"/>
    </xf>
    <xf numFmtId="197" fontId="54" fillId="2" borderId="181" xfId="0" applyNumberFormat="1" applyFont="1" applyFill="1" applyBorder="1" applyAlignment="1">
      <alignment horizontal="right" vertical="top" wrapText="1"/>
    </xf>
    <xf numFmtId="0" fontId="0" fillId="0" borderId="0" xfId="0" applyNumberFormat="1" applyFont="1" applyFill="1" applyBorder="1" applyAlignment="1">
      <alignment horizontal="center"/>
    </xf>
    <xf numFmtId="0" fontId="25" fillId="0" borderId="0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right"/>
    </xf>
    <xf numFmtId="0" fontId="25" fillId="0" borderId="0" xfId="57" applyAlignment="1">
      <alignment horizontal="left" vertical="center"/>
    </xf>
    <xf numFmtId="49" fontId="42" fillId="0" borderId="0" xfId="53" applyNumberFormat="1" applyFont="1" applyFill="1" applyBorder="1" applyAlignment="1">
      <alignment horizontal="left" vertical="center" wrapText="1"/>
    </xf>
    <xf numFmtId="49" fontId="42" fillId="0" borderId="0" xfId="53" quotePrefix="1" applyNumberFormat="1" applyFont="1" applyFill="1" applyBorder="1" applyAlignment="1">
      <alignment horizontal="left" vertical="center" wrapText="1"/>
    </xf>
    <xf numFmtId="4" fontId="42" fillId="0" borderId="0" xfId="30" applyNumberFormat="1" applyFont="1" applyFill="1" applyBorder="1" applyAlignment="1">
      <alignment horizontal="center" vertical="center" wrapText="1"/>
    </xf>
    <xf numFmtId="184" fontId="42" fillId="0" borderId="0" xfId="30" applyNumberFormat="1" applyFont="1" applyFill="1" applyBorder="1" applyAlignment="1">
      <alignment horizontal="right" vertical="center" wrapText="1"/>
    </xf>
    <xf numFmtId="4" fontId="42" fillId="0" borderId="0" xfId="30" applyNumberFormat="1" applyFont="1" applyFill="1" applyBorder="1" applyAlignment="1">
      <alignment horizontal="left" vertical="center" wrapText="1"/>
    </xf>
    <xf numFmtId="185" fontId="131" fillId="19" borderId="0" xfId="0" applyNumberFormat="1" applyFont="1" applyFill="1" applyBorder="1"/>
    <xf numFmtId="1" fontId="132" fillId="0" borderId="0" xfId="58" quotePrefix="1" applyNumberFormat="1" applyFont="1" applyAlignment="1">
      <alignment horizontal="left" vertical="center"/>
    </xf>
    <xf numFmtId="4" fontId="132" fillId="2" borderId="48" xfId="58" applyNumberFormat="1" applyFont="1" applyFill="1" applyBorder="1" applyAlignment="1">
      <alignment vertical="center"/>
    </xf>
    <xf numFmtId="10" fontId="88" fillId="2" borderId="0" xfId="59" applyNumberFormat="1" applyFont="1" applyFill="1" applyBorder="1" applyAlignment="1">
      <alignment horizontal="left" vertical="center"/>
    </xf>
    <xf numFmtId="2" fontId="94" fillId="0" borderId="42" xfId="57" applyNumberFormat="1" applyFont="1" applyBorder="1" applyAlignment="1">
      <alignment vertical="center"/>
    </xf>
    <xf numFmtId="0" fontId="74" fillId="7" borderId="14" xfId="57" applyFont="1" applyFill="1" applyBorder="1" applyAlignment="1">
      <alignment horizontal="center" vertical="center" wrapText="1"/>
    </xf>
    <xf numFmtId="0" fontId="78" fillId="0" borderId="28" xfId="57" applyFont="1" applyBorder="1" applyAlignment="1">
      <alignment horizontal="left" vertical="center"/>
    </xf>
    <xf numFmtId="0" fontId="73" fillId="0" borderId="61" xfId="57" applyFont="1" applyBorder="1" applyAlignment="1">
      <alignment horizontal="left" vertical="center"/>
    </xf>
    <xf numFmtId="0" fontId="70" fillId="0" borderId="12" xfId="45" applyFont="1" applyBorder="1" applyAlignment="1">
      <alignment vertical="center"/>
    </xf>
    <xf numFmtId="0" fontId="70" fillId="0" borderId="20" xfId="45" applyFont="1" applyBorder="1" applyAlignment="1">
      <alignment vertical="center"/>
    </xf>
    <xf numFmtId="0" fontId="70" fillId="0" borderId="21" xfId="45" applyFont="1" applyBorder="1" applyAlignment="1">
      <alignment vertical="center"/>
    </xf>
    <xf numFmtId="0" fontId="70" fillId="0" borderId="20" xfId="45" applyFont="1" applyBorder="1" applyAlignment="1">
      <alignment horizontal="center" vertical="center"/>
    </xf>
    <xf numFmtId="0" fontId="40" fillId="0" borderId="20" xfId="45" applyFont="1" applyBorder="1" applyAlignment="1">
      <alignment vertical="center"/>
    </xf>
    <xf numFmtId="0" fontId="40" fillId="0" borderId="21" xfId="45" applyFont="1" applyBorder="1" applyAlignment="1">
      <alignment vertical="center"/>
    </xf>
    <xf numFmtId="0" fontId="112" fillId="29" borderId="91" xfId="0" applyFont="1" applyFill="1" applyBorder="1"/>
    <xf numFmtId="2" fontId="112" fillId="29" borderId="91" xfId="0" applyNumberFormat="1" applyFont="1" applyFill="1" applyBorder="1"/>
    <xf numFmtId="0" fontId="112" fillId="0" borderId="0" xfId="0" applyFont="1"/>
    <xf numFmtId="0" fontId="0" fillId="0" borderId="0" xfId="0"/>
    <xf numFmtId="0" fontId="112" fillId="0" borderId="90" xfId="0" applyFont="1" applyBorder="1" applyAlignment="1">
      <alignment vertical="center"/>
    </xf>
    <xf numFmtId="0" fontId="112" fillId="0" borderId="90" xfId="0" applyFont="1" applyBorder="1"/>
    <xf numFmtId="2" fontId="112" fillId="0" borderId="90" xfId="0" applyNumberFormat="1" applyFont="1" applyBorder="1"/>
    <xf numFmtId="0" fontId="112" fillId="29" borderId="90" xfId="0" applyFont="1" applyFill="1" applyBorder="1"/>
    <xf numFmtId="2" fontId="112" fillId="29" borderId="90" xfId="0" applyNumberFormat="1" applyFont="1" applyFill="1" applyBorder="1"/>
    <xf numFmtId="0" fontId="112" fillId="0" borderId="91" xfId="0" applyFont="1" applyBorder="1"/>
    <xf numFmtId="0" fontId="112" fillId="0" borderId="91" xfId="0" applyFont="1" applyBorder="1" applyAlignment="1">
      <alignment vertical="center"/>
    </xf>
    <xf numFmtId="0" fontId="135" fillId="30" borderId="14" xfId="0" applyFont="1" applyFill="1" applyBorder="1" applyAlignment="1">
      <alignment horizontal="right"/>
    </xf>
    <xf numFmtId="0" fontId="135" fillId="30" borderId="24" xfId="0" applyFont="1" applyFill="1" applyBorder="1"/>
    <xf numFmtId="0" fontId="0" fillId="30" borderId="24" xfId="0" applyFill="1" applyBorder="1"/>
    <xf numFmtId="0" fontId="135" fillId="30" borderId="25" xfId="0" applyFont="1" applyFill="1" applyBorder="1" applyAlignment="1">
      <alignment horizontal="right"/>
    </xf>
    <xf numFmtId="0" fontId="112" fillId="0" borderId="31" xfId="0" applyFont="1" applyBorder="1"/>
    <xf numFmtId="0" fontId="112" fillId="0" borderId="0" xfId="0" applyFont="1" applyBorder="1"/>
    <xf numFmtId="2" fontId="112" fillId="0" borderId="31" xfId="0" applyNumberFormat="1" applyFont="1" applyBorder="1"/>
    <xf numFmtId="0" fontId="112" fillId="0" borderId="23" xfId="0" applyFont="1" applyBorder="1"/>
    <xf numFmtId="2" fontId="112" fillId="0" borderId="34" xfId="0" applyNumberFormat="1" applyFont="1" applyBorder="1"/>
    <xf numFmtId="2" fontId="136" fillId="0" borderId="0" xfId="0" applyNumberFormat="1" applyFont="1"/>
    <xf numFmtId="0" fontId="67" fillId="31" borderId="182" xfId="0" applyFont="1" applyFill="1" applyBorder="1" applyAlignment="1">
      <alignment horizontal="center" vertical="center" wrapText="1"/>
    </xf>
    <xf numFmtId="2" fontId="67" fillId="31" borderId="182" xfId="0" applyNumberFormat="1" applyFont="1" applyFill="1" applyBorder="1" applyAlignment="1">
      <alignment horizontal="center" vertical="center" wrapText="1"/>
    </xf>
    <xf numFmtId="2" fontId="67" fillId="31" borderId="183" xfId="0" applyNumberFormat="1" applyFont="1" applyFill="1" applyBorder="1" applyAlignment="1">
      <alignment horizontal="center" vertical="center" wrapText="1"/>
    </xf>
    <xf numFmtId="0" fontId="112" fillId="29" borderId="184" xfId="0" applyFont="1" applyFill="1" applyBorder="1"/>
    <xf numFmtId="2" fontId="112" fillId="29" borderId="184" xfId="0" applyNumberFormat="1" applyFont="1" applyFill="1" applyBorder="1"/>
    <xf numFmtId="2" fontId="112" fillId="29" borderId="185" xfId="0" applyNumberFormat="1" applyFont="1" applyFill="1" applyBorder="1"/>
    <xf numFmtId="0" fontId="112" fillId="0" borderId="90" xfId="0" applyFont="1" applyBorder="1" applyAlignment="1">
      <alignment horizontal="left" vertical="center"/>
    </xf>
    <xf numFmtId="198" fontId="112" fillId="0" borderId="90" xfId="0" applyNumberFormat="1" applyFont="1" applyBorder="1"/>
    <xf numFmtId="198" fontId="112" fillId="0" borderId="187" xfId="0" applyNumberFormat="1" applyFont="1" applyBorder="1"/>
    <xf numFmtId="2" fontId="112" fillId="0" borderId="0" xfId="0" applyNumberFormat="1" applyFont="1"/>
    <xf numFmtId="198" fontId="113" fillId="0" borderId="187" xfId="0" applyNumberFormat="1" applyFont="1" applyBorder="1"/>
    <xf numFmtId="198" fontId="112" fillId="0" borderId="0" xfId="0" applyNumberFormat="1" applyFont="1"/>
    <xf numFmtId="198" fontId="113" fillId="0" borderId="0" xfId="0" applyNumberFormat="1" applyFont="1"/>
    <xf numFmtId="49" fontId="0" fillId="24" borderId="173" xfId="57" applyNumberFormat="1" applyFont="1" applyFill="1" applyBorder="1" applyAlignment="1">
      <alignment horizontal="left" vertical="center" wrapText="1"/>
    </xf>
    <xf numFmtId="0" fontId="0" fillId="5" borderId="173" xfId="57" applyFont="1" applyFill="1" applyBorder="1" applyAlignment="1">
      <alignment horizontal="left" vertical="center" wrapText="1"/>
    </xf>
    <xf numFmtId="49" fontId="0" fillId="5" borderId="173" xfId="57" applyNumberFormat="1" applyFont="1" applyFill="1" applyBorder="1" applyAlignment="1">
      <alignment horizontal="left" vertical="center" wrapText="1"/>
    </xf>
    <xf numFmtId="10" fontId="61" fillId="0" borderId="0" xfId="70" applyNumberFormat="1" applyFont="1" applyAlignment="1">
      <alignment vertical="center"/>
    </xf>
    <xf numFmtId="0" fontId="111" fillId="19" borderId="0" xfId="0" applyFont="1" applyFill="1" applyBorder="1"/>
    <xf numFmtId="0" fontId="0" fillId="0" borderId="0" xfId="0" applyFont="1" applyAlignment="1"/>
    <xf numFmtId="0" fontId="137" fillId="11" borderId="31" xfId="57" applyFont="1" applyFill="1" applyBorder="1" applyAlignment="1">
      <alignment horizontal="center" vertical="center"/>
    </xf>
    <xf numFmtId="0" fontId="122" fillId="11" borderId="31" xfId="57" applyFont="1" applyFill="1" applyBorder="1" applyAlignment="1">
      <alignment horizontal="center" vertical="center"/>
    </xf>
    <xf numFmtId="0" fontId="80" fillId="11" borderId="31" xfId="57" applyFont="1" applyFill="1" applyBorder="1" applyAlignment="1">
      <alignment horizontal="center" vertical="center" wrapText="1"/>
    </xf>
    <xf numFmtId="0" fontId="25" fillId="0" borderId="0" xfId="0" applyFont="1" applyAlignment="1"/>
    <xf numFmtId="0" fontId="5" fillId="0" borderId="0" xfId="253"/>
    <xf numFmtId="4" fontId="132" fillId="0" borderId="83" xfId="30" applyNumberFormat="1" applyFont="1" applyFill="1" applyBorder="1" applyAlignment="1">
      <alignment horizontal="left" vertical="center" wrapText="1"/>
    </xf>
    <xf numFmtId="0" fontId="25" fillId="0" borderId="0" xfId="57" applyAlignment="1">
      <alignment horizontal="left"/>
    </xf>
    <xf numFmtId="8" fontId="25" fillId="0" borderId="0" xfId="57" applyNumberFormat="1"/>
    <xf numFmtId="0" fontId="135" fillId="0" borderId="0" xfId="253" applyFont="1"/>
    <xf numFmtId="180" fontId="73" fillId="0" borderId="28" xfId="50" applyNumberFormat="1" applyFont="1" applyFill="1" applyBorder="1" applyAlignment="1">
      <alignment vertical="center" wrapText="1"/>
    </xf>
    <xf numFmtId="2" fontId="5" fillId="0" borderId="0" xfId="253" applyNumberFormat="1"/>
    <xf numFmtId="2" fontId="25" fillId="0" borderId="0" xfId="57" applyNumberFormat="1" applyAlignment="1">
      <alignment horizontal="left"/>
    </xf>
    <xf numFmtId="0" fontId="0" fillId="0" borderId="0" xfId="57" applyFont="1" applyAlignment="1">
      <alignment horizontal="right"/>
    </xf>
    <xf numFmtId="0" fontId="0" fillId="0" borderId="0" xfId="57" applyFont="1"/>
    <xf numFmtId="199" fontId="73" fillId="0" borderId="28" xfId="50" applyNumberFormat="1" applyFont="1" applyFill="1" applyBorder="1" applyAlignment="1">
      <alignment vertical="center" wrapText="1"/>
    </xf>
    <xf numFmtId="2" fontId="30" fillId="0" borderId="0" xfId="57" applyNumberFormat="1" applyFont="1" applyAlignment="1">
      <alignment vertical="center"/>
    </xf>
    <xf numFmtId="4" fontId="138" fillId="3" borderId="46" xfId="41" applyNumberFormat="1" applyFont="1" applyFill="1" applyBorder="1" applyAlignment="1">
      <alignment vertical="center"/>
    </xf>
    <xf numFmtId="0" fontId="134" fillId="0" borderId="117" xfId="0" applyFont="1" applyBorder="1" applyAlignment="1">
      <alignment horizontal="center" vertical="center"/>
    </xf>
    <xf numFmtId="0" fontId="139" fillId="0" borderId="83" xfId="53" applyNumberFormat="1" applyFont="1" applyFill="1" applyBorder="1" applyAlignment="1">
      <alignment vertical="center" wrapText="1"/>
    </xf>
    <xf numFmtId="0" fontId="140" fillId="0" borderId="83" xfId="0" applyNumberFormat="1" applyFont="1" applyFill="1" applyBorder="1" applyAlignment="1">
      <alignment horizontal="center" vertical="center" wrapText="1"/>
    </xf>
    <xf numFmtId="4" fontId="139" fillId="0" borderId="83" xfId="30" applyNumberFormat="1" applyFont="1" applyFill="1" applyBorder="1" applyAlignment="1">
      <alignment horizontal="center" vertical="center" wrapText="1"/>
    </xf>
    <xf numFmtId="4" fontId="42" fillId="0" borderId="83" xfId="30" quotePrefix="1" applyNumberFormat="1" applyFont="1" applyFill="1" applyBorder="1" applyAlignment="1">
      <alignment horizontal="left" vertical="center" wrapText="1"/>
    </xf>
    <xf numFmtId="0" fontId="0" fillId="23" borderId="173" xfId="0" applyNumberFormat="1" applyFont="1" applyFill="1" applyBorder="1" applyAlignment="1">
      <alignment horizontal="left" vertical="center" wrapText="1"/>
    </xf>
    <xf numFmtId="1" fontId="0" fillId="23" borderId="173" xfId="0" applyNumberFormat="1" applyFont="1" applyFill="1" applyBorder="1" applyAlignment="1">
      <alignment horizontal="center" vertical="center"/>
    </xf>
    <xf numFmtId="2" fontId="0" fillId="23" borderId="173" xfId="0" applyNumberFormat="1" applyFont="1" applyFill="1" applyBorder="1" applyAlignment="1">
      <alignment horizontal="center" vertical="center"/>
    </xf>
    <xf numFmtId="0" fontId="0" fillId="24" borderId="173" xfId="0" applyNumberFormat="1" applyFont="1" applyFill="1" applyBorder="1" applyAlignment="1">
      <alignment horizontal="left" vertical="center" wrapText="1"/>
    </xf>
    <xf numFmtId="1" fontId="0" fillId="24" borderId="173" xfId="0" applyNumberFormat="1" applyFont="1" applyFill="1" applyBorder="1" applyAlignment="1">
      <alignment horizontal="center" vertical="center"/>
    </xf>
    <xf numFmtId="2" fontId="0" fillId="24" borderId="173" xfId="0" applyNumberFormat="1" applyFont="1" applyFill="1" applyBorder="1" applyAlignment="1">
      <alignment horizontal="center" vertical="center"/>
    </xf>
    <xf numFmtId="0" fontId="0" fillId="5" borderId="173" xfId="0" applyNumberFormat="1" applyFont="1" applyFill="1" applyBorder="1" applyAlignment="1">
      <alignment horizontal="left" vertical="center" wrapText="1"/>
    </xf>
    <xf numFmtId="1" fontId="0" fillId="5" borderId="173" xfId="0" applyNumberFormat="1" applyFont="1" applyFill="1" applyBorder="1" applyAlignment="1">
      <alignment horizontal="center" vertical="center"/>
    </xf>
    <xf numFmtId="2" fontId="0" fillId="5" borderId="173" xfId="0" applyNumberFormat="1" applyFont="1" applyFill="1" applyBorder="1" applyAlignment="1">
      <alignment horizontal="center" vertical="center"/>
    </xf>
    <xf numFmtId="0" fontId="25" fillId="5" borderId="173" xfId="0" applyNumberFormat="1" applyFont="1" applyFill="1" applyBorder="1" applyAlignment="1">
      <alignment horizontal="left" vertical="center" wrapText="1"/>
    </xf>
    <xf numFmtId="0" fontId="25" fillId="0" borderId="0" xfId="57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25" borderId="174" xfId="57" applyFont="1" applyFill="1" applyBorder="1" applyAlignment="1">
      <alignment horizontal="left" vertical="center" wrapText="1"/>
    </xf>
    <xf numFmtId="0" fontId="0" fillId="24" borderId="173" xfId="57" applyFont="1" applyFill="1" applyBorder="1" applyAlignment="1">
      <alignment horizontal="left" vertical="center" wrapText="1"/>
    </xf>
    <xf numFmtId="0" fontId="0" fillId="24" borderId="174" xfId="57" applyFont="1" applyFill="1" applyBorder="1" applyAlignment="1">
      <alignment horizontal="left" vertical="center" wrapText="1"/>
    </xf>
    <xf numFmtId="49" fontId="0" fillId="24" borderId="174" xfId="57" applyNumberFormat="1" applyFont="1" applyFill="1" applyBorder="1" applyAlignment="1">
      <alignment horizontal="left" vertical="center" wrapText="1"/>
    </xf>
    <xf numFmtId="2" fontId="25" fillId="24" borderId="174" xfId="30" applyNumberFormat="1" applyFont="1" applyFill="1" applyBorder="1" applyAlignment="1">
      <alignment horizontal="center" vertical="center"/>
    </xf>
    <xf numFmtId="2" fontId="25" fillId="0" borderId="0" xfId="30" applyNumberFormat="1" applyFont="1" applyFill="1" applyBorder="1"/>
    <xf numFmtId="0" fontId="25" fillId="0" borderId="0" xfId="30" applyNumberFormat="1" applyFont="1" applyFill="1" applyBorder="1" applyAlignment="1">
      <alignment horizontal="right"/>
    </xf>
    <xf numFmtId="2" fontId="112" fillId="29" borderId="195" xfId="0" applyNumberFormat="1" applyFont="1" applyFill="1" applyBorder="1"/>
    <xf numFmtId="2" fontId="112" fillId="0" borderId="187" xfId="0" applyNumberFormat="1" applyFont="1" applyBorder="1"/>
    <xf numFmtId="0" fontId="112" fillId="29" borderId="90" xfId="0" applyFont="1" applyFill="1" applyBorder="1" applyAlignment="1"/>
    <xf numFmtId="2" fontId="112" fillId="29" borderId="90" xfId="0" applyNumberFormat="1" applyFont="1" applyFill="1" applyBorder="1" applyAlignment="1"/>
    <xf numFmtId="2" fontId="112" fillId="29" borderId="187" xfId="0" applyNumberFormat="1" applyFont="1" applyFill="1" applyBorder="1"/>
    <xf numFmtId="0" fontId="134" fillId="0" borderId="90" xfId="0" applyFont="1" applyBorder="1" applyAlignment="1">
      <alignment horizontal="center" vertical="center"/>
    </xf>
    <xf numFmtId="0" fontId="112" fillId="0" borderId="90" xfId="0" applyFont="1" applyBorder="1" applyAlignment="1"/>
    <xf numFmtId="2" fontId="112" fillId="0" borderId="90" xfId="0" applyNumberFormat="1" applyFont="1" applyBorder="1" applyAlignment="1"/>
    <xf numFmtId="0" fontId="112" fillId="0" borderId="196" xfId="0" applyFont="1" applyBorder="1"/>
    <xf numFmtId="2" fontId="112" fillId="0" borderId="196" xfId="0" applyNumberFormat="1" applyFont="1" applyBorder="1"/>
    <xf numFmtId="2" fontId="112" fillId="0" borderId="197" xfId="0" applyNumberFormat="1" applyFont="1" applyBorder="1"/>
    <xf numFmtId="0" fontId="112" fillId="29" borderId="198" xfId="0" applyFont="1" applyFill="1" applyBorder="1" applyAlignment="1"/>
    <xf numFmtId="0" fontId="112" fillId="29" borderId="198" xfId="0" applyFont="1" applyFill="1" applyBorder="1"/>
    <xf numFmtId="0" fontId="134" fillId="0" borderId="199" xfId="0" applyFont="1" applyBorder="1" applyAlignment="1">
      <alignment horizontal="center" vertical="center"/>
    </xf>
    <xf numFmtId="0" fontId="112" fillId="29" borderId="189" xfId="0" applyFont="1" applyFill="1" applyBorder="1" applyAlignment="1"/>
    <xf numFmtId="0" fontId="4" fillId="0" borderId="0" xfId="254"/>
    <xf numFmtId="44" fontId="144" fillId="5" borderId="0" xfId="255" applyFont="1" applyFill="1" applyBorder="1" applyAlignment="1">
      <alignment horizontal="left" vertical="center" wrapText="1"/>
    </xf>
    <xf numFmtId="0" fontId="141" fillId="5" borderId="23" xfId="254" applyFont="1" applyFill="1" applyBorder="1" applyAlignment="1">
      <alignment horizontal="left" vertical="center" wrapText="1"/>
    </xf>
    <xf numFmtId="43" fontId="147" fillId="5" borderId="135" xfId="256" applyFont="1" applyFill="1" applyBorder="1" applyAlignment="1">
      <alignment horizontal="left" vertical="center"/>
    </xf>
    <xf numFmtId="44" fontId="0" fillId="0" borderId="0" xfId="255" applyFont="1"/>
    <xf numFmtId="0" fontId="4" fillId="0" borderId="23" xfId="254" applyBorder="1"/>
    <xf numFmtId="44" fontId="0" fillId="0" borderId="23" xfId="255" applyFont="1" applyBorder="1"/>
    <xf numFmtId="0" fontId="77" fillId="0" borderId="200" xfId="45" applyFont="1" applyBorder="1" applyAlignment="1">
      <alignment vertical="center"/>
    </xf>
    <xf numFmtId="0" fontId="41" fillId="0" borderId="201" xfId="45" applyFont="1" applyBorder="1" applyAlignment="1">
      <alignment vertical="center"/>
    </xf>
    <xf numFmtId="0" fontId="40" fillId="0" borderId="202" xfId="45" applyFont="1" applyBorder="1" applyAlignment="1">
      <alignment vertical="center"/>
    </xf>
    <xf numFmtId="166" fontId="77" fillId="0" borderId="202" xfId="237" applyFont="1" applyBorder="1" applyAlignment="1">
      <alignment vertical="center"/>
    </xf>
    <xf numFmtId="0" fontId="40" fillId="0" borderId="203" xfId="45" applyFont="1" applyBorder="1" applyAlignment="1">
      <alignment vertical="center"/>
    </xf>
    <xf numFmtId="17" fontId="40" fillId="0" borderId="204" xfId="45" applyNumberFormat="1" applyFont="1" applyBorder="1" applyAlignment="1">
      <alignment horizontal="left" vertical="center"/>
    </xf>
    <xf numFmtId="0" fontId="144" fillId="5" borderId="9" xfId="254" applyFont="1" applyFill="1" applyBorder="1" applyAlignment="1">
      <alignment vertical="center" wrapText="1"/>
    </xf>
    <xf numFmtId="0" fontId="144" fillId="5" borderId="0" xfId="254" applyFont="1" applyFill="1" applyAlignment="1">
      <alignment horizontal="center" vertical="center" wrapText="1"/>
    </xf>
    <xf numFmtId="0" fontId="144" fillId="5" borderId="0" xfId="254" applyFont="1" applyFill="1" applyAlignment="1">
      <alignment horizontal="left" vertical="center" wrapText="1"/>
    </xf>
    <xf numFmtId="0" fontId="142" fillId="5" borderId="31" xfId="254" applyFont="1" applyFill="1" applyBorder="1"/>
    <xf numFmtId="0" fontId="141" fillId="5" borderId="9" xfId="254" applyFont="1" applyFill="1" applyBorder="1" applyAlignment="1">
      <alignment horizontal="left" vertical="center" wrapText="1"/>
    </xf>
    <xf numFmtId="0" fontId="141" fillId="5" borderId="0" xfId="254" applyFont="1" applyFill="1" applyAlignment="1">
      <alignment horizontal="left" vertical="center" wrapText="1"/>
    </xf>
    <xf numFmtId="0" fontId="145" fillId="5" borderId="31" xfId="254" applyFont="1" applyFill="1" applyBorder="1"/>
    <xf numFmtId="0" fontId="141" fillId="5" borderId="32" xfId="254" applyFont="1" applyFill="1" applyBorder="1" applyAlignment="1">
      <alignment horizontal="left" vertical="center" wrapText="1"/>
    </xf>
    <xf numFmtId="2" fontId="145" fillId="5" borderId="34" xfId="254" applyNumberFormat="1" applyFont="1" applyFill="1" applyBorder="1"/>
    <xf numFmtId="0" fontId="145" fillId="5" borderId="9" xfId="254" applyFont="1" applyFill="1" applyBorder="1"/>
    <xf numFmtId="0" fontId="4" fillId="0" borderId="32" xfId="254" applyBorder="1"/>
    <xf numFmtId="0" fontId="4" fillId="0" borderId="34" xfId="254" applyBorder="1"/>
    <xf numFmtId="0" fontId="4" fillId="0" borderId="9" xfId="254" applyBorder="1"/>
    <xf numFmtId="43" fontId="147" fillId="5" borderId="7" xfId="256" applyFont="1" applyFill="1" applyBorder="1" applyAlignment="1">
      <alignment horizontal="left" vertical="center"/>
    </xf>
    <xf numFmtId="44" fontId="146" fillId="32" borderId="14" xfId="255" applyFont="1" applyFill="1" applyBorder="1" applyAlignment="1">
      <alignment horizontal="center" vertical="center" wrapText="1"/>
    </xf>
    <xf numFmtId="0" fontId="146" fillId="32" borderId="14" xfId="254" applyFont="1" applyFill="1" applyBorder="1" applyAlignment="1">
      <alignment horizontal="left" vertical="center" wrapText="1"/>
    </xf>
    <xf numFmtId="0" fontId="146" fillId="32" borderId="14" xfId="254" applyFont="1" applyFill="1" applyBorder="1" applyAlignment="1">
      <alignment horizontal="center" vertical="center" wrapText="1"/>
    </xf>
    <xf numFmtId="43" fontId="148" fillId="6" borderId="32" xfId="256" applyFont="1" applyFill="1" applyBorder="1" applyAlignment="1">
      <alignment horizontal="left" vertical="center"/>
    </xf>
    <xf numFmtId="43" fontId="147" fillId="6" borderId="23" xfId="256" applyFont="1" applyFill="1" applyBorder="1" applyAlignment="1">
      <alignment horizontal="left" vertical="center"/>
    </xf>
    <xf numFmtId="43" fontId="147" fillId="6" borderId="23" xfId="256" applyFont="1" applyFill="1" applyBorder="1" applyAlignment="1">
      <alignment horizontal="center" vertical="center" wrapText="1"/>
    </xf>
    <xf numFmtId="44" fontId="147" fillId="6" borderId="23" xfId="255" applyFont="1" applyFill="1" applyBorder="1" applyAlignment="1">
      <alignment horizontal="left" vertical="center"/>
    </xf>
    <xf numFmtId="44" fontId="147" fillId="6" borderId="34" xfId="255" applyFont="1" applyFill="1" applyBorder="1" applyAlignment="1">
      <alignment horizontal="left" vertical="center"/>
    </xf>
    <xf numFmtId="43" fontId="146" fillId="32" borderId="22" xfId="256" applyFont="1" applyFill="1" applyBorder="1" applyAlignment="1">
      <alignment horizontal="center" vertical="center" wrapText="1"/>
    </xf>
    <xf numFmtId="43" fontId="147" fillId="5" borderId="207" xfId="256" applyFont="1" applyFill="1" applyBorder="1" applyAlignment="1">
      <alignment horizontal="center" vertical="center" wrapText="1"/>
    </xf>
    <xf numFmtId="43" fontId="147" fillId="5" borderId="130" xfId="256" applyFont="1" applyFill="1" applyBorder="1" applyAlignment="1">
      <alignment horizontal="center" vertical="center" wrapText="1"/>
    </xf>
    <xf numFmtId="44" fontId="146" fillId="32" borderId="25" xfId="255" applyFont="1" applyFill="1" applyBorder="1" applyAlignment="1">
      <alignment horizontal="center" vertical="center" wrapText="1"/>
    </xf>
    <xf numFmtId="44" fontId="147" fillId="5" borderId="39" xfId="255" applyFont="1" applyFill="1" applyBorder="1" applyAlignment="1">
      <alignment horizontal="left" vertical="center"/>
    </xf>
    <xf numFmtId="44" fontId="147" fillId="5" borderId="38" xfId="255" applyFont="1" applyFill="1" applyBorder="1" applyAlignment="1">
      <alignment horizontal="left" vertical="center"/>
    </xf>
    <xf numFmtId="44" fontId="147" fillId="5" borderId="7" xfId="255" applyFont="1" applyFill="1" applyBorder="1" applyAlignment="1">
      <alignment horizontal="left" vertical="center"/>
    </xf>
    <xf numFmtId="44" fontId="147" fillId="5" borderId="135" xfId="255" applyFont="1" applyFill="1" applyBorder="1" applyAlignment="1">
      <alignment horizontal="left" vertical="center"/>
    </xf>
    <xf numFmtId="43" fontId="147" fillId="0" borderId="205" xfId="256" applyFont="1" applyFill="1" applyBorder="1" applyAlignment="1">
      <alignment horizontal="left" vertical="center" wrapText="1"/>
    </xf>
    <xf numFmtId="43" fontId="147" fillId="0" borderId="206" xfId="256" applyFont="1" applyFill="1" applyBorder="1" applyAlignment="1">
      <alignment horizontal="left" vertical="center" wrapText="1"/>
    </xf>
    <xf numFmtId="43" fontId="147" fillId="0" borderId="206" xfId="256" applyFont="1" applyFill="1" applyBorder="1" applyAlignment="1">
      <alignment horizontal="left" vertical="center"/>
    </xf>
    <xf numFmtId="166" fontId="149" fillId="0" borderId="24" xfId="237" applyFont="1" applyBorder="1" applyAlignment="1">
      <alignment vertical="center"/>
    </xf>
    <xf numFmtId="4" fontId="42" fillId="0" borderId="48" xfId="58" applyNumberFormat="1" applyFont="1" applyBorder="1" applyAlignment="1">
      <alignment vertical="center"/>
    </xf>
    <xf numFmtId="4" fontId="91" fillId="2" borderId="207" xfId="58" applyNumberFormat="1" applyFont="1" applyFill="1" applyBorder="1" applyAlignment="1">
      <alignment horizontal="center" vertical="center"/>
    </xf>
    <xf numFmtId="4" fontId="91" fillId="2" borderId="39" xfId="58" applyNumberFormat="1" applyFont="1" applyFill="1" applyBorder="1" applyAlignment="1">
      <alignment horizontal="center" vertical="center"/>
    </xf>
    <xf numFmtId="180" fontId="88" fillId="2" borderId="136" xfId="58" applyNumberFormat="1" applyFont="1" applyFill="1" applyBorder="1" applyAlignment="1">
      <alignment horizontal="center" vertical="center"/>
    </xf>
    <xf numFmtId="180" fontId="88" fillId="2" borderId="208" xfId="58" applyNumberFormat="1" applyFont="1" applyFill="1" applyBorder="1" applyAlignment="1">
      <alignment horizontal="center" vertical="center"/>
    </xf>
    <xf numFmtId="4" fontId="69" fillId="3" borderId="209" xfId="41" applyNumberFormat="1" applyFont="1" applyFill="1" applyBorder="1" applyAlignment="1">
      <alignment horizontal="center" vertical="center"/>
    </xf>
    <xf numFmtId="4" fontId="69" fillId="3" borderId="210" xfId="41" applyNumberFormat="1" applyFont="1" applyFill="1" applyBorder="1" applyAlignment="1">
      <alignment horizontal="center" vertical="center"/>
    </xf>
    <xf numFmtId="0" fontId="150" fillId="0" borderId="83" xfId="53" applyNumberFormat="1" applyFont="1" applyFill="1" applyBorder="1" applyAlignment="1">
      <alignment vertical="center" wrapText="1"/>
    </xf>
    <xf numFmtId="4" fontId="74" fillId="11" borderId="24" xfId="58" applyNumberFormat="1" applyFont="1" applyFill="1" applyBorder="1" applyAlignment="1">
      <alignment horizontal="left" vertical="center"/>
    </xf>
    <xf numFmtId="4" fontId="150" fillId="0" borderId="83" xfId="30" applyNumberFormat="1" applyFont="1" applyFill="1" applyBorder="1" applyAlignment="1">
      <alignment horizontal="center" vertical="center" wrapText="1"/>
    </xf>
    <xf numFmtId="44" fontId="151" fillId="5" borderId="135" xfId="255" applyFont="1" applyFill="1" applyBorder="1" applyAlignment="1">
      <alignment horizontal="left" vertical="center"/>
    </xf>
    <xf numFmtId="0" fontId="73" fillId="0" borderId="0" xfId="57" applyFont="1" applyAlignment="1">
      <alignment horizontal="right"/>
    </xf>
    <xf numFmtId="2" fontId="30" fillId="0" borderId="0" xfId="57" applyNumberFormat="1" applyFont="1" applyAlignment="1">
      <alignment horizontal="right" vertical="center"/>
    </xf>
    <xf numFmtId="166" fontId="30" fillId="0" borderId="0" xfId="237" applyFont="1" applyAlignment="1">
      <alignment vertical="center"/>
    </xf>
    <xf numFmtId="49" fontId="76" fillId="16" borderId="82" xfId="53" applyNumberFormat="1" applyFont="1" applyFill="1" applyBorder="1" applyAlignment="1">
      <alignment horizontal="left" vertical="center" wrapText="1"/>
    </xf>
    <xf numFmtId="49" fontId="76" fillId="16" borderId="83" xfId="53" applyNumberFormat="1" applyFont="1" applyFill="1" applyBorder="1" applyAlignment="1">
      <alignment horizontal="left" vertical="center" wrapText="1"/>
    </xf>
    <xf numFmtId="49" fontId="76" fillId="16" borderId="83" xfId="53" quotePrefix="1" applyNumberFormat="1" applyFont="1" applyFill="1" applyBorder="1" applyAlignment="1">
      <alignment horizontal="left" vertical="center" wrapText="1"/>
    </xf>
    <xf numFmtId="0" fontId="76" fillId="16" borderId="83" xfId="53" applyNumberFormat="1" applyFont="1" applyFill="1" applyBorder="1" applyAlignment="1">
      <alignment vertical="center" wrapText="1"/>
    </xf>
    <xf numFmtId="0" fontId="76" fillId="16" borderId="83" xfId="53" applyNumberFormat="1" applyFont="1" applyFill="1" applyBorder="1" applyAlignment="1">
      <alignment horizontal="center" vertical="center" wrapText="1"/>
    </xf>
    <xf numFmtId="4" fontId="76" fillId="16" borderId="83" xfId="30" applyNumberFormat="1" applyFont="1" applyFill="1" applyBorder="1" applyAlignment="1">
      <alignment horizontal="center" vertical="center" wrapText="1"/>
    </xf>
    <xf numFmtId="184" fontId="76" fillId="16" borderId="83" xfId="30" applyNumberFormat="1" applyFont="1" applyFill="1" applyBorder="1" applyAlignment="1">
      <alignment horizontal="right" vertical="center" wrapText="1"/>
    </xf>
    <xf numFmtId="4" fontId="76" fillId="16" borderId="83" xfId="30" applyNumberFormat="1" applyFont="1" applyFill="1" applyBorder="1" applyAlignment="1">
      <alignment horizontal="left" vertical="center" wrapText="1"/>
    </xf>
    <xf numFmtId="4" fontId="76" fillId="16" borderId="84" xfId="53" applyNumberFormat="1" applyFont="1" applyFill="1" applyBorder="1" applyAlignment="1">
      <alignment horizontal="center" vertical="center" wrapText="1"/>
    </xf>
    <xf numFmtId="4" fontId="78" fillId="3" borderId="42" xfId="50" applyNumberFormat="1" applyFont="1" applyFill="1" applyBorder="1" applyAlignment="1">
      <alignment vertical="center"/>
    </xf>
    <xf numFmtId="0" fontId="134" fillId="0" borderId="188" xfId="0" applyFont="1" applyBorder="1" applyAlignment="1">
      <alignment horizontal="center" vertical="center"/>
    </xf>
    <xf numFmtId="0" fontId="152" fillId="33" borderId="211" xfId="257" applyFont="1" applyFill="1" applyBorder="1" applyAlignment="1">
      <alignment vertical="center" wrapText="1"/>
    </xf>
    <xf numFmtId="0" fontId="141" fillId="5" borderId="212" xfId="257" applyFont="1" applyFill="1" applyBorder="1" applyAlignment="1">
      <alignment horizontal="left" vertical="center" wrapText="1"/>
    </xf>
    <xf numFmtId="0" fontId="141" fillId="5" borderId="213" xfId="257" applyFont="1" applyFill="1" applyBorder="1" applyAlignment="1">
      <alignment horizontal="left" vertical="center" wrapText="1"/>
    </xf>
    <xf numFmtId="44" fontId="141" fillId="5" borderId="213" xfId="258" applyFont="1" applyFill="1" applyBorder="1" applyAlignment="1">
      <alignment horizontal="left" vertical="center" wrapText="1"/>
    </xf>
    <xf numFmtId="0" fontId="142" fillId="5" borderId="214" xfId="257" applyFont="1" applyFill="1" applyBorder="1"/>
    <xf numFmtId="0" fontId="3" fillId="0" borderId="0" xfId="257"/>
    <xf numFmtId="0" fontId="152" fillId="33" borderId="15" xfId="257" applyFont="1" applyFill="1" applyBorder="1" applyAlignment="1">
      <alignment vertical="center" wrapText="1"/>
    </xf>
    <xf numFmtId="0" fontId="141" fillId="5" borderId="22" xfId="257" applyFont="1" applyFill="1" applyBorder="1" applyAlignment="1">
      <alignment horizontal="left" vertical="center" wrapText="1"/>
    </xf>
    <xf numFmtId="0" fontId="141" fillId="5" borderId="24" xfId="257" applyFont="1" applyFill="1" applyBorder="1" applyAlignment="1">
      <alignment horizontal="left" vertical="center" wrapText="1"/>
    </xf>
    <xf numFmtId="44" fontId="141" fillId="5" borderId="24" xfId="258" applyFont="1" applyFill="1" applyBorder="1" applyAlignment="1">
      <alignment horizontal="left" vertical="center" wrapText="1"/>
    </xf>
    <xf numFmtId="0" fontId="142" fillId="5" borderId="215" xfId="257" applyFont="1" applyFill="1" applyBorder="1"/>
    <xf numFmtId="0" fontId="144" fillId="5" borderId="216" xfId="257" applyFont="1" applyFill="1" applyBorder="1" applyAlignment="1">
      <alignment vertical="center" wrapText="1"/>
    </xf>
    <xf numFmtId="0" fontId="144" fillId="5" borderId="0" xfId="257" applyFont="1" applyFill="1" applyAlignment="1">
      <alignment horizontal="center" vertical="center" wrapText="1"/>
    </xf>
    <xf numFmtId="0" fontId="144" fillId="5" borderId="0" xfId="257" applyFont="1" applyFill="1" applyAlignment="1">
      <alignment horizontal="left" vertical="center" wrapText="1"/>
    </xf>
    <xf numFmtId="44" fontId="144" fillId="5" borderId="0" xfId="258" applyFont="1" applyFill="1" applyBorder="1" applyAlignment="1">
      <alignment horizontal="left" vertical="center" wrapText="1"/>
    </xf>
    <xf numFmtId="0" fontId="142" fillId="5" borderId="4" xfId="257" applyFont="1" applyFill="1" applyBorder="1"/>
    <xf numFmtId="0" fontId="141" fillId="5" borderId="216" xfId="257" applyFont="1" applyFill="1" applyBorder="1" applyAlignment="1">
      <alignment horizontal="left" vertical="center" wrapText="1"/>
    </xf>
    <xf numFmtId="0" fontId="141" fillId="5" borderId="0" xfId="257" applyFont="1" applyFill="1" applyAlignment="1">
      <alignment horizontal="left" vertical="center" wrapText="1"/>
    </xf>
    <xf numFmtId="44" fontId="141" fillId="5" borderId="0" xfId="258" applyFont="1" applyFill="1" applyBorder="1" applyAlignment="1">
      <alignment horizontal="left" vertical="center" wrapText="1"/>
    </xf>
    <xf numFmtId="0" fontId="145" fillId="5" borderId="4" xfId="257" applyFont="1" applyFill="1" applyBorder="1"/>
    <xf numFmtId="0" fontId="141" fillId="5" borderId="217" xfId="257" applyFont="1" applyFill="1" applyBorder="1" applyAlignment="1">
      <alignment horizontal="left" vertical="center" wrapText="1"/>
    </xf>
    <xf numFmtId="0" fontId="141" fillId="5" borderId="23" xfId="257" applyFont="1" applyFill="1" applyBorder="1" applyAlignment="1">
      <alignment horizontal="left" vertical="center" wrapText="1"/>
    </xf>
    <xf numFmtId="44" fontId="141" fillId="5" borderId="23" xfId="258" applyFont="1" applyFill="1" applyBorder="1" applyAlignment="1">
      <alignment horizontal="left" vertical="center" wrapText="1"/>
    </xf>
    <xf numFmtId="2" fontId="145" fillId="5" borderId="218" xfId="257" applyNumberFormat="1" applyFont="1" applyFill="1" applyBorder="1"/>
    <xf numFmtId="0" fontId="145" fillId="5" borderId="216" xfId="257" applyFont="1" applyFill="1" applyBorder="1"/>
    <xf numFmtId="0" fontId="145" fillId="5" borderId="0" xfId="257" applyFont="1" applyFill="1" applyAlignment="1">
      <alignment horizontal="center"/>
    </xf>
    <xf numFmtId="0" fontId="145" fillId="5" borderId="0" xfId="257" applyFont="1" applyFill="1" applyAlignment="1">
      <alignment horizontal="left"/>
    </xf>
    <xf numFmtId="44" fontId="145" fillId="5" borderId="0" xfId="258" applyFont="1" applyFill="1" applyBorder="1" applyAlignment="1">
      <alignment horizontal="left"/>
    </xf>
    <xf numFmtId="0" fontId="146" fillId="32" borderId="211" xfId="257" applyFont="1" applyFill="1" applyBorder="1" applyAlignment="1">
      <alignment horizontal="left" vertical="center" wrapText="1"/>
    </xf>
    <xf numFmtId="0" fontId="146" fillId="32" borderId="219" xfId="257" applyFont="1" applyFill="1" applyBorder="1" applyAlignment="1">
      <alignment horizontal="center" vertical="center" wrapText="1"/>
    </xf>
    <xf numFmtId="43" fontId="146" fillId="32" borderId="220" xfId="259" applyFont="1" applyFill="1" applyBorder="1" applyAlignment="1">
      <alignment horizontal="center" vertical="center" wrapText="1"/>
    </xf>
    <xf numFmtId="44" fontId="146" fillId="32" borderId="220" xfId="258" applyFont="1" applyFill="1" applyBorder="1" applyAlignment="1">
      <alignment horizontal="center" vertical="center" wrapText="1"/>
    </xf>
    <xf numFmtId="43" fontId="147" fillId="5" borderId="221" xfId="259" applyFont="1" applyFill="1" applyBorder="1" applyAlignment="1">
      <alignment horizontal="left" vertical="center"/>
    </xf>
    <xf numFmtId="43" fontId="147" fillId="5" borderId="135" xfId="259" applyFont="1" applyFill="1" applyBorder="1" applyAlignment="1">
      <alignment horizontal="left" vertical="center"/>
    </xf>
    <xf numFmtId="43" fontId="147" fillId="5" borderId="222" xfId="259" applyFont="1" applyFill="1" applyBorder="1" applyAlignment="1">
      <alignment horizontal="center" vertical="center" wrapText="1"/>
    </xf>
    <xf numFmtId="44" fontId="147" fillId="5" borderId="223" xfId="258" applyFont="1" applyFill="1" applyBorder="1" applyAlignment="1">
      <alignment horizontal="left" vertical="center"/>
    </xf>
    <xf numFmtId="44" fontId="147" fillId="5" borderId="222" xfId="258" applyFont="1" applyFill="1" applyBorder="1" applyAlignment="1">
      <alignment horizontal="left" vertical="center"/>
    </xf>
    <xf numFmtId="43" fontId="147" fillId="5" borderId="157" xfId="259" applyFont="1" applyFill="1" applyBorder="1" applyAlignment="1">
      <alignment horizontal="left" vertical="center"/>
    </xf>
    <xf numFmtId="43" fontId="148" fillId="6" borderId="12" xfId="259" applyFont="1" applyFill="1" applyBorder="1" applyAlignment="1">
      <alignment horizontal="left" vertical="center"/>
    </xf>
    <xf numFmtId="43" fontId="147" fillId="6" borderId="20" xfId="259" applyFont="1" applyFill="1" applyBorder="1" applyAlignment="1">
      <alignment horizontal="left" vertical="center"/>
    </xf>
    <xf numFmtId="43" fontId="147" fillId="6" borderId="20" xfId="259" applyFont="1" applyFill="1" applyBorder="1" applyAlignment="1">
      <alignment horizontal="center" vertical="center" wrapText="1"/>
    </xf>
    <xf numFmtId="44" fontId="147" fillId="6" borderId="20" xfId="258" applyFont="1" applyFill="1" applyBorder="1" applyAlignment="1">
      <alignment horizontal="left" vertical="center"/>
    </xf>
    <xf numFmtId="44" fontId="147" fillId="6" borderId="21" xfId="258" applyFont="1" applyFill="1" applyBorder="1" applyAlignment="1">
      <alignment horizontal="left" vertical="center"/>
    </xf>
    <xf numFmtId="0" fontId="3" fillId="0" borderId="224" xfId="257" applyBorder="1"/>
    <xf numFmtId="0" fontId="3" fillId="0" borderId="5" xfId="257" applyBorder="1"/>
    <xf numFmtId="44" fontId="0" fillId="0" borderId="5" xfId="258" applyFont="1" applyBorder="1"/>
    <xf numFmtId="0" fontId="3" fillId="0" borderId="11" xfId="257" applyBorder="1"/>
    <xf numFmtId="44" fontId="0" fillId="0" borderId="0" xfId="258" applyFont="1"/>
    <xf numFmtId="0" fontId="2" fillId="0" borderId="0" xfId="223" applyFont="1"/>
    <xf numFmtId="0" fontId="2" fillId="19" borderId="0" xfId="223" applyFont="1" applyFill="1"/>
    <xf numFmtId="0" fontId="40" fillId="0" borderId="135" xfId="224" applyFont="1" applyBorder="1" applyAlignment="1">
      <alignment vertical="center" wrapText="1"/>
    </xf>
    <xf numFmtId="167" fontId="123" fillId="0" borderId="24" xfId="243" applyNumberFormat="1" applyFont="1" applyBorder="1" applyAlignment="1">
      <alignment horizontal="right" vertical="center" wrapText="1"/>
    </xf>
    <xf numFmtId="0" fontId="2" fillId="0" borderId="9" xfId="0" applyFont="1" applyBorder="1"/>
    <xf numFmtId="0" fontId="2" fillId="0" borderId="32" xfId="0" applyFont="1" applyBorder="1"/>
    <xf numFmtId="0" fontId="152" fillId="33" borderId="211" xfId="260" applyFont="1" applyFill="1" applyBorder="1" applyAlignment="1">
      <alignment vertical="center" wrapText="1"/>
    </xf>
    <xf numFmtId="0" fontId="141" fillId="5" borderId="212" xfId="260" applyFont="1" applyFill="1" applyBorder="1" applyAlignment="1">
      <alignment horizontal="left" vertical="center" wrapText="1"/>
    </xf>
    <xf numFmtId="0" fontId="141" fillId="5" borderId="213" xfId="260" applyFont="1" applyFill="1" applyBorder="1" applyAlignment="1">
      <alignment horizontal="center" vertical="center" wrapText="1"/>
    </xf>
    <xf numFmtId="43" fontId="141" fillId="5" borderId="213" xfId="261" applyFont="1" applyFill="1" applyBorder="1" applyAlignment="1">
      <alignment horizontal="left" vertical="center" wrapText="1"/>
    </xf>
    <xf numFmtId="0" fontId="142" fillId="5" borderId="214" xfId="260" applyFont="1" applyFill="1" applyBorder="1"/>
    <xf numFmtId="0" fontId="1" fillId="0" borderId="0" xfId="260"/>
    <xf numFmtId="0" fontId="152" fillId="33" borderId="15" xfId="260" applyFont="1" applyFill="1" applyBorder="1" applyAlignment="1">
      <alignment vertical="center" wrapText="1"/>
    </xf>
    <xf numFmtId="0" fontId="141" fillId="5" borderId="22" xfId="260" applyFont="1" applyFill="1" applyBorder="1" applyAlignment="1">
      <alignment horizontal="left" vertical="center" wrapText="1"/>
    </xf>
    <xf numFmtId="0" fontId="141" fillId="5" borderId="24" xfId="260" applyFont="1" applyFill="1" applyBorder="1" applyAlignment="1">
      <alignment horizontal="center" vertical="center" wrapText="1"/>
    </xf>
    <xf numFmtId="43" fontId="141" fillId="5" borderId="24" xfId="261" applyFont="1" applyFill="1" applyBorder="1" applyAlignment="1">
      <alignment horizontal="left" vertical="center" wrapText="1"/>
    </xf>
    <xf numFmtId="0" fontId="142" fillId="5" borderId="215" xfId="260" applyFont="1" applyFill="1" applyBorder="1"/>
    <xf numFmtId="0" fontId="144" fillId="5" borderId="216" xfId="260" applyFont="1" applyFill="1" applyBorder="1" applyAlignment="1">
      <alignment vertical="center" wrapText="1"/>
    </xf>
    <xf numFmtId="0" fontId="144" fillId="5" borderId="0" xfId="260" applyFont="1" applyFill="1" applyAlignment="1">
      <alignment horizontal="center" vertical="center" wrapText="1"/>
    </xf>
    <xf numFmtId="43" fontId="144" fillId="5" borderId="0" xfId="261" applyFont="1" applyFill="1" applyBorder="1" applyAlignment="1">
      <alignment horizontal="center" vertical="center" wrapText="1"/>
    </xf>
    <xf numFmtId="0" fontId="142" fillId="5" borderId="4" xfId="260" applyFont="1" applyFill="1" applyBorder="1"/>
    <xf numFmtId="0" fontId="141" fillId="5" borderId="216" xfId="260" applyFont="1" applyFill="1" applyBorder="1" applyAlignment="1">
      <alignment horizontal="left" vertical="center" wrapText="1"/>
    </xf>
    <xf numFmtId="0" fontId="141" fillId="5" borderId="0" xfId="260" applyFont="1" applyFill="1" applyAlignment="1">
      <alignment horizontal="left" vertical="center" wrapText="1"/>
    </xf>
    <xf numFmtId="0" fontId="141" fillId="5" borderId="0" xfId="260" applyFont="1" applyFill="1" applyAlignment="1">
      <alignment horizontal="center" vertical="center" wrapText="1"/>
    </xf>
    <xf numFmtId="43" fontId="141" fillId="5" borderId="0" xfId="261" applyFont="1" applyFill="1" applyBorder="1" applyAlignment="1">
      <alignment horizontal="left" vertical="center" wrapText="1"/>
    </xf>
    <xf numFmtId="0" fontId="145" fillId="5" borderId="4" xfId="260" applyFont="1" applyFill="1" applyBorder="1"/>
    <xf numFmtId="0" fontId="147" fillId="5" borderId="216" xfId="260" applyFont="1" applyFill="1" applyBorder="1"/>
    <xf numFmtId="0" fontId="146" fillId="20" borderId="211" xfId="260" applyFont="1" applyFill="1" applyBorder="1" applyAlignment="1">
      <alignment horizontal="center" vertical="center"/>
    </xf>
    <xf numFmtId="0" fontId="146" fillId="20" borderId="219" xfId="260" applyFont="1" applyFill="1" applyBorder="1" applyAlignment="1">
      <alignment horizontal="center" vertical="center" wrapText="1"/>
    </xf>
    <xf numFmtId="43" fontId="146" fillId="20" borderId="220" xfId="261" applyFont="1" applyFill="1" applyBorder="1" applyAlignment="1">
      <alignment wrapText="1"/>
    </xf>
    <xf numFmtId="0" fontId="147" fillId="5" borderId="228" xfId="260" applyFont="1" applyFill="1" applyBorder="1" applyAlignment="1">
      <alignment vertical="center" wrapText="1"/>
    </xf>
    <xf numFmtId="43" fontId="147" fillId="5" borderId="205" xfId="261" applyFont="1" applyFill="1" applyBorder="1" applyAlignment="1">
      <alignment horizontal="center" vertical="center" wrapText="1"/>
    </xf>
    <xf numFmtId="43" fontId="147" fillId="5" borderId="229" xfId="261" applyFont="1" applyFill="1" applyBorder="1" applyAlignment="1">
      <alignment vertical="center" wrapText="1"/>
    </xf>
    <xf numFmtId="0" fontId="147" fillId="5" borderId="221" xfId="260" applyFont="1" applyFill="1" applyBorder="1" applyAlignment="1">
      <alignment vertical="center" wrapText="1"/>
    </xf>
    <xf numFmtId="43" fontId="147" fillId="5" borderId="206" xfId="261" applyFont="1" applyFill="1" applyBorder="1" applyAlignment="1">
      <alignment horizontal="center" vertical="center" wrapText="1"/>
    </xf>
    <xf numFmtId="43" fontId="147" fillId="5" borderId="222" xfId="261" applyFont="1" applyFill="1" applyBorder="1" applyAlignment="1">
      <alignment vertical="center" wrapText="1"/>
    </xf>
    <xf numFmtId="0" fontId="147" fillId="5" borderId="230" xfId="260" applyFont="1" applyFill="1" applyBorder="1" applyAlignment="1">
      <alignment vertical="center" wrapText="1"/>
    </xf>
    <xf numFmtId="43" fontId="147" fillId="5" borderId="231" xfId="261" applyFont="1" applyFill="1" applyBorder="1" applyAlignment="1">
      <alignment horizontal="center" vertical="center" wrapText="1"/>
    </xf>
    <xf numFmtId="43" fontId="147" fillId="5" borderId="232" xfId="261" applyFont="1" applyFill="1" applyBorder="1" applyAlignment="1">
      <alignment vertical="center" wrapText="1"/>
    </xf>
    <xf numFmtId="0" fontId="145" fillId="5" borderId="224" xfId="260" applyFont="1" applyFill="1" applyBorder="1"/>
    <xf numFmtId="0" fontId="145" fillId="5" borderId="5" xfId="260" applyFont="1" applyFill="1" applyBorder="1" applyAlignment="1">
      <alignment horizontal="center"/>
    </xf>
    <xf numFmtId="43" fontId="145" fillId="5" borderId="5" xfId="261" applyFont="1" applyFill="1" applyBorder="1" applyAlignment="1">
      <alignment horizontal="center"/>
    </xf>
    <xf numFmtId="0" fontId="145" fillId="5" borderId="11" xfId="260" applyFont="1" applyFill="1" applyBorder="1"/>
    <xf numFmtId="0" fontId="142" fillId="0" borderId="0" xfId="260" applyFont="1"/>
    <xf numFmtId="0" fontId="142" fillId="0" borderId="0" xfId="260" applyFont="1" applyAlignment="1">
      <alignment horizontal="center"/>
    </xf>
    <xf numFmtId="43" fontId="142" fillId="0" borderId="0" xfId="261" applyFont="1" applyAlignment="1">
      <alignment horizontal="center"/>
    </xf>
    <xf numFmtId="0" fontId="147" fillId="5" borderId="213" xfId="260" applyFont="1" applyFill="1" applyBorder="1" applyAlignment="1">
      <alignment horizontal="center" vertical="center" wrapText="1"/>
    </xf>
    <xf numFmtId="0" fontId="147" fillId="5" borderId="24" xfId="260" applyFont="1" applyFill="1" applyBorder="1" applyAlignment="1">
      <alignment horizontal="center" vertical="center" wrapText="1"/>
    </xf>
    <xf numFmtId="0" fontId="154" fillId="5" borderId="0" xfId="260" applyFont="1" applyFill="1" applyAlignment="1">
      <alignment horizontal="center" vertical="center" wrapText="1"/>
    </xf>
    <xf numFmtId="0" fontId="147" fillId="5" borderId="0" xfId="260" applyFont="1" applyFill="1" applyAlignment="1">
      <alignment horizontal="center" vertical="center" wrapText="1"/>
    </xf>
    <xf numFmtId="0" fontId="147" fillId="5" borderId="217" xfId="260" applyFont="1" applyFill="1" applyBorder="1"/>
    <xf numFmtId="0" fontId="145" fillId="5" borderId="23" xfId="260" applyFont="1" applyFill="1" applyBorder="1" applyAlignment="1">
      <alignment horizontal="center"/>
    </xf>
    <xf numFmtId="43" fontId="145" fillId="5" borderId="23" xfId="261" applyFont="1" applyFill="1" applyBorder="1" applyAlignment="1">
      <alignment horizontal="center"/>
    </xf>
    <xf numFmtId="0" fontId="147" fillId="5" borderId="23" xfId="260" applyFont="1" applyFill="1" applyBorder="1" applyAlignment="1">
      <alignment horizontal="center"/>
    </xf>
    <xf numFmtId="0" fontId="145" fillId="5" borderId="218" xfId="260" applyFont="1" applyFill="1" applyBorder="1"/>
    <xf numFmtId="0" fontId="145" fillId="5" borderId="0" xfId="260" applyFont="1" applyFill="1" applyAlignment="1">
      <alignment horizontal="center"/>
    </xf>
    <xf numFmtId="43" fontId="145" fillId="5" borderId="0" xfId="261" applyFont="1" applyFill="1" applyBorder="1" applyAlignment="1">
      <alignment horizontal="center"/>
    </xf>
    <xf numFmtId="0" fontId="147" fillId="5" borderId="0" xfId="260" applyFont="1" applyFill="1" applyAlignment="1">
      <alignment horizontal="center"/>
    </xf>
    <xf numFmtId="43" fontId="146" fillId="20" borderId="220" xfId="261" applyFont="1" applyFill="1" applyBorder="1" applyAlignment="1">
      <alignment horizontal="center" vertical="center" wrapText="1"/>
    </xf>
    <xf numFmtId="43" fontId="147" fillId="5" borderId="1" xfId="261" applyFont="1" applyFill="1" applyBorder="1" applyAlignment="1">
      <alignment horizontal="center" vertical="center" wrapText="1"/>
    </xf>
    <xf numFmtId="43" fontId="147" fillId="5" borderId="233" xfId="261" applyFont="1" applyFill="1" applyBorder="1" applyAlignment="1">
      <alignment vertical="center" wrapText="1"/>
    </xf>
    <xf numFmtId="43" fontId="147" fillId="5" borderId="0" xfId="260" applyNumberFormat="1" applyFont="1" applyFill="1" applyAlignment="1">
      <alignment horizontal="center"/>
    </xf>
    <xf numFmtId="0" fontId="146" fillId="35" borderId="16" xfId="260" applyFont="1" applyFill="1" applyBorder="1" applyAlignment="1">
      <alignment vertical="center" wrapText="1"/>
    </xf>
    <xf numFmtId="43" fontId="146" fillId="35" borderId="17" xfId="261" applyFont="1" applyFill="1" applyBorder="1" applyAlignment="1">
      <alignment horizontal="center" vertical="center" wrapText="1"/>
    </xf>
    <xf numFmtId="43" fontId="146" fillId="35" borderId="19" xfId="261" applyFont="1" applyFill="1" applyBorder="1" applyAlignment="1">
      <alignment vertical="center" wrapText="1"/>
    </xf>
    <xf numFmtId="43" fontId="147" fillId="5" borderId="0" xfId="260" applyNumberFormat="1" applyFont="1" applyFill="1" applyAlignment="1">
      <alignment horizontal="left"/>
    </xf>
    <xf numFmtId="0" fontId="145" fillId="5" borderId="216" xfId="260" applyFont="1" applyFill="1" applyBorder="1"/>
    <xf numFmtId="0" fontId="147" fillId="5" borderId="234" xfId="260" applyFont="1" applyFill="1" applyBorder="1" applyAlignment="1">
      <alignment vertical="center" wrapText="1"/>
    </xf>
    <xf numFmtId="43" fontId="147" fillId="5" borderId="29" xfId="261" applyFont="1" applyFill="1" applyBorder="1" applyAlignment="1">
      <alignment horizontal="center" vertical="center" wrapText="1"/>
    </xf>
    <xf numFmtId="43" fontId="147" fillId="5" borderId="235" xfId="261" applyFont="1" applyFill="1" applyBorder="1" applyAlignment="1">
      <alignment vertical="center" wrapText="1"/>
    </xf>
    <xf numFmtId="0" fontId="146" fillId="35" borderId="15" xfId="260" applyFont="1" applyFill="1" applyBorder="1" applyAlignment="1">
      <alignment vertical="center" wrapText="1"/>
    </xf>
    <xf numFmtId="43" fontId="146" fillId="35" borderId="14" xfId="261" applyFont="1" applyFill="1" applyBorder="1" applyAlignment="1">
      <alignment horizontal="center" vertical="center" wrapText="1"/>
    </xf>
    <xf numFmtId="43" fontId="146" fillId="35" borderId="18" xfId="261" applyFont="1" applyFill="1" applyBorder="1" applyAlignment="1">
      <alignment vertical="center" wrapText="1"/>
    </xf>
    <xf numFmtId="43" fontId="147" fillId="5" borderId="0" xfId="261" applyFont="1" applyFill="1" applyBorder="1" applyAlignment="1">
      <alignment horizontal="center"/>
    </xf>
    <xf numFmtId="0" fontId="147" fillId="5" borderId="4" xfId="260" applyFont="1" applyFill="1" applyBorder="1"/>
    <xf numFmtId="0" fontId="150" fillId="0" borderId="0" xfId="260" applyFont="1"/>
    <xf numFmtId="0" fontId="147" fillId="5" borderId="0" xfId="260" applyFont="1" applyFill="1" applyAlignment="1">
      <alignment horizontal="left"/>
    </xf>
    <xf numFmtId="0" fontId="146" fillId="20" borderId="236" xfId="260" applyFont="1" applyFill="1" applyBorder="1" applyAlignment="1">
      <alignment horizontal="center" vertical="center"/>
    </xf>
    <xf numFmtId="0" fontId="146" fillId="20" borderId="237" xfId="260" applyFont="1" applyFill="1" applyBorder="1" applyAlignment="1">
      <alignment horizontal="center" vertical="center" wrapText="1"/>
    </xf>
    <xf numFmtId="43" fontId="146" fillId="20" borderId="238" xfId="261" applyFont="1" applyFill="1" applyBorder="1" applyAlignment="1">
      <alignment horizontal="center" vertical="center" wrapText="1"/>
    </xf>
    <xf numFmtId="0" fontId="146" fillId="35" borderId="234" xfId="260" applyFont="1" applyFill="1" applyBorder="1" applyAlignment="1">
      <alignment vertical="center" wrapText="1"/>
    </xf>
    <xf numFmtId="43" fontId="146" fillId="35" borderId="29" xfId="261" applyFont="1" applyFill="1" applyBorder="1" applyAlignment="1">
      <alignment horizontal="center" vertical="center" wrapText="1"/>
    </xf>
    <xf numFmtId="43" fontId="146" fillId="35" borderId="235" xfId="261" applyFont="1" applyFill="1" applyBorder="1" applyAlignment="1">
      <alignment vertical="center" wrapText="1"/>
    </xf>
    <xf numFmtId="0" fontId="151" fillId="5" borderId="228" xfId="260" applyFont="1" applyFill="1" applyBorder="1" applyAlignment="1">
      <alignment vertical="center" wrapText="1"/>
    </xf>
    <xf numFmtId="43" fontId="151" fillId="5" borderId="205" xfId="261" applyFont="1" applyFill="1" applyBorder="1" applyAlignment="1">
      <alignment horizontal="center" vertical="center" wrapText="1"/>
    </xf>
    <xf numFmtId="43" fontId="151" fillId="5" borderId="229" xfId="261" applyFont="1" applyFill="1" applyBorder="1" applyAlignment="1">
      <alignment vertical="center" wrapText="1"/>
    </xf>
    <xf numFmtId="43" fontId="146" fillId="20" borderId="220" xfId="262" applyFont="1" applyFill="1" applyBorder="1" applyAlignment="1">
      <alignment horizontal="center" vertical="center" wrapText="1"/>
    </xf>
    <xf numFmtId="43" fontId="151" fillId="5" borderId="205" xfId="262" applyFont="1" applyFill="1" applyBorder="1" applyAlignment="1">
      <alignment horizontal="center" vertical="center" wrapText="1"/>
    </xf>
    <xf numFmtId="43" fontId="151" fillId="5" borderId="229" xfId="262" applyFont="1" applyFill="1" applyBorder="1" applyAlignment="1">
      <alignment vertical="center" wrapText="1"/>
    </xf>
    <xf numFmtId="43" fontId="147" fillId="5" borderId="206" xfId="262" applyFont="1" applyFill="1" applyBorder="1" applyAlignment="1">
      <alignment horizontal="center" vertical="center" wrapText="1"/>
    </xf>
    <xf numFmtId="43" fontId="147" fillId="5" borderId="222" xfId="262" applyFont="1" applyFill="1" applyBorder="1" applyAlignment="1">
      <alignment vertical="center" wrapText="1"/>
    </xf>
    <xf numFmtId="43" fontId="147" fillId="5" borderId="205" xfId="262" applyFont="1" applyFill="1" applyBorder="1" applyAlignment="1">
      <alignment horizontal="center" vertical="center" wrapText="1"/>
    </xf>
    <xf numFmtId="43" fontId="147" fillId="5" borderId="235" xfId="262" applyFont="1" applyFill="1" applyBorder="1" applyAlignment="1">
      <alignment vertical="center" wrapText="1"/>
    </xf>
    <xf numFmtId="43" fontId="146" fillId="35" borderId="14" xfId="262" applyFont="1" applyFill="1" applyBorder="1" applyAlignment="1">
      <alignment horizontal="center" vertical="center" wrapText="1"/>
    </xf>
    <xf numFmtId="43" fontId="146" fillId="35" borderId="18" xfId="262" applyFont="1" applyFill="1" applyBorder="1" applyAlignment="1">
      <alignment vertical="center" wrapText="1"/>
    </xf>
    <xf numFmtId="0" fontId="147" fillId="5" borderId="5" xfId="260" applyFont="1" applyFill="1" applyBorder="1" applyAlignment="1">
      <alignment horizontal="center"/>
    </xf>
    <xf numFmtId="0" fontId="142" fillId="5" borderId="0" xfId="260" applyFont="1" applyFill="1"/>
    <xf numFmtId="0" fontId="142" fillId="5" borderId="0" xfId="260" applyFont="1" applyFill="1" applyAlignment="1">
      <alignment horizontal="center"/>
    </xf>
    <xf numFmtId="43" fontId="142" fillId="5" borderId="0" xfId="261" applyFont="1" applyFill="1" applyAlignment="1">
      <alignment horizontal="center"/>
    </xf>
    <xf numFmtId="0" fontId="155" fillId="5" borderId="0" xfId="260" applyFont="1" applyFill="1" applyAlignment="1">
      <alignment horizontal="center"/>
    </xf>
    <xf numFmtId="0" fontId="155" fillId="0" borderId="0" xfId="260" applyFont="1" applyAlignment="1">
      <alignment horizontal="center"/>
    </xf>
    <xf numFmtId="43" fontId="0" fillId="0" borderId="0" xfId="261" applyFont="1"/>
    <xf numFmtId="0" fontId="1" fillId="0" borderId="0" xfId="260" applyAlignment="1">
      <alignment horizontal="center"/>
    </xf>
    <xf numFmtId="43" fontId="1" fillId="0" borderId="0" xfId="260" applyNumberFormat="1"/>
    <xf numFmtId="43" fontId="147" fillId="5" borderId="229" xfId="261" applyFont="1" applyFill="1" applyBorder="1" applyAlignment="1">
      <alignment horizontal="center" vertical="center" wrapText="1"/>
    </xf>
    <xf numFmtId="43" fontId="147" fillId="36" borderId="235" xfId="261" applyFont="1" applyFill="1" applyBorder="1" applyAlignment="1">
      <alignment horizontal="center" vertical="center" wrapText="1"/>
    </xf>
    <xf numFmtId="0" fontId="156" fillId="5" borderId="228" xfId="260" applyFont="1" applyFill="1" applyBorder="1" applyAlignment="1">
      <alignment vertical="center" wrapText="1"/>
    </xf>
    <xf numFmtId="43" fontId="156" fillId="5" borderId="205" xfId="261" applyFont="1" applyFill="1" applyBorder="1" applyAlignment="1">
      <alignment horizontal="center" vertical="center" wrapText="1"/>
    </xf>
    <xf numFmtId="43" fontId="156" fillId="5" borderId="229" xfId="261" applyFont="1" applyFill="1" applyBorder="1" applyAlignment="1">
      <alignment horizontal="center" vertical="center" wrapText="1"/>
    </xf>
    <xf numFmtId="0" fontId="156" fillId="5" borderId="234" xfId="260" applyFont="1" applyFill="1" applyBorder="1" applyAlignment="1">
      <alignment vertical="center" wrapText="1"/>
    </xf>
    <xf numFmtId="43" fontId="156" fillId="5" borderId="29" xfId="261" applyFont="1" applyFill="1" applyBorder="1" applyAlignment="1">
      <alignment horizontal="center" vertical="center" wrapText="1"/>
    </xf>
    <xf numFmtId="43" fontId="156" fillId="5" borderId="235" xfId="261" applyFont="1" applyFill="1" applyBorder="1" applyAlignment="1">
      <alignment horizontal="center" vertical="center" wrapText="1"/>
    </xf>
    <xf numFmtId="43" fontId="153" fillId="0" borderId="0" xfId="261" applyFont="1"/>
    <xf numFmtId="0" fontId="147" fillId="5" borderId="241" xfId="260" applyFont="1" applyFill="1" applyBorder="1" applyAlignment="1">
      <alignment vertical="center" wrapText="1"/>
    </xf>
    <xf numFmtId="43" fontId="147" fillId="5" borderId="242" xfId="261" applyFont="1" applyFill="1" applyBorder="1" applyAlignment="1">
      <alignment horizontal="center" vertical="center" wrapText="1"/>
    </xf>
    <xf numFmtId="43" fontId="147" fillId="5" borderId="243" xfId="261" applyFont="1" applyFill="1" applyBorder="1" applyAlignment="1">
      <alignment horizontal="center" vertical="center" wrapText="1"/>
    </xf>
    <xf numFmtId="0" fontId="147" fillId="5" borderId="0" xfId="260" applyFont="1" applyFill="1"/>
    <xf numFmtId="43" fontId="147" fillId="5" borderId="222" xfId="261" applyFont="1" applyFill="1" applyBorder="1" applyAlignment="1">
      <alignment horizontal="center" vertical="center" wrapText="1"/>
    </xf>
    <xf numFmtId="44" fontId="147" fillId="5" borderId="243" xfId="263" applyFont="1" applyFill="1" applyBorder="1" applyAlignment="1">
      <alignment horizontal="center" vertical="center" wrapText="1"/>
    </xf>
    <xf numFmtId="0" fontId="1" fillId="5" borderId="216" xfId="260" applyFill="1" applyBorder="1"/>
    <xf numFmtId="0" fontId="157" fillId="5" borderId="0" xfId="260" applyFont="1" applyFill="1"/>
    <xf numFmtId="0" fontId="1" fillId="5" borderId="4" xfId="260" applyFill="1" applyBorder="1"/>
    <xf numFmtId="0" fontId="147" fillId="5" borderId="134" xfId="260" applyFont="1" applyFill="1" applyBorder="1" applyAlignment="1">
      <alignment vertical="center" wrapText="1"/>
    </xf>
    <xf numFmtId="43" fontId="147" fillId="5" borderId="139" xfId="261" applyFont="1" applyFill="1" applyBorder="1" applyAlignment="1">
      <alignment horizontal="center" vertical="center" wrapText="1"/>
    </xf>
    <xf numFmtId="43" fontId="147" fillId="5" borderId="140" xfId="261" applyFont="1" applyFill="1" applyBorder="1" applyAlignment="1">
      <alignment horizontal="center" vertical="center" wrapText="1"/>
    </xf>
    <xf numFmtId="0" fontId="1" fillId="5" borderId="0" xfId="260" applyFill="1"/>
    <xf numFmtId="0" fontId="146" fillId="20" borderId="220" xfId="260" applyFont="1" applyFill="1" applyBorder="1" applyAlignment="1">
      <alignment horizontal="center" vertical="center" wrapText="1"/>
    </xf>
    <xf numFmtId="43" fontId="146" fillId="34" borderId="245" xfId="261" applyFont="1" applyFill="1" applyBorder="1" applyAlignment="1">
      <alignment horizontal="center" vertical="center" wrapText="1"/>
    </xf>
    <xf numFmtId="0" fontId="147" fillId="5" borderId="157" xfId="260" applyFont="1" applyFill="1" applyBorder="1" applyAlignment="1">
      <alignment vertical="center" wrapText="1"/>
    </xf>
    <xf numFmtId="43" fontId="147" fillId="5" borderId="233" xfId="261" applyFont="1" applyFill="1" applyBorder="1" applyAlignment="1">
      <alignment horizontal="center" vertical="center" wrapText="1"/>
    </xf>
    <xf numFmtId="0" fontId="1" fillId="0" borderId="216" xfId="260" applyBorder="1"/>
    <xf numFmtId="43" fontId="1" fillId="0" borderId="4" xfId="260" applyNumberFormat="1" applyBorder="1"/>
    <xf numFmtId="0" fontId="1" fillId="5" borderId="224" xfId="260" applyFill="1" applyBorder="1"/>
    <xf numFmtId="0" fontId="1" fillId="5" borderId="5" xfId="260" applyFill="1" applyBorder="1"/>
    <xf numFmtId="0" fontId="1" fillId="5" borderId="11" xfId="260" applyFill="1" applyBorder="1"/>
    <xf numFmtId="0" fontId="153" fillId="0" borderId="0" xfId="260" applyFont="1"/>
    <xf numFmtId="0" fontId="158" fillId="0" borderId="0" xfId="264" applyFont="1"/>
    <xf numFmtId="0" fontId="158" fillId="0" borderId="0" xfId="264" applyFont="1" applyAlignment="1">
      <alignment horizontal="center"/>
    </xf>
    <xf numFmtId="0" fontId="158" fillId="0" borderId="0" xfId="264" applyFont="1" applyAlignment="1">
      <alignment vertical="center"/>
    </xf>
    <xf numFmtId="4" fontId="158" fillId="0" borderId="0" xfId="264" applyNumberFormat="1" applyFont="1"/>
    <xf numFmtId="44" fontId="158" fillId="0" borderId="0" xfId="264" applyNumberFormat="1" applyFont="1"/>
    <xf numFmtId="0" fontId="159" fillId="0" borderId="0" xfId="264" applyFont="1" applyAlignment="1">
      <alignment horizontal="center" vertical="center" wrapText="1"/>
    </xf>
    <xf numFmtId="4" fontId="159" fillId="0" borderId="0" xfId="264" applyNumberFormat="1" applyFont="1" applyAlignment="1">
      <alignment horizontal="center" vertical="center" wrapText="1"/>
    </xf>
    <xf numFmtId="44" fontId="159" fillId="0" borderId="0" xfId="264" applyNumberFormat="1" applyFont="1" applyAlignment="1">
      <alignment horizontal="center" vertical="center" wrapText="1"/>
    </xf>
    <xf numFmtId="0" fontId="159" fillId="0" borderId="0" xfId="264" applyFont="1" applyAlignment="1">
      <alignment vertical="center"/>
    </xf>
    <xf numFmtId="44" fontId="159" fillId="0" borderId="0" xfId="264" applyNumberFormat="1" applyFont="1" applyAlignment="1">
      <alignment vertical="center"/>
    </xf>
    <xf numFmtId="4" fontId="158" fillId="0" borderId="0" xfId="264" applyNumberFormat="1" applyFont="1" applyAlignment="1">
      <alignment vertical="center"/>
    </xf>
    <xf numFmtId="44" fontId="158" fillId="0" borderId="0" xfId="264" applyNumberFormat="1" applyFont="1" applyAlignment="1">
      <alignment vertical="center"/>
    </xf>
    <xf numFmtId="200" fontId="162" fillId="0" borderId="0" xfId="265" applyNumberFormat="1" applyFont="1" applyAlignment="1">
      <alignment vertical="center"/>
    </xf>
    <xf numFmtId="0" fontId="160" fillId="37" borderId="247" xfId="208" applyFont="1" applyFill="1" applyBorder="1" applyAlignment="1">
      <alignment horizontal="center" vertical="center"/>
    </xf>
    <xf numFmtId="0" fontId="160" fillId="37" borderId="247" xfId="208" applyFont="1" applyFill="1" applyBorder="1" applyAlignment="1">
      <alignment horizontal="center" vertical="center" wrapText="1"/>
    </xf>
    <xf numFmtId="0" fontId="160" fillId="37" borderId="248" xfId="208" applyFont="1" applyFill="1" applyBorder="1" applyAlignment="1">
      <alignment horizontal="center" vertical="center" wrapText="1"/>
    </xf>
    <xf numFmtId="4" fontId="160" fillId="37" borderId="247" xfId="208" applyNumberFormat="1" applyFont="1" applyFill="1" applyBorder="1" applyAlignment="1">
      <alignment horizontal="center" vertical="center" wrapText="1"/>
    </xf>
    <xf numFmtId="44" fontId="160" fillId="37" borderId="247" xfId="208" applyNumberFormat="1" applyFont="1" applyFill="1" applyBorder="1" applyAlignment="1">
      <alignment horizontal="center" vertical="center" wrapText="1"/>
    </xf>
    <xf numFmtId="0" fontId="160" fillId="37" borderId="249" xfId="208" applyFont="1" applyFill="1" applyBorder="1" applyAlignment="1">
      <alignment horizontal="center" vertical="center"/>
    </xf>
    <xf numFmtId="0" fontId="162" fillId="0" borderId="0" xfId="264" applyFont="1" applyAlignment="1">
      <alignment vertical="center"/>
    </xf>
    <xf numFmtId="0" fontId="163" fillId="36" borderId="250" xfId="208" applyFont="1" applyFill="1" applyBorder="1" applyAlignment="1">
      <alignment vertical="center"/>
    </xf>
    <xf numFmtId="0" fontId="163" fillId="36" borderId="251" xfId="208" applyFont="1" applyFill="1" applyBorder="1" applyAlignment="1">
      <alignment vertical="center"/>
    </xf>
    <xf numFmtId="0" fontId="163" fillId="36" borderId="251" xfId="208" applyFont="1" applyFill="1" applyBorder="1" applyAlignment="1">
      <alignment vertical="center" wrapText="1"/>
    </xf>
    <xf numFmtId="44" fontId="163" fillId="36" borderId="251" xfId="208" applyNumberFormat="1" applyFont="1" applyFill="1" applyBorder="1" applyAlignment="1">
      <alignment vertical="center" wrapText="1"/>
    </xf>
    <xf numFmtId="0" fontId="160" fillId="36" borderId="252" xfId="208" applyFont="1" applyFill="1" applyBorder="1" applyAlignment="1">
      <alignment vertical="center"/>
    </xf>
    <xf numFmtId="0" fontId="148" fillId="21" borderId="246" xfId="208" applyFont="1" applyFill="1" applyBorder="1" applyAlignment="1">
      <alignment horizontal="center" vertical="center"/>
    </xf>
    <xf numFmtId="0" fontId="148" fillId="21" borderId="246" xfId="264" applyFont="1" applyFill="1" applyBorder="1" applyAlignment="1">
      <alignment vertical="center" wrapText="1"/>
    </xf>
    <xf numFmtId="44" fontId="148" fillId="0" borderId="246" xfId="266" applyFont="1" applyFill="1" applyBorder="1" applyAlignment="1" applyProtection="1">
      <alignment vertical="center"/>
      <protection locked="0"/>
    </xf>
    <xf numFmtId="4" fontId="148" fillId="21" borderId="246" xfId="267" applyNumberFormat="1" applyFont="1" applyFill="1" applyBorder="1" applyAlignment="1" applyProtection="1">
      <alignment horizontal="center" vertical="center"/>
      <protection locked="0"/>
    </xf>
    <xf numFmtId="44" fontId="148" fillId="21" borderId="246" xfId="264" applyNumberFormat="1" applyFont="1" applyFill="1" applyBorder="1" applyAlignment="1">
      <alignment vertical="center"/>
    </xf>
    <xf numFmtId="4" fontId="165" fillId="0" borderId="246" xfId="264" applyNumberFormat="1" applyFont="1" applyBorder="1" applyAlignment="1">
      <alignment vertical="center" wrapText="1"/>
    </xf>
    <xf numFmtId="44" fontId="162" fillId="0" borderId="0" xfId="264" applyNumberFormat="1" applyFont="1" applyAlignment="1">
      <alignment vertical="center"/>
    </xf>
    <xf numFmtId="44" fontId="166" fillId="0" borderId="0" xfId="264" applyNumberFormat="1" applyFont="1" applyAlignment="1">
      <alignment vertical="center"/>
    </xf>
    <xf numFmtId="0" fontId="158" fillId="0" borderId="0" xfId="264" applyFont="1" applyAlignment="1">
      <alignment vertical="center" wrapText="1"/>
    </xf>
    <xf numFmtId="0" fontId="148" fillId="21" borderId="247" xfId="208" applyFont="1" applyFill="1" applyBorder="1" applyAlignment="1">
      <alignment horizontal="center" vertical="center"/>
    </xf>
    <xf numFmtId="44" fontId="148" fillId="0" borderId="247" xfId="266" applyFont="1" applyFill="1" applyBorder="1" applyAlignment="1" applyProtection="1">
      <alignment vertical="center"/>
      <protection locked="0"/>
    </xf>
    <xf numFmtId="44" fontId="148" fillId="21" borderId="247" xfId="264" applyNumberFormat="1" applyFont="1" applyFill="1" applyBorder="1" applyAlignment="1">
      <alignment vertical="center"/>
    </xf>
    <xf numFmtId="4" fontId="165" fillId="0" borderId="247" xfId="264" applyNumberFormat="1" applyFont="1" applyBorder="1" applyAlignment="1">
      <alignment vertical="center" wrapText="1"/>
    </xf>
    <xf numFmtId="0" fontId="168" fillId="36" borderId="250" xfId="208" applyFont="1" applyFill="1" applyBorder="1" applyAlignment="1">
      <alignment vertical="center" wrapText="1"/>
    </xf>
    <xf numFmtId="0" fontId="168" fillId="36" borderId="251" xfId="208" applyFont="1" applyFill="1" applyBorder="1" applyAlignment="1">
      <alignment vertical="center" wrapText="1"/>
    </xf>
    <xf numFmtId="0" fontId="148" fillId="36" borderId="251" xfId="264" applyFont="1" applyFill="1" applyBorder="1" applyAlignment="1">
      <alignment vertical="center"/>
    </xf>
    <xf numFmtId="44" fontId="163" fillId="36" borderId="251" xfId="266" applyFont="1" applyFill="1" applyBorder="1" applyAlignment="1">
      <alignment vertical="center"/>
    </xf>
    <xf numFmtId="0" fontId="169" fillId="36" borderId="252" xfId="264" applyFont="1" applyFill="1" applyBorder="1" applyAlignment="1">
      <alignment vertical="center" wrapText="1"/>
    </xf>
    <xf numFmtId="0" fontId="168" fillId="0" borderId="253" xfId="208" applyFont="1" applyBorder="1" applyAlignment="1">
      <alignment horizontal="left" vertical="center" wrapText="1"/>
    </xf>
    <xf numFmtId="0" fontId="168" fillId="0" borderId="0" xfId="208" applyFont="1" applyAlignment="1">
      <alignment horizontal="left" vertical="center" wrapText="1"/>
    </xf>
    <xf numFmtId="44" fontId="168" fillId="0" borderId="0" xfId="208" applyNumberFormat="1" applyFont="1" applyAlignment="1">
      <alignment horizontal="left" vertical="center" wrapText="1"/>
    </xf>
    <xf numFmtId="0" fontId="148" fillId="21" borderId="254" xfId="208" applyFont="1" applyFill="1" applyBorder="1" applyAlignment="1">
      <alignment horizontal="center" vertical="center"/>
    </xf>
    <xf numFmtId="0" fontId="148" fillId="21" borderId="254" xfId="264" applyFont="1" applyFill="1" applyBorder="1" applyAlignment="1">
      <alignment vertical="center" wrapText="1"/>
    </xf>
    <xf numFmtId="44" fontId="148" fillId="0" borderId="254" xfId="266" applyFont="1" applyFill="1" applyBorder="1" applyAlignment="1" applyProtection="1">
      <alignment vertical="center"/>
      <protection locked="0"/>
    </xf>
    <xf numFmtId="4" fontId="148" fillId="21" borderId="254" xfId="267" applyNumberFormat="1" applyFont="1" applyFill="1" applyBorder="1" applyAlignment="1" applyProtection="1">
      <alignment horizontal="center" vertical="center"/>
      <protection locked="0"/>
    </xf>
    <xf numFmtId="44" fontId="148" fillId="21" borderId="255" xfId="264" applyNumberFormat="1" applyFont="1" applyFill="1" applyBorder="1" applyAlignment="1">
      <alignment vertical="center"/>
    </xf>
    <xf numFmtId="4" fontId="165" fillId="0" borderId="254" xfId="264" applyNumberFormat="1" applyFont="1" applyBorder="1" applyAlignment="1">
      <alignment vertical="center" wrapText="1"/>
    </xf>
    <xf numFmtId="0" fontId="166" fillId="0" borderId="0" xfId="264" applyFont="1" applyAlignment="1">
      <alignment vertical="center"/>
    </xf>
    <xf numFmtId="0" fontId="169" fillId="36" borderId="252" xfId="264" applyFont="1" applyFill="1" applyBorder="1" applyAlignment="1">
      <alignment wrapText="1"/>
    </xf>
    <xf numFmtId="4" fontId="170" fillId="5" borderId="0" xfId="268" applyNumberFormat="1" applyFont="1" applyFill="1" applyBorder="1" applyAlignment="1">
      <alignment vertical="center"/>
    </xf>
    <xf numFmtId="44" fontId="170" fillId="5" borderId="0" xfId="268" applyNumberFormat="1" applyFont="1" applyFill="1" applyBorder="1" applyAlignment="1">
      <alignment vertical="center"/>
    </xf>
    <xf numFmtId="0" fontId="158" fillId="0" borderId="0" xfId="264" applyFont="1" applyAlignment="1">
      <alignment wrapText="1"/>
    </xf>
    <xf numFmtId="0" fontId="168" fillId="0" borderId="0" xfId="208" applyFont="1" applyAlignment="1">
      <alignment vertical="center" wrapText="1"/>
    </xf>
    <xf numFmtId="0" fontId="169" fillId="37" borderId="251" xfId="264" applyFont="1" applyFill="1" applyBorder="1" applyAlignment="1">
      <alignment vertical="center"/>
    </xf>
    <xf numFmtId="44" fontId="160" fillId="37" borderId="251" xfId="266" applyFont="1" applyFill="1" applyBorder="1" applyAlignment="1">
      <alignment vertical="center"/>
    </xf>
    <xf numFmtId="44" fontId="169" fillId="37" borderId="252" xfId="264" applyNumberFormat="1" applyFont="1" applyFill="1" applyBorder="1"/>
    <xf numFmtId="44" fontId="159" fillId="0" borderId="0" xfId="264" applyNumberFormat="1" applyFont="1" applyAlignment="1">
      <alignment horizontal="center" vertical="center"/>
    </xf>
    <xf numFmtId="0" fontId="29" fillId="0" borderId="0" xfId="53" applyNumberFormat="1" applyFont="1" applyFill="1" applyBorder="1" applyAlignment="1">
      <alignment vertical="center" wrapText="1"/>
    </xf>
    <xf numFmtId="4" fontId="42" fillId="0" borderId="0" xfId="53" applyNumberFormat="1" applyFont="1" applyFill="1" applyBorder="1" applyAlignment="1">
      <alignment vertical="center" wrapText="1"/>
    </xf>
    <xf numFmtId="0" fontId="29" fillId="0" borderId="0" xfId="30" applyNumberFormat="1" applyFont="1" applyFill="1" applyBorder="1" applyAlignment="1">
      <alignment horizontal="right" vertical="center" wrapText="1"/>
    </xf>
    <xf numFmtId="0" fontId="171" fillId="0" borderId="0" xfId="30" applyNumberFormat="1" applyFont="1" applyFill="1" applyBorder="1" applyAlignment="1">
      <alignment horizontal="right" vertical="center" wrapText="1"/>
    </xf>
    <xf numFmtId="184" fontId="27" fillId="0" borderId="0" xfId="30" applyNumberFormat="1" applyFont="1" applyFill="1" applyBorder="1" applyAlignment="1">
      <alignment horizontal="right" vertical="center" wrapText="1"/>
    </xf>
    <xf numFmtId="4" fontId="172" fillId="0" borderId="83" xfId="30" applyNumberFormat="1" applyFont="1" applyFill="1" applyBorder="1" applyAlignment="1">
      <alignment horizontal="left" vertical="center" wrapText="1"/>
    </xf>
    <xf numFmtId="181" fontId="42" fillId="0" borderId="83" xfId="30" applyNumberFormat="1" applyFont="1" applyFill="1" applyBorder="1" applyAlignment="1">
      <alignment horizontal="center" vertical="center" wrapText="1"/>
    </xf>
    <xf numFmtId="201" fontId="54" fillId="2" borderId="181" xfId="0" applyNumberFormat="1" applyFont="1" applyFill="1" applyBorder="1" applyAlignment="1">
      <alignment horizontal="right" vertical="top" wrapText="1"/>
    </xf>
    <xf numFmtId="181" fontId="69" fillId="0" borderId="28" xfId="50" applyNumberFormat="1" applyFont="1" applyFill="1" applyBorder="1" applyAlignment="1">
      <alignment vertical="center" wrapText="1"/>
    </xf>
    <xf numFmtId="180" fontId="69" fillId="0" borderId="28" xfId="50" applyNumberFormat="1" applyFont="1" applyFill="1" applyBorder="1" applyAlignment="1">
      <alignment vertical="center" wrapText="1"/>
    </xf>
    <xf numFmtId="49" fontId="76" fillId="14" borderId="14" xfId="53" applyNumberFormat="1" applyFont="1" applyFill="1" applyBorder="1" applyAlignment="1">
      <alignment horizontal="center" vertical="center" wrapText="1"/>
    </xf>
    <xf numFmtId="0" fontId="143" fillId="17" borderId="15" xfId="260" applyFont="1" applyFill="1" applyBorder="1" applyAlignment="1">
      <alignment horizontal="center" vertical="center" wrapText="1"/>
    </xf>
    <xf numFmtId="0" fontId="143" fillId="17" borderId="14" xfId="260" applyFont="1" applyFill="1" applyBorder="1" applyAlignment="1">
      <alignment horizontal="center" vertical="center" wrapText="1"/>
    </xf>
    <xf numFmtId="0" fontId="143" fillId="17" borderId="18" xfId="260" applyFont="1" applyFill="1" applyBorder="1" applyAlignment="1">
      <alignment horizontal="center" vertical="center" wrapText="1"/>
    </xf>
    <xf numFmtId="0" fontId="143" fillId="18" borderId="15" xfId="260" applyFont="1" applyFill="1" applyBorder="1" applyAlignment="1">
      <alignment horizontal="center" vertical="center" wrapText="1"/>
    </xf>
    <xf numFmtId="0" fontId="143" fillId="18" borderId="14" xfId="260" applyFont="1" applyFill="1" applyBorder="1" applyAlignment="1">
      <alignment horizontal="center" vertical="center" wrapText="1"/>
    </xf>
    <xf numFmtId="0" fontId="143" fillId="18" borderId="18" xfId="260" applyFont="1" applyFill="1" applyBorder="1" applyAlignment="1">
      <alignment horizontal="center" vertical="center" wrapText="1"/>
    </xf>
    <xf numFmtId="0" fontId="143" fillId="17" borderId="239" xfId="260" applyFont="1" applyFill="1" applyBorder="1" applyAlignment="1">
      <alignment horizontal="center" vertical="center" wrapText="1"/>
    </xf>
    <xf numFmtId="0" fontId="143" fillId="17" borderId="24" xfId="260" applyFont="1" applyFill="1" applyBorder="1" applyAlignment="1">
      <alignment horizontal="center" vertical="center" wrapText="1"/>
    </xf>
    <xf numFmtId="0" fontId="143" fillId="17" borderId="240" xfId="260" applyFont="1" applyFill="1" applyBorder="1" applyAlignment="1">
      <alignment horizontal="center" vertical="center" wrapText="1"/>
    </xf>
    <xf numFmtId="0" fontId="143" fillId="18" borderId="22" xfId="260" applyFont="1" applyFill="1" applyBorder="1" applyAlignment="1">
      <alignment horizontal="center" vertical="center" wrapText="1"/>
    </xf>
    <xf numFmtId="0" fontId="146" fillId="34" borderId="12" xfId="260" applyFont="1" applyFill="1" applyBorder="1" applyAlignment="1">
      <alignment horizontal="center" vertical="center" wrapText="1"/>
    </xf>
    <xf numFmtId="0" fontId="146" fillId="34" borderId="20" xfId="260" applyFont="1" applyFill="1" applyBorder="1" applyAlignment="1">
      <alignment horizontal="center" vertical="center" wrapText="1"/>
    </xf>
    <xf numFmtId="0" fontId="146" fillId="34" borderId="244" xfId="260" applyFont="1" applyFill="1" applyBorder="1" applyAlignment="1">
      <alignment horizontal="center" vertical="center" wrapText="1"/>
    </xf>
    <xf numFmtId="0" fontId="160" fillId="37" borderId="246" xfId="208" applyFont="1" applyFill="1" applyBorder="1" applyAlignment="1">
      <alignment horizontal="center" vertical="center" wrapText="1"/>
    </xf>
    <xf numFmtId="0" fontId="163" fillId="36" borderId="251" xfId="208" applyFont="1" applyFill="1" applyBorder="1" applyAlignment="1">
      <alignment horizontal="right" vertical="center" wrapText="1"/>
    </xf>
    <xf numFmtId="0" fontId="160" fillId="37" borderId="250" xfId="208" applyFont="1" applyFill="1" applyBorder="1" applyAlignment="1">
      <alignment horizontal="center" vertical="center" wrapText="1"/>
    </xf>
    <xf numFmtId="0" fontId="160" fillId="37" borderId="251" xfId="208" applyFont="1" applyFill="1" applyBorder="1" applyAlignment="1">
      <alignment horizontal="center" vertical="center" wrapText="1"/>
    </xf>
    <xf numFmtId="17" fontId="102" fillId="14" borderId="101" xfId="45" applyNumberFormat="1" applyFont="1" applyFill="1" applyBorder="1" applyAlignment="1">
      <alignment horizontal="center" vertical="center"/>
    </xf>
    <xf numFmtId="17" fontId="102" fillId="14" borderId="0" xfId="45" applyNumberFormat="1" applyFont="1" applyFill="1" applyAlignment="1">
      <alignment horizontal="center" vertical="center"/>
    </xf>
    <xf numFmtId="0" fontId="54" fillId="2" borderId="176" xfId="0" applyFont="1" applyFill="1" applyBorder="1" applyAlignment="1">
      <alignment horizontal="left" vertical="top" wrapText="1"/>
    </xf>
    <xf numFmtId="0" fontId="54" fillId="2" borderId="177" xfId="0" applyFont="1" applyFill="1" applyBorder="1" applyAlignment="1">
      <alignment horizontal="left" vertical="top" wrapText="1"/>
    </xf>
    <xf numFmtId="0" fontId="53" fillId="28" borderId="178" xfId="0" applyFont="1" applyFill="1" applyBorder="1" applyAlignment="1">
      <alignment horizontal="left"/>
    </xf>
    <xf numFmtId="0" fontId="53" fillId="28" borderId="179" xfId="0" applyFont="1" applyFill="1" applyBorder="1" applyAlignment="1">
      <alignment horizontal="left"/>
    </xf>
    <xf numFmtId="0" fontId="106" fillId="14" borderId="22" xfId="41" applyFont="1" applyFill="1" applyBorder="1" applyAlignment="1">
      <alignment horizontal="center" vertical="center"/>
    </xf>
    <xf numFmtId="0" fontId="106" fillId="14" borderId="24" xfId="41" applyFont="1" applyFill="1" applyBorder="1" applyAlignment="1">
      <alignment horizontal="center" vertical="center"/>
    </xf>
    <xf numFmtId="0" fontId="106" fillId="14" borderId="25" xfId="41" applyFont="1" applyFill="1" applyBorder="1" applyAlignment="1">
      <alignment horizontal="center" vertical="center"/>
    </xf>
    <xf numFmtId="0" fontId="79" fillId="11" borderId="9" xfId="41" applyFont="1" applyFill="1" applyBorder="1" applyAlignment="1">
      <alignment horizontal="center" vertical="center" wrapText="1"/>
    </xf>
    <xf numFmtId="0" fontId="79" fillId="11" borderId="31" xfId="41" applyFont="1" applyFill="1" applyBorder="1" applyAlignment="1">
      <alignment horizontal="center" vertical="center" wrapText="1"/>
    </xf>
    <xf numFmtId="0" fontId="79" fillId="11" borderId="32" xfId="41" applyFont="1" applyFill="1" applyBorder="1" applyAlignment="1">
      <alignment horizontal="center" vertical="center" wrapText="1"/>
    </xf>
    <xf numFmtId="0" fontId="79" fillId="11" borderId="34" xfId="41" applyFont="1" applyFill="1" applyBorder="1" applyAlignment="1">
      <alignment horizontal="center" vertical="center" wrapText="1"/>
    </xf>
    <xf numFmtId="0" fontId="79" fillId="11" borderId="1" xfId="41" applyFont="1" applyFill="1" applyBorder="1" applyAlignment="1">
      <alignment horizontal="center" vertical="center" wrapText="1"/>
    </xf>
    <xf numFmtId="0" fontId="79" fillId="11" borderId="32" xfId="41" applyFont="1" applyFill="1" applyBorder="1" applyAlignment="1">
      <alignment horizontal="center" vertical="center"/>
    </xf>
    <xf numFmtId="0" fontId="79" fillId="11" borderId="23" xfId="41" applyFont="1" applyFill="1" applyBorder="1" applyAlignment="1">
      <alignment horizontal="center" vertical="center"/>
    </xf>
    <xf numFmtId="0" fontId="79" fillId="11" borderId="34" xfId="41" applyFont="1" applyFill="1" applyBorder="1" applyAlignment="1">
      <alignment horizontal="center" vertical="center"/>
    </xf>
    <xf numFmtId="0" fontId="79" fillId="11" borderId="1" xfId="41" applyFont="1" applyFill="1" applyBorder="1" applyAlignment="1">
      <alignment horizontal="center" vertical="center"/>
    </xf>
    <xf numFmtId="0" fontId="79" fillId="11" borderId="33" xfId="41" applyFont="1" applyFill="1" applyBorder="1" applyAlignment="1">
      <alignment horizontal="center" vertical="center"/>
    </xf>
    <xf numFmtId="0" fontId="79" fillId="11" borderId="33" xfId="41" applyFont="1" applyFill="1" applyBorder="1" applyAlignment="1">
      <alignment horizontal="center" vertical="center" wrapText="1"/>
    </xf>
    <xf numFmtId="4" fontId="101" fillId="3" borderId="64" xfId="47" applyNumberFormat="1" applyFont="1" applyFill="1" applyBorder="1" applyAlignment="1">
      <alignment horizontal="center" vertical="center" wrapText="1"/>
    </xf>
    <xf numFmtId="17" fontId="102" fillId="14" borderId="109" xfId="45" applyNumberFormat="1" applyFont="1" applyFill="1" applyBorder="1" applyAlignment="1">
      <alignment horizontal="center" vertical="center"/>
    </xf>
    <xf numFmtId="17" fontId="102" fillId="14" borderId="145" xfId="45" applyNumberFormat="1" applyFont="1" applyFill="1" applyBorder="1" applyAlignment="1">
      <alignment horizontal="center" vertical="center"/>
    </xf>
    <xf numFmtId="0" fontId="57" fillId="0" borderId="5" xfId="41" applyFont="1" applyBorder="1" applyAlignment="1">
      <alignment horizontal="center" vertical="center"/>
    </xf>
    <xf numFmtId="0" fontId="74" fillId="11" borderId="6" xfId="58" applyFont="1" applyFill="1" applyBorder="1" applyAlignment="1">
      <alignment horizontal="center" vertical="center"/>
    </xf>
    <xf numFmtId="0" fontId="74" fillId="11" borderId="27" xfId="58" applyFont="1" applyFill="1" applyBorder="1" applyAlignment="1">
      <alignment horizontal="center" vertical="center"/>
    </xf>
    <xf numFmtId="0" fontId="74" fillId="11" borderId="0" xfId="58" applyFont="1" applyFill="1" applyAlignment="1">
      <alignment horizontal="center" vertical="center"/>
    </xf>
    <xf numFmtId="0" fontId="74" fillId="11" borderId="31" xfId="58" applyFont="1" applyFill="1" applyBorder="1" applyAlignment="1">
      <alignment horizontal="center" vertical="center"/>
    </xf>
    <xf numFmtId="179" fontId="74" fillId="11" borderId="7" xfId="58" applyNumberFormat="1" applyFont="1" applyFill="1" applyBorder="1" applyAlignment="1">
      <alignment horizontal="center" vertical="center"/>
    </xf>
    <xf numFmtId="179" fontId="74" fillId="11" borderId="1" xfId="58" applyNumberFormat="1" applyFont="1" applyFill="1" applyBorder="1" applyAlignment="1">
      <alignment horizontal="center" vertical="center"/>
    </xf>
    <xf numFmtId="0" fontId="29" fillId="3" borderId="12" xfId="41" applyFont="1" applyFill="1" applyBorder="1" applyAlignment="1">
      <alignment horizontal="center" vertical="center"/>
    </xf>
    <xf numFmtId="0" fontId="29" fillId="3" borderId="20" xfId="41" applyFont="1" applyFill="1" applyBorder="1" applyAlignment="1">
      <alignment horizontal="center" vertical="center"/>
    </xf>
    <xf numFmtId="0" fontId="29" fillId="3" borderId="21" xfId="41" applyFont="1" applyFill="1" applyBorder="1" applyAlignment="1">
      <alignment horizontal="center" vertical="center"/>
    </xf>
    <xf numFmtId="4" fontId="101" fillId="3" borderId="82" xfId="47" applyNumberFormat="1" applyFont="1" applyFill="1" applyBorder="1" applyAlignment="1">
      <alignment horizontal="center" vertical="center" wrapText="1"/>
    </xf>
    <xf numFmtId="4" fontId="101" fillId="3" borderId="83" xfId="47" applyNumberFormat="1" applyFont="1" applyFill="1" applyBorder="1" applyAlignment="1">
      <alignment horizontal="center" vertical="center" wrapText="1"/>
    </xf>
    <xf numFmtId="4" fontId="101" fillId="3" borderId="148" xfId="47" applyNumberFormat="1" applyFont="1" applyFill="1" applyBorder="1" applyAlignment="1">
      <alignment horizontal="center" vertical="center" wrapText="1"/>
    </xf>
    <xf numFmtId="0" fontId="137" fillId="11" borderId="31" xfId="57" applyFont="1" applyFill="1" applyBorder="1" applyAlignment="1">
      <alignment horizontal="center" vertical="center"/>
    </xf>
    <xf numFmtId="0" fontId="137" fillId="11" borderId="192" xfId="57" applyFont="1" applyFill="1" applyBorder="1" applyAlignment="1">
      <alignment horizontal="center" vertical="center"/>
    </xf>
    <xf numFmtId="4" fontId="101" fillId="3" borderId="193" xfId="47" applyNumberFormat="1" applyFont="1" applyFill="1" applyBorder="1" applyAlignment="1">
      <alignment vertical="center"/>
    </xf>
    <xf numFmtId="4" fontId="101" fillId="3" borderId="0" xfId="47" applyNumberFormat="1" applyFont="1" applyFill="1" applyAlignment="1">
      <alignment vertical="center"/>
    </xf>
    <xf numFmtId="0" fontId="79" fillId="11" borderId="0" xfId="41" applyFont="1" applyFill="1" applyAlignment="1">
      <alignment horizontal="center" vertical="center" wrapText="1"/>
    </xf>
    <xf numFmtId="0" fontId="109" fillId="14" borderId="22" xfId="41" applyFont="1" applyFill="1" applyBorder="1" applyAlignment="1">
      <alignment horizontal="center" vertical="center"/>
    </xf>
    <xf numFmtId="0" fontId="109" fillId="14" borderId="24" xfId="41" applyFont="1" applyFill="1" applyBorder="1" applyAlignment="1">
      <alignment horizontal="center" vertical="center"/>
    </xf>
    <xf numFmtId="0" fontId="109" fillId="14" borderId="25" xfId="41" applyFont="1" applyFill="1" applyBorder="1" applyAlignment="1">
      <alignment horizontal="center" vertical="center"/>
    </xf>
    <xf numFmtId="17" fontId="109" fillId="14" borderId="95" xfId="45" applyNumberFormat="1" applyFont="1" applyFill="1" applyBorder="1" applyAlignment="1">
      <alignment horizontal="center" vertical="center"/>
    </xf>
    <xf numFmtId="17" fontId="109" fillId="14" borderId="96" xfId="45" applyNumberFormat="1" applyFont="1" applyFill="1" applyBorder="1" applyAlignment="1">
      <alignment horizontal="center" vertical="center"/>
    </xf>
    <xf numFmtId="17" fontId="109" fillId="14" borderId="103" xfId="45" applyNumberFormat="1" applyFont="1" applyFill="1" applyBorder="1" applyAlignment="1">
      <alignment horizontal="center" vertical="center"/>
    </xf>
    <xf numFmtId="0" fontId="79" fillId="12" borderId="116" xfId="0" applyFont="1" applyFill="1" applyBorder="1" applyAlignment="1">
      <alignment horizontal="center" vertical="center" textRotation="90"/>
    </xf>
    <xf numFmtId="0" fontId="80" fillId="11" borderId="88" xfId="0" applyFont="1" applyFill="1" applyBorder="1"/>
    <xf numFmtId="0" fontId="71" fillId="11" borderId="14" xfId="41" applyFont="1" applyFill="1" applyBorder="1" applyAlignment="1">
      <alignment horizontal="center" vertical="center"/>
    </xf>
    <xf numFmtId="0" fontId="79" fillId="11" borderId="7" xfId="41" applyFont="1" applyFill="1" applyBorder="1" applyAlignment="1">
      <alignment horizontal="center" vertical="center"/>
    </xf>
    <xf numFmtId="0" fontId="79" fillId="12" borderId="120" xfId="0" applyFont="1" applyFill="1" applyBorder="1" applyAlignment="1">
      <alignment horizontal="center" vertical="center" wrapText="1"/>
    </xf>
    <xf numFmtId="0" fontId="79" fillId="12" borderId="117" xfId="0" applyFont="1" applyFill="1" applyBorder="1" applyAlignment="1">
      <alignment horizontal="center" vertical="center" wrapText="1"/>
    </xf>
    <xf numFmtId="0" fontId="81" fillId="11" borderId="118" xfId="41" applyFont="1" applyFill="1" applyBorder="1" applyAlignment="1">
      <alignment horizontal="center" vertical="center" wrapText="1"/>
    </xf>
    <xf numFmtId="0" fontId="81" fillId="11" borderId="33" xfId="41" applyFont="1" applyFill="1" applyBorder="1" applyAlignment="1">
      <alignment horizontal="center" vertical="center" wrapText="1"/>
    </xf>
    <xf numFmtId="0" fontId="79" fillId="11" borderId="119" xfId="41" applyFont="1" applyFill="1" applyBorder="1" applyAlignment="1">
      <alignment horizontal="center" vertical="center"/>
    </xf>
    <xf numFmtId="0" fontId="81" fillId="11" borderId="101" xfId="41" applyFont="1" applyFill="1" applyBorder="1" applyAlignment="1">
      <alignment horizontal="center" vertical="center" wrapText="1"/>
    </xf>
    <xf numFmtId="0" fontId="81" fillId="11" borderId="23" xfId="41" applyFont="1" applyFill="1" applyBorder="1" applyAlignment="1">
      <alignment horizontal="center" vertical="center" wrapText="1"/>
    </xf>
    <xf numFmtId="0" fontId="71" fillId="11" borderId="12" xfId="58" applyFont="1" applyFill="1" applyBorder="1" applyAlignment="1">
      <alignment horizontal="center" vertical="center"/>
    </xf>
    <xf numFmtId="0" fontId="71" fillId="11" borderId="21" xfId="58" applyFont="1" applyFill="1" applyBorder="1" applyAlignment="1">
      <alignment horizontal="center" vertical="center"/>
    </xf>
    <xf numFmtId="0" fontId="79" fillId="11" borderId="22" xfId="41" applyFont="1" applyFill="1" applyBorder="1" applyAlignment="1">
      <alignment horizontal="center" vertical="center"/>
    </xf>
    <xf numFmtId="0" fontId="79" fillId="11" borderId="25" xfId="41" applyFont="1" applyFill="1" applyBorder="1" applyAlignment="1">
      <alignment horizontal="center" vertical="center"/>
    </xf>
    <xf numFmtId="0" fontId="71" fillId="11" borderId="7" xfId="41" applyFont="1" applyFill="1" applyBorder="1" applyAlignment="1">
      <alignment horizontal="center" vertical="center"/>
    </xf>
    <xf numFmtId="0" fontId="71" fillId="11" borderId="33" xfId="41" applyFont="1" applyFill="1" applyBorder="1" applyAlignment="1">
      <alignment horizontal="center" vertical="center"/>
    </xf>
    <xf numFmtId="0" fontId="79" fillId="11" borderId="27" xfId="41" applyFont="1" applyFill="1" applyBorder="1" applyAlignment="1">
      <alignment horizontal="center" vertical="center"/>
    </xf>
    <xf numFmtId="0" fontId="79" fillId="11" borderId="31" xfId="41" applyFont="1" applyFill="1" applyBorder="1" applyAlignment="1">
      <alignment horizontal="center" vertical="center"/>
    </xf>
    <xf numFmtId="0" fontId="79" fillId="11" borderId="7" xfId="41" applyFont="1" applyFill="1" applyBorder="1" applyAlignment="1">
      <alignment horizontal="center" vertical="center" wrapText="1"/>
    </xf>
    <xf numFmtId="0" fontId="79" fillId="11" borderId="30" xfId="41" applyFont="1" applyFill="1" applyBorder="1" applyAlignment="1">
      <alignment horizontal="center" vertical="center"/>
    </xf>
    <xf numFmtId="0" fontId="79" fillId="11" borderId="24" xfId="41" applyFont="1" applyFill="1" applyBorder="1" applyAlignment="1">
      <alignment horizontal="center" vertical="center"/>
    </xf>
    <xf numFmtId="0" fontId="71" fillId="11" borderId="7" xfId="41" applyFont="1" applyFill="1" applyBorder="1" applyAlignment="1">
      <alignment horizontal="center" vertical="center" wrapText="1"/>
    </xf>
    <xf numFmtId="0" fontId="71" fillId="11" borderId="33" xfId="41" applyFont="1" applyFill="1" applyBorder="1" applyAlignment="1">
      <alignment horizontal="center" vertical="center" wrapText="1"/>
    </xf>
    <xf numFmtId="4" fontId="79" fillId="11" borderId="7" xfId="41" applyNumberFormat="1" applyFont="1" applyFill="1" applyBorder="1" applyAlignment="1">
      <alignment horizontal="center" vertical="center"/>
    </xf>
    <xf numFmtId="4" fontId="79" fillId="11" borderId="33" xfId="41" applyNumberFormat="1" applyFont="1" applyFill="1" applyBorder="1" applyAlignment="1">
      <alignment horizontal="center" vertical="center"/>
    </xf>
    <xf numFmtId="0" fontId="30" fillId="0" borderId="0" xfId="41" applyFont="1" applyAlignment="1">
      <alignment horizontal="center" vertical="center" wrapText="1"/>
    </xf>
    <xf numFmtId="0" fontId="79" fillId="11" borderId="30" xfId="41" applyFont="1" applyFill="1" applyBorder="1" applyAlignment="1">
      <alignment horizontal="center" vertical="center" wrapText="1"/>
    </xf>
    <xf numFmtId="0" fontId="79" fillId="11" borderId="7" xfId="57" applyFont="1" applyFill="1" applyBorder="1" applyAlignment="1">
      <alignment horizontal="center" vertical="center"/>
    </xf>
    <xf numFmtId="0" fontId="79" fillId="11" borderId="1" xfId="57" applyFont="1" applyFill="1" applyBorder="1" applyAlignment="1">
      <alignment horizontal="center" vertical="center"/>
    </xf>
    <xf numFmtId="0" fontId="74" fillId="7" borderId="7" xfId="57" applyFont="1" applyFill="1" applyBorder="1" applyAlignment="1">
      <alignment horizontal="center" vertical="center"/>
    </xf>
    <xf numFmtId="0" fontId="74" fillId="7" borderId="1" xfId="57" applyFont="1" applyFill="1" applyBorder="1" applyAlignment="1">
      <alignment horizontal="center" vertical="center"/>
    </xf>
    <xf numFmtId="0" fontId="74" fillId="7" borderId="22" xfId="57" applyFont="1" applyFill="1" applyBorder="1" applyAlignment="1">
      <alignment horizontal="center" vertical="center"/>
    </xf>
    <xf numFmtId="0" fontId="74" fillId="7" borderId="24" xfId="57" applyFont="1" applyFill="1" applyBorder="1" applyAlignment="1">
      <alignment horizontal="center" vertical="center"/>
    </xf>
    <xf numFmtId="0" fontId="74" fillId="7" borderId="25" xfId="57" applyFont="1" applyFill="1" applyBorder="1" applyAlignment="1">
      <alignment horizontal="center" vertical="center"/>
    </xf>
    <xf numFmtId="0" fontId="74" fillId="7" borderId="7" xfId="57" applyFont="1" applyFill="1" applyBorder="1" applyAlignment="1">
      <alignment horizontal="center" vertical="center" wrapText="1"/>
    </xf>
    <xf numFmtId="0" fontId="74" fillId="7" borderId="1" xfId="57" applyFont="1" applyFill="1" applyBorder="1" applyAlignment="1">
      <alignment horizontal="center" vertical="center" wrapText="1"/>
    </xf>
    <xf numFmtId="2" fontId="73" fillId="0" borderId="132" xfId="57" applyNumberFormat="1" applyFont="1" applyBorder="1" applyAlignment="1">
      <alignment horizontal="center" vertical="center"/>
    </xf>
    <xf numFmtId="2" fontId="73" fillId="0" borderId="48" xfId="57" applyNumberFormat="1" applyFont="1" applyBorder="1" applyAlignment="1">
      <alignment horizontal="center" vertical="center"/>
    </xf>
    <xf numFmtId="2" fontId="73" fillId="0" borderId="42" xfId="57" applyNumberFormat="1" applyFont="1" applyBorder="1" applyAlignment="1">
      <alignment horizontal="center" vertical="center"/>
    </xf>
    <xf numFmtId="2" fontId="73" fillId="0" borderId="194" xfId="57" applyNumberFormat="1" applyFont="1" applyBorder="1" applyAlignment="1">
      <alignment horizontal="center" vertical="center"/>
    </xf>
    <xf numFmtId="0" fontId="80" fillId="11" borderId="1" xfId="57" applyFont="1" applyFill="1" applyBorder="1" applyAlignment="1">
      <alignment horizontal="center" vertical="center" wrapText="1"/>
    </xf>
    <xf numFmtId="0" fontId="80" fillId="11" borderId="31" xfId="57" applyFont="1" applyFill="1" applyBorder="1" applyAlignment="1">
      <alignment horizontal="center" vertical="center" wrapText="1"/>
    </xf>
    <xf numFmtId="0" fontId="80" fillId="11" borderId="138" xfId="57" applyFont="1" applyFill="1" applyBorder="1" applyAlignment="1">
      <alignment horizontal="center" vertical="center" wrapText="1"/>
    </xf>
    <xf numFmtId="0" fontId="74" fillId="7" borderId="30" xfId="60" applyFont="1" applyFill="1" applyBorder="1" applyAlignment="1">
      <alignment horizontal="center" vertical="center"/>
    </xf>
    <xf numFmtId="0" fontId="74" fillId="7" borderId="6" xfId="60" applyFont="1" applyFill="1" applyBorder="1" applyAlignment="1">
      <alignment horizontal="center" vertical="center"/>
    </xf>
    <xf numFmtId="0" fontId="74" fillId="7" borderId="27" xfId="60" applyFont="1" applyFill="1" applyBorder="1" applyAlignment="1">
      <alignment horizontal="center" vertical="center"/>
    </xf>
    <xf numFmtId="0" fontId="74" fillId="7" borderId="34" xfId="60" applyFont="1" applyFill="1" applyBorder="1" applyAlignment="1">
      <alignment horizontal="center" vertical="center"/>
    </xf>
    <xf numFmtId="0" fontId="74" fillId="7" borderId="7" xfId="60" applyFont="1" applyFill="1" applyBorder="1" applyAlignment="1">
      <alignment horizontal="center" vertical="center"/>
    </xf>
    <xf numFmtId="0" fontId="74" fillId="7" borderId="33" xfId="60" applyFont="1" applyFill="1" applyBorder="1" applyAlignment="1">
      <alignment horizontal="center" vertical="center"/>
    </xf>
    <xf numFmtId="0" fontId="74" fillId="7" borderId="33" xfId="57" applyFont="1" applyFill="1" applyBorder="1" applyAlignment="1">
      <alignment horizontal="center" vertical="center"/>
    </xf>
    <xf numFmtId="0" fontId="74" fillId="7" borderId="14" xfId="57" applyFont="1" applyFill="1" applyBorder="1" applyAlignment="1">
      <alignment horizontal="center" vertical="center"/>
    </xf>
    <xf numFmtId="0" fontId="74" fillId="7" borderId="14" xfId="57" applyFont="1" applyFill="1" applyBorder="1" applyAlignment="1">
      <alignment horizontal="center" vertical="center" wrapText="1"/>
    </xf>
    <xf numFmtId="0" fontId="27" fillId="0" borderId="0" xfId="57" applyFont="1" applyAlignment="1">
      <alignment horizontal="center" vertical="center"/>
    </xf>
    <xf numFmtId="0" fontId="27" fillId="0" borderId="5" xfId="57" applyFont="1" applyBorder="1" applyAlignment="1">
      <alignment horizontal="center" vertical="center"/>
    </xf>
    <xf numFmtId="0" fontId="74" fillId="7" borderId="6" xfId="57" applyFont="1" applyFill="1" applyBorder="1" applyAlignment="1">
      <alignment horizontal="center" vertical="center"/>
    </xf>
    <xf numFmtId="0" fontId="74" fillId="7" borderId="23" xfId="57" applyFont="1" applyFill="1" applyBorder="1" applyAlignment="1">
      <alignment horizontal="center" vertical="center"/>
    </xf>
    <xf numFmtId="0" fontId="74" fillId="7" borderId="30" xfId="57" applyFont="1" applyFill="1" applyBorder="1" applyAlignment="1">
      <alignment horizontal="center" vertical="center"/>
    </xf>
    <xf numFmtId="0" fontId="74" fillId="7" borderId="27" xfId="57" applyFont="1" applyFill="1" applyBorder="1" applyAlignment="1">
      <alignment horizontal="center" vertical="center"/>
    </xf>
    <xf numFmtId="0" fontId="74" fillId="7" borderId="32" xfId="57" applyFont="1" applyFill="1" applyBorder="1" applyAlignment="1">
      <alignment horizontal="center" vertical="center"/>
    </xf>
    <xf numFmtId="0" fontId="74" fillId="7" borderId="34" xfId="57" applyFont="1" applyFill="1" applyBorder="1" applyAlignment="1">
      <alignment horizontal="center" vertical="center"/>
    </xf>
    <xf numFmtId="0" fontId="57" fillId="0" borderId="0" xfId="57" applyFont="1" applyAlignment="1">
      <alignment horizontal="center"/>
    </xf>
    <xf numFmtId="4" fontId="74" fillId="11" borderId="22" xfId="58" applyNumberFormat="1" applyFont="1" applyFill="1" applyBorder="1" applyAlignment="1">
      <alignment horizontal="center" vertical="center"/>
    </xf>
    <xf numFmtId="4" fontId="74" fillId="11" borderId="24" xfId="58" applyNumberFormat="1" applyFont="1" applyFill="1" applyBorder="1" applyAlignment="1">
      <alignment horizontal="center" vertical="center"/>
    </xf>
    <xf numFmtId="2" fontId="125" fillId="25" borderId="175" xfId="57" applyNumberFormat="1" applyFont="1" applyFill="1" applyBorder="1" applyAlignment="1">
      <alignment horizontal="center" vertical="center"/>
    </xf>
    <xf numFmtId="2" fontId="125" fillId="25" borderId="0" xfId="57" applyNumberFormat="1" applyFont="1" applyFill="1" applyAlignment="1">
      <alignment horizontal="center" vertical="center"/>
    </xf>
    <xf numFmtId="0" fontId="27" fillId="5" borderId="14" xfId="57" applyFont="1" applyFill="1" applyBorder="1" applyAlignment="1">
      <alignment horizontal="center" vertical="center"/>
    </xf>
    <xf numFmtId="0" fontId="67" fillId="26" borderId="23" xfId="57" applyFont="1" applyFill="1" applyBorder="1" applyAlignment="1">
      <alignment horizontal="center" vertical="center"/>
    </xf>
    <xf numFmtId="17" fontId="102" fillId="14" borderId="156" xfId="45" applyNumberFormat="1" applyFont="1" applyFill="1" applyBorder="1" applyAlignment="1">
      <alignment horizontal="center" vertical="center"/>
    </xf>
    <xf numFmtId="0" fontId="27" fillId="5" borderId="14" xfId="30" applyNumberFormat="1" applyFont="1" applyFill="1" applyBorder="1" applyAlignment="1">
      <alignment horizontal="center" vertical="center"/>
    </xf>
    <xf numFmtId="49" fontId="27" fillId="5" borderId="7" xfId="57" applyNumberFormat="1" applyFont="1" applyFill="1" applyBorder="1" applyAlignment="1">
      <alignment horizontal="center" vertical="center"/>
    </xf>
    <xf numFmtId="49" fontId="27" fillId="5" borderId="33" xfId="57" applyNumberFormat="1" applyFont="1" applyFill="1" applyBorder="1" applyAlignment="1">
      <alignment horizontal="center" vertical="center"/>
    </xf>
    <xf numFmtId="0" fontId="27" fillId="5" borderId="14" xfId="57" applyFont="1" applyFill="1" applyBorder="1" applyAlignment="1">
      <alignment horizontal="center" vertical="center" wrapText="1"/>
    </xf>
    <xf numFmtId="0" fontId="143" fillId="17" borderId="15" xfId="257" applyFont="1" applyFill="1" applyBorder="1" applyAlignment="1">
      <alignment horizontal="center" vertical="center" wrapText="1"/>
    </xf>
    <xf numFmtId="0" fontId="143" fillId="17" borderId="14" xfId="257" applyFont="1" applyFill="1" applyBorder="1" applyAlignment="1">
      <alignment horizontal="center" vertical="center" wrapText="1"/>
    </xf>
    <xf numFmtId="0" fontId="143" fillId="17" borderId="18" xfId="257" applyFont="1" applyFill="1" applyBorder="1" applyAlignment="1">
      <alignment horizontal="center" vertical="center" wrapText="1"/>
    </xf>
    <xf numFmtId="0" fontId="143" fillId="18" borderId="15" xfId="257" applyFont="1" applyFill="1" applyBorder="1" applyAlignment="1">
      <alignment horizontal="center" vertical="center" wrapText="1"/>
    </xf>
    <xf numFmtId="0" fontId="143" fillId="18" borderId="14" xfId="257" applyFont="1" applyFill="1" applyBorder="1" applyAlignment="1">
      <alignment horizontal="center" vertical="center" wrapText="1"/>
    </xf>
    <xf numFmtId="0" fontId="143" fillId="18" borderId="18" xfId="257" applyFont="1" applyFill="1" applyBorder="1" applyAlignment="1">
      <alignment horizontal="center" vertical="center" wrapText="1"/>
    </xf>
    <xf numFmtId="0" fontId="143" fillId="17" borderId="9" xfId="254" applyFont="1" applyFill="1" applyBorder="1" applyAlignment="1">
      <alignment horizontal="center" vertical="center" wrapText="1"/>
    </xf>
    <xf numFmtId="0" fontId="143" fillId="17" borderId="0" xfId="254" applyFont="1" applyFill="1" applyAlignment="1">
      <alignment horizontal="center" vertical="center" wrapText="1"/>
    </xf>
    <xf numFmtId="0" fontId="143" fillId="17" borderId="31" xfId="254" applyFont="1" applyFill="1" applyBorder="1" applyAlignment="1">
      <alignment horizontal="center" vertical="center" wrapText="1"/>
    </xf>
    <xf numFmtId="0" fontId="143" fillId="18" borderId="9" xfId="254" applyFont="1" applyFill="1" applyBorder="1" applyAlignment="1">
      <alignment horizontal="center" vertical="center" wrapText="1"/>
    </xf>
    <xf numFmtId="0" fontId="143" fillId="18" borderId="0" xfId="254" applyFont="1" applyFill="1" applyAlignment="1">
      <alignment horizontal="center" vertical="center" wrapText="1"/>
    </xf>
    <xf numFmtId="0" fontId="143" fillId="18" borderId="31" xfId="254" applyFont="1" applyFill="1" applyBorder="1" applyAlignment="1">
      <alignment horizontal="center" vertical="center" wrapText="1"/>
    </xf>
    <xf numFmtId="17" fontId="102" fillId="14" borderId="5" xfId="45" applyNumberFormat="1" applyFont="1" applyFill="1" applyBorder="1" applyAlignment="1">
      <alignment horizontal="center" vertical="center"/>
    </xf>
    <xf numFmtId="0" fontId="134" fillId="0" borderId="186" xfId="0" applyFont="1" applyBorder="1" applyAlignment="1">
      <alignment horizontal="center" vertical="center"/>
    </xf>
    <xf numFmtId="0" fontId="133" fillId="0" borderId="188" xfId="0" applyFont="1" applyBorder="1"/>
    <xf numFmtId="0" fontId="133" fillId="0" borderId="189" xfId="0" applyFont="1" applyBorder="1"/>
    <xf numFmtId="0" fontId="113" fillId="0" borderId="14" xfId="0" applyFont="1" applyBorder="1" applyAlignment="1">
      <alignment horizontal="center" vertical="center" wrapText="1"/>
    </xf>
    <xf numFmtId="0" fontId="133" fillId="0" borderId="14" xfId="0" applyFont="1" applyBorder="1"/>
    <xf numFmtId="0" fontId="134" fillId="0" borderId="188" xfId="0" applyFont="1" applyBorder="1" applyAlignment="1">
      <alignment horizontal="center" vertical="center"/>
    </xf>
    <xf numFmtId="0" fontId="134" fillId="0" borderId="189" xfId="0" applyFont="1" applyBorder="1" applyAlignment="1">
      <alignment horizontal="center" vertical="center"/>
    </xf>
    <xf numFmtId="0" fontId="134" fillId="0" borderId="225" xfId="0" applyFont="1" applyBorder="1" applyAlignment="1">
      <alignment horizontal="center" vertical="center"/>
    </xf>
    <xf numFmtId="0" fontId="134" fillId="0" borderId="226" xfId="0" applyFont="1" applyBorder="1" applyAlignment="1">
      <alignment horizontal="center" vertical="center"/>
    </xf>
    <xf numFmtId="0" fontId="134" fillId="0" borderId="227" xfId="0" applyFont="1" applyBorder="1" applyAlignment="1">
      <alignment horizontal="center" vertical="center"/>
    </xf>
    <xf numFmtId="0" fontId="113" fillId="0" borderId="88" xfId="0" applyFont="1" applyBorder="1" applyAlignment="1">
      <alignment horizontal="center" vertical="center" wrapText="1"/>
    </xf>
    <xf numFmtId="0" fontId="134" fillId="0" borderId="89" xfId="0" applyFont="1" applyBorder="1" applyAlignment="1">
      <alignment horizontal="center" vertical="center"/>
    </xf>
    <xf numFmtId="0" fontId="133" fillId="0" borderId="117" xfId="0" applyFont="1" applyBorder="1"/>
    <xf numFmtId="0" fontId="133" fillId="0" borderId="91" xfId="0" applyFont="1" applyBorder="1"/>
    <xf numFmtId="0" fontId="113" fillId="0" borderId="190" xfId="0" applyFont="1" applyBorder="1" applyAlignment="1">
      <alignment horizontal="left" vertical="center"/>
    </xf>
    <xf numFmtId="0" fontId="133" fillId="0" borderId="191" xfId="0" applyFont="1" applyBorder="1"/>
    <xf numFmtId="0" fontId="133" fillId="0" borderId="186" xfId="0" applyFont="1" applyBorder="1"/>
  </cellXfs>
  <cellStyles count="269">
    <cellStyle name="ARIAL" xfId="37" xr:uid="{00000000-0005-0000-0000-000000000000}"/>
    <cellStyle name="Comma" xfId="1" xr:uid="{00000000-0005-0000-0000-000001000000}"/>
    <cellStyle name="Comma [0]" xfId="88" xr:uid="{00000000-0005-0000-0000-000002000000}"/>
    <cellStyle name="Comma [0] 2" xfId="138" xr:uid="{00000000-0005-0000-0000-000003000000}"/>
    <cellStyle name="Comma [0] 2 2" xfId="198" xr:uid="{00000000-0005-0000-0000-000004000000}"/>
    <cellStyle name="Comma [0] 3" xfId="155" xr:uid="{00000000-0005-0000-0000-000005000000}"/>
    <cellStyle name="Comma 2" xfId="87" xr:uid="{00000000-0005-0000-0000-000006000000}"/>
    <cellStyle name="Comma 2 2" xfId="137" xr:uid="{00000000-0005-0000-0000-000007000000}"/>
    <cellStyle name="Comma 2 2 2" xfId="197" xr:uid="{00000000-0005-0000-0000-000008000000}"/>
    <cellStyle name="Comma 2 3" xfId="154" xr:uid="{00000000-0005-0000-0000-000009000000}"/>
    <cellStyle name="Comma0" xfId="2" xr:uid="{00000000-0005-0000-0000-00000A000000}"/>
    <cellStyle name="Currency" xfId="3" xr:uid="{00000000-0005-0000-0000-00000B000000}"/>
    <cellStyle name="Currency [0]" xfId="86" xr:uid="{00000000-0005-0000-0000-00000C000000}"/>
    <cellStyle name="Currency [0] 2" xfId="136" xr:uid="{00000000-0005-0000-0000-00000D000000}"/>
    <cellStyle name="Currency [0] 2 2" xfId="196" xr:uid="{00000000-0005-0000-0000-00000E000000}"/>
    <cellStyle name="Currency [0] 3" xfId="153" xr:uid="{00000000-0005-0000-0000-00000F000000}"/>
    <cellStyle name="Currency 2" xfId="85" xr:uid="{00000000-0005-0000-0000-000010000000}"/>
    <cellStyle name="Currency 2 2" xfId="135" xr:uid="{00000000-0005-0000-0000-000011000000}"/>
    <cellStyle name="Currency 2 2 2" xfId="195" xr:uid="{00000000-0005-0000-0000-000012000000}"/>
    <cellStyle name="Currency 2 3" xfId="152" xr:uid="{00000000-0005-0000-0000-000013000000}"/>
    <cellStyle name="Currency0" xfId="4" xr:uid="{00000000-0005-0000-0000-000014000000}"/>
    <cellStyle name="Date" xfId="5" xr:uid="{00000000-0005-0000-0000-000015000000}"/>
    <cellStyle name="Euro" xfId="6" xr:uid="{00000000-0005-0000-0000-000016000000}"/>
    <cellStyle name="Euro 2" xfId="89" xr:uid="{00000000-0005-0000-0000-000017000000}"/>
    <cellStyle name="Fixed" xfId="7" xr:uid="{00000000-0005-0000-0000-000018000000}"/>
    <cellStyle name="Heading 1" xfId="8" xr:uid="{00000000-0005-0000-0000-000019000000}"/>
    <cellStyle name="Heading 2" xfId="9" xr:uid="{00000000-0005-0000-0000-00001A000000}"/>
    <cellStyle name="Hiperlink" xfId="215" builtinId="8"/>
    <cellStyle name="Hiperlink 2" xfId="212" xr:uid="{00000000-0005-0000-0000-00001C000000}"/>
    <cellStyle name="M S SANS SERIF" xfId="38" xr:uid="{00000000-0005-0000-0000-00001D000000}"/>
    <cellStyle name="M S SANS SERIF 2" xfId="107" xr:uid="{00000000-0005-0000-0000-00001E000000}"/>
    <cellStyle name="Moeda" xfId="237" builtinId="4"/>
    <cellStyle name="Moeda 12" xfId="255" xr:uid="{00000000-0005-0000-0000-000020000000}"/>
    <cellStyle name="Moeda 12 2" xfId="258" xr:uid="{00000000-0005-0000-0000-000021000000}"/>
    <cellStyle name="Moeda 2" xfId="214" xr:uid="{00000000-0005-0000-0000-000022000000}"/>
    <cellStyle name="Moeda 2 2" xfId="248" xr:uid="{00000000-0005-0000-0000-000023000000}"/>
    <cellStyle name="Moeda 2 3" xfId="263" xr:uid="{00000000-0005-0000-0000-000024000000}"/>
    <cellStyle name="Moeda 3" xfId="222" xr:uid="{00000000-0005-0000-0000-000025000000}"/>
    <cellStyle name="Moeda 4" xfId="226" xr:uid="{00000000-0005-0000-0000-000026000000}"/>
    <cellStyle name="Moeda 5" xfId="230" xr:uid="{00000000-0005-0000-0000-000027000000}"/>
    <cellStyle name="Moeda 6" xfId="234" xr:uid="{00000000-0005-0000-0000-000028000000}"/>
    <cellStyle name="Moeda 7" xfId="242" xr:uid="{00000000-0005-0000-0000-000029000000}"/>
    <cellStyle name="Moeda 8" xfId="249" xr:uid="{00000000-0005-0000-0000-00002A000000}"/>
    <cellStyle name="Moeda 8 2" xfId="266" xr:uid="{00000000-0005-0000-0000-00002B000000}"/>
    <cellStyle name="Normal" xfId="0" builtinId="0"/>
    <cellStyle name="Normal 10" xfId="45" xr:uid="{00000000-0005-0000-0000-00002D000000}"/>
    <cellStyle name="Normal 10 2" xfId="200" xr:uid="{00000000-0005-0000-0000-00002E000000}"/>
    <cellStyle name="Normal 11" xfId="48" xr:uid="{00000000-0005-0000-0000-00002F000000}"/>
    <cellStyle name="Normal 11 2" xfId="57" xr:uid="{00000000-0005-0000-0000-000030000000}"/>
    <cellStyle name="Normal 12" xfId="60" xr:uid="{00000000-0005-0000-0000-000031000000}"/>
    <cellStyle name="Normal 12 2" xfId="117" xr:uid="{00000000-0005-0000-0000-000032000000}"/>
    <cellStyle name="Normal 13" xfId="66" xr:uid="{00000000-0005-0000-0000-000033000000}"/>
    <cellStyle name="Normal 13 2" xfId="121" xr:uid="{00000000-0005-0000-0000-000034000000}"/>
    <cellStyle name="Normal 14" xfId="73" xr:uid="{00000000-0005-0000-0000-000035000000}"/>
    <cellStyle name="Normal 14 2" xfId="126" xr:uid="{00000000-0005-0000-0000-000036000000}"/>
    <cellStyle name="Normal 14 2 2" xfId="71" xr:uid="{00000000-0005-0000-0000-000037000000}"/>
    <cellStyle name="Normal 14 2 2 2" xfId="74" xr:uid="{00000000-0005-0000-0000-000038000000}"/>
    <cellStyle name="Normal 14 2 2 2 2" xfId="78" xr:uid="{00000000-0005-0000-0000-000039000000}"/>
    <cellStyle name="Normal 14 2 2 2 2 2" xfId="131" xr:uid="{00000000-0005-0000-0000-00003A000000}"/>
    <cellStyle name="Normal 14 2 2 2 2 2 2" xfId="191" xr:uid="{00000000-0005-0000-0000-00003B000000}"/>
    <cellStyle name="Normal 14 2 2 2 2 3" xfId="149" xr:uid="{00000000-0005-0000-0000-00003C000000}"/>
    <cellStyle name="Normal 14 2 2 2 3" xfId="127" xr:uid="{00000000-0005-0000-0000-00003D000000}"/>
    <cellStyle name="Normal 14 2 2 2 3 2" xfId="187" xr:uid="{00000000-0005-0000-0000-00003E000000}"/>
    <cellStyle name="Normal 14 2 2 2 4" xfId="145" xr:uid="{00000000-0005-0000-0000-00003F000000}"/>
    <cellStyle name="Normal 14 2 2 3" xfId="76" xr:uid="{00000000-0005-0000-0000-000040000000}"/>
    <cellStyle name="Normal 14 2 2 3 2" xfId="129" xr:uid="{00000000-0005-0000-0000-000041000000}"/>
    <cellStyle name="Normal 14 2 2 3 2 2" xfId="189" xr:uid="{00000000-0005-0000-0000-000042000000}"/>
    <cellStyle name="Normal 14 2 2 3 3" xfId="147" xr:uid="{00000000-0005-0000-0000-000043000000}"/>
    <cellStyle name="Normal 14 2 2 4" xfId="124" xr:uid="{00000000-0005-0000-0000-000044000000}"/>
    <cellStyle name="Normal 14 2 2 4 2" xfId="184" xr:uid="{00000000-0005-0000-0000-000045000000}"/>
    <cellStyle name="Normal 14 2 2 5" xfId="142" xr:uid="{00000000-0005-0000-0000-000046000000}"/>
    <cellStyle name="Normal 14 2 3" xfId="186" xr:uid="{00000000-0005-0000-0000-000047000000}"/>
    <cellStyle name="Normal 14 3" xfId="144" xr:uid="{00000000-0005-0000-0000-000048000000}"/>
    <cellStyle name="Normal 15" xfId="209" xr:uid="{00000000-0005-0000-0000-000049000000}"/>
    <cellStyle name="Normal 16" xfId="79" xr:uid="{00000000-0005-0000-0000-00004A000000}"/>
    <cellStyle name="Normal 16 2" xfId="132" xr:uid="{00000000-0005-0000-0000-00004B000000}"/>
    <cellStyle name="Normal 16 2 2" xfId="192" xr:uid="{00000000-0005-0000-0000-00004C000000}"/>
    <cellStyle name="Normal 16 3" xfId="150" xr:uid="{00000000-0005-0000-0000-00004D000000}"/>
    <cellStyle name="Normal 17" xfId="216" xr:uid="{00000000-0005-0000-0000-00004E000000}"/>
    <cellStyle name="Normal 17 2" xfId="264" xr:uid="{00000000-0005-0000-0000-00004F000000}"/>
    <cellStyle name="Normal 18" xfId="219" xr:uid="{00000000-0005-0000-0000-000050000000}"/>
    <cellStyle name="Normal 19" xfId="220" xr:uid="{00000000-0005-0000-0000-000051000000}"/>
    <cellStyle name="Normal 2" xfId="10" xr:uid="{00000000-0005-0000-0000-000052000000}"/>
    <cellStyle name="Normal 2 2" xfId="11" xr:uid="{00000000-0005-0000-0000-000053000000}"/>
    <cellStyle name="Normal 2 2 2" xfId="51" xr:uid="{00000000-0005-0000-0000-000054000000}"/>
    <cellStyle name="Normal 2 2 2 2" xfId="208" xr:uid="{00000000-0005-0000-0000-000055000000}"/>
    <cellStyle name="Normal 2 2 3" xfId="82" xr:uid="{00000000-0005-0000-0000-000056000000}"/>
    <cellStyle name="Normal 2 2 4" xfId="236" xr:uid="{00000000-0005-0000-0000-000057000000}"/>
    <cellStyle name="Normal 2 3" xfId="12" xr:uid="{00000000-0005-0000-0000-000058000000}"/>
    <cellStyle name="Normal 2 4" xfId="69" xr:uid="{00000000-0005-0000-0000-000059000000}"/>
    <cellStyle name="Normal 2 4 3" xfId="205" xr:uid="{00000000-0005-0000-0000-00005A000000}"/>
    <cellStyle name="Normal 2 5" xfId="238" xr:uid="{00000000-0005-0000-0000-00005B000000}"/>
    <cellStyle name="Normal 20" xfId="223" xr:uid="{00000000-0005-0000-0000-00005C000000}"/>
    <cellStyle name="Normal 21" xfId="228" xr:uid="{00000000-0005-0000-0000-00005D000000}"/>
    <cellStyle name="Normal 22" xfId="233" xr:uid="{00000000-0005-0000-0000-00005E000000}"/>
    <cellStyle name="Normal 23" xfId="240" xr:uid="{00000000-0005-0000-0000-00005F000000}"/>
    <cellStyle name="Normal 24" xfId="241" xr:uid="{00000000-0005-0000-0000-000060000000}"/>
    <cellStyle name="Normal 25" xfId="251" xr:uid="{00000000-0005-0000-0000-000061000000}"/>
    <cellStyle name="Normal 26" xfId="253" xr:uid="{00000000-0005-0000-0000-000062000000}"/>
    <cellStyle name="Normal 27" xfId="260" xr:uid="{00000000-0005-0000-0000-000063000000}"/>
    <cellStyle name="Normal 3" xfId="13" xr:uid="{00000000-0005-0000-0000-000064000000}"/>
    <cellStyle name="Normal 3 2" xfId="14" xr:uid="{00000000-0005-0000-0000-000065000000}"/>
    <cellStyle name="Normal 3 3" xfId="67" xr:uid="{00000000-0005-0000-0000-000066000000}"/>
    <cellStyle name="Normal 3 3 2" xfId="122" xr:uid="{00000000-0005-0000-0000-000067000000}"/>
    <cellStyle name="Normal 3 3 2 2" xfId="183" xr:uid="{00000000-0005-0000-0000-000068000000}"/>
    <cellStyle name="Normal 3 3 3" xfId="141" xr:uid="{00000000-0005-0000-0000-000069000000}"/>
    <cellStyle name="Normal 3 4" xfId="81" xr:uid="{00000000-0005-0000-0000-00006A000000}"/>
    <cellStyle name="Normal 3 5" xfId="90" xr:uid="{00000000-0005-0000-0000-00006B000000}"/>
    <cellStyle name="Normal 32" xfId="254" xr:uid="{00000000-0005-0000-0000-00006C000000}"/>
    <cellStyle name="Normal 32 2" xfId="257" xr:uid="{00000000-0005-0000-0000-00006D000000}"/>
    <cellStyle name="Normal 4" xfId="15" xr:uid="{00000000-0005-0000-0000-00006E000000}"/>
    <cellStyle name="Normal 4 2" xfId="53" xr:uid="{00000000-0005-0000-0000-00006F000000}"/>
    <cellStyle name="Normal 4 3" xfId="213" xr:uid="{00000000-0005-0000-0000-000070000000}"/>
    <cellStyle name="Normal 4 3 2" xfId="246" xr:uid="{00000000-0005-0000-0000-000071000000}"/>
    <cellStyle name="Normal 5" xfId="16" xr:uid="{00000000-0005-0000-0000-000072000000}"/>
    <cellStyle name="Normal 5 2" xfId="17" xr:uid="{00000000-0005-0000-0000-000073000000}"/>
    <cellStyle name="Normal 5 2 2" xfId="65" xr:uid="{00000000-0005-0000-0000-000074000000}"/>
    <cellStyle name="Normal 5 3" xfId="55" xr:uid="{00000000-0005-0000-0000-000075000000}"/>
    <cellStyle name="Normal 6" xfId="18" xr:uid="{00000000-0005-0000-0000-000076000000}"/>
    <cellStyle name="Normal 6 2" xfId="40" xr:uid="{00000000-0005-0000-0000-000077000000}"/>
    <cellStyle name="Normal 6 2 2" xfId="108" xr:uid="{00000000-0005-0000-0000-000078000000}"/>
    <cellStyle name="Normal 6 2 2 2" xfId="171" xr:uid="{00000000-0005-0000-0000-000079000000}"/>
    <cellStyle name="Normal 6 2 3" xfId="140" xr:uid="{00000000-0005-0000-0000-00007A000000}"/>
    <cellStyle name="Normal 6 3" xfId="68" xr:uid="{00000000-0005-0000-0000-00007B000000}"/>
    <cellStyle name="Normal 6 4" xfId="91" xr:uid="{00000000-0005-0000-0000-00007C000000}"/>
    <cellStyle name="Normal 6 4 2" xfId="156" xr:uid="{00000000-0005-0000-0000-00007D000000}"/>
    <cellStyle name="Normal 6 5" xfId="139" xr:uid="{00000000-0005-0000-0000-00007E000000}"/>
    <cellStyle name="Normal 7" xfId="36" xr:uid="{00000000-0005-0000-0000-00007F000000}"/>
    <cellStyle name="Normal 7 2" xfId="231" xr:uid="{00000000-0005-0000-0000-000080000000}"/>
    <cellStyle name="Normal 8" xfId="41" xr:uid="{00000000-0005-0000-0000-000081000000}"/>
    <cellStyle name="Normal 8 4" xfId="206" xr:uid="{00000000-0005-0000-0000-000082000000}"/>
    <cellStyle name="Normal 9" xfId="43" xr:uid="{00000000-0005-0000-0000-000083000000}"/>
    <cellStyle name="Normal 9 2" xfId="64" xr:uid="{00000000-0005-0000-0000-000084000000}"/>
    <cellStyle name="Normal 9 3" xfId="224" xr:uid="{00000000-0005-0000-0000-000085000000}"/>
    <cellStyle name="Normal 9 4" xfId="243" xr:uid="{00000000-0005-0000-0000-000086000000}"/>
    <cellStyle name="Normal_00_Classes" xfId="47" xr:uid="{00000000-0005-0000-0000-000087000000}"/>
    <cellStyle name="Normal_LD_estrutura_arm_escadas" xfId="58" xr:uid="{00000000-0005-0000-0000-000088000000}"/>
    <cellStyle name="Percent" xfId="19" xr:uid="{00000000-0005-0000-0000-000089000000}"/>
    <cellStyle name="Percent 2" xfId="84" xr:uid="{00000000-0005-0000-0000-00008A000000}"/>
    <cellStyle name="planilhas" xfId="39" xr:uid="{00000000-0005-0000-0000-00008B000000}"/>
    <cellStyle name="Porcentagem" xfId="70" builtinId="5"/>
    <cellStyle name="Porcentagem 2" xfId="20" xr:uid="{00000000-0005-0000-0000-00008D000000}"/>
    <cellStyle name="Porcentagem 2 2" xfId="92" xr:uid="{00000000-0005-0000-0000-00008E000000}"/>
    <cellStyle name="Porcentagem 2 3" xfId="203" xr:uid="{00000000-0005-0000-0000-00008F000000}"/>
    <cellStyle name="Porcentagem 3" xfId="59" xr:uid="{00000000-0005-0000-0000-000090000000}"/>
    <cellStyle name="Porcentagem 4" xfId="123" xr:uid="{00000000-0005-0000-0000-000091000000}"/>
    <cellStyle name="Porcentagem 5" xfId="210" xr:uid="{00000000-0005-0000-0000-000092000000}"/>
    <cellStyle name="Porcentagem 6" xfId="218" xr:uid="{00000000-0005-0000-0000-000093000000}"/>
    <cellStyle name="Porcentagem 7" xfId="232" xr:uid="{00000000-0005-0000-0000-000094000000}"/>
    <cellStyle name="Separador de m" xfId="21" xr:uid="{00000000-0005-0000-0000-000095000000}"/>
    <cellStyle name="Separador de milhares 2" xfId="22" xr:uid="{00000000-0005-0000-0000-000096000000}"/>
    <cellStyle name="Separador de milhares 2 2" xfId="23" xr:uid="{00000000-0005-0000-0000-000097000000}"/>
    <cellStyle name="Separador de milhares 2 2 2" xfId="61" xr:uid="{00000000-0005-0000-0000-000098000000}"/>
    <cellStyle name="Separador de milhares 2 2 2 2" xfId="118" xr:uid="{00000000-0005-0000-0000-000099000000}"/>
    <cellStyle name="Separador de milhares 2 2 2 2 2" xfId="180" xr:uid="{00000000-0005-0000-0000-00009A000000}"/>
    <cellStyle name="Separador de milhares 2 2 2 5" xfId="268" xr:uid="{00000000-0005-0000-0000-00009B000000}"/>
    <cellStyle name="Separador de milhares 2 2 3" xfId="94" xr:uid="{00000000-0005-0000-0000-00009C000000}"/>
    <cellStyle name="Separador de milhares 2 2 3 2" xfId="158" xr:uid="{00000000-0005-0000-0000-00009D000000}"/>
    <cellStyle name="Separador de milhares 2 3" xfId="93" xr:uid="{00000000-0005-0000-0000-00009E000000}"/>
    <cellStyle name="Separador de milhares 2 3 2" xfId="157" xr:uid="{00000000-0005-0000-0000-00009F000000}"/>
    <cellStyle name="Separador de milhares 3" xfId="24" xr:uid="{00000000-0005-0000-0000-0000A0000000}"/>
    <cellStyle name="Separador de milhares 3 2" xfId="25" xr:uid="{00000000-0005-0000-0000-0000A1000000}"/>
    <cellStyle name="Separador de milhares 3 2 2" xfId="26" xr:uid="{00000000-0005-0000-0000-0000A2000000}"/>
    <cellStyle name="Separador de milhares 3 2 2 2" xfId="27" xr:uid="{00000000-0005-0000-0000-0000A3000000}"/>
    <cellStyle name="Separador de milhares 3 2 2 2 2" xfId="28" xr:uid="{00000000-0005-0000-0000-0000A4000000}"/>
    <cellStyle name="Separador de milhares 3 2 2 2 2 2" xfId="29" xr:uid="{00000000-0005-0000-0000-0000A5000000}"/>
    <cellStyle name="Separador de milhares 3 2 2 2 2 2 2" xfId="100" xr:uid="{00000000-0005-0000-0000-0000A6000000}"/>
    <cellStyle name="Separador de milhares 3 2 2 2 2 2 2 2" xfId="164" xr:uid="{00000000-0005-0000-0000-0000A7000000}"/>
    <cellStyle name="Separador de milhares 3 2 2 2 2 3" xfId="99" xr:uid="{00000000-0005-0000-0000-0000A8000000}"/>
    <cellStyle name="Separador de milhares 3 2 2 2 2 3 2" xfId="163" xr:uid="{00000000-0005-0000-0000-0000A9000000}"/>
    <cellStyle name="Separador de milhares 3 2 2 2 3" xfId="98" xr:uid="{00000000-0005-0000-0000-0000AA000000}"/>
    <cellStyle name="Separador de milhares 3 2 2 2 3 2" xfId="162" xr:uid="{00000000-0005-0000-0000-0000AB000000}"/>
    <cellStyle name="Separador de milhares 3 2 2 3" xfId="97" xr:uid="{00000000-0005-0000-0000-0000AC000000}"/>
    <cellStyle name="Separador de milhares 3 2 2 3 2" xfId="161" xr:uid="{00000000-0005-0000-0000-0000AD000000}"/>
    <cellStyle name="Separador de milhares 3 2 3" xfId="96" xr:uid="{00000000-0005-0000-0000-0000AE000000}"/>
    <cellStyle name="Separador de milhares 3 2 3 2" xfId="160" xr:uid="{00000000-0005-0000-0000-0000AF000000}"/>
    <cellStyle name="Separador de milhares 3 3" xfId="95" xr:uid="{00000000-0005-0000-0000-0000B0000000}"/>
    <cellStyle name="Separador de milhares 3 3 2" xfId="159" xr:uid="{00000000-0005-0000-0000-0000B1000000}"/>
    <cellStyle name="Separador de milhares 4" xfId="42" xr:uid="{00000000-0005-0000-0000-0000B2000000}"/>
    <cellStyle name="Separador de milhares 4 2" xfId="109" xr:uid="{00000000-0005-0000-0000-0000B3000000}"/>
    <cellStyle name="Separador de milhares 4 2 2" xfId="172" xr:uid="{00000000-0005-0000-0000-0000B4000000}"/>
    <cellStyle name="Separador de milhares 5" xfId="44" xr:uid="{00000000-0005-0000-0000-0000B5000000}"/>
    <cellStyle name="Separador de milhares 5 2" xfId="62" xr:uid="{00000000-0005-0000-0000-0000B6000000}"/>
    <cellStyle name="Separador de milhares 5 2 2" xfId="119" xr:uid="{00000000-0005-0000-0000-0000B7000000}"/>
    <cellStyle name="Separador de milhares 5 2 2 2" xfId="181" xr:uid="{00000000-0005-0000-0000-0000B8000000}"/>
    <cellStyle name="Separador de milhares 5 3" xfId="110" xr:uid="{00000000-0005-0000-0000-0000B9000000}"/>
    <cellStyle name="Separador de milhares 5 3 2" xfId="173" xr:uid="{00000000-0005-0000-0000-0000BA000000}"/>
    <cellStyle name="Separador de milhares 6" xfId="46" xr:uid="{00000000-0005-0000-0000-0000BB000000}"/>
    <cellStyle name="Separador de milhares 6 2" xfId="111" xr:uid="{00000000-0005-0000-0000-0000BC000000}"/>
    <cellStyle name="Separador de milhares 6 2 2" xfId="174" xr:uid="{00000000-0005-0000-0000-0000BD000000}"/>
    <cellStyle name="Vírgula" xfId="30" builtinId="3"/>
    <cellStyle name="Vírgula 10" xfId="101" xr:uid="{00000000-0005-0000-0000-0000BF000000}"/>
    <cellStyle name="Vírgula 10 2" xfId="165" xr:uid="{00000000-0005-0000-0000-0000C0000000}"/>
    <cellStyle name="Vírgula 10 2 2" xfId="72" xr:uid="{00000000-0005-0000-0000-0000C1000000}"/>
    <cellStyle name="Vírgula 10 2 2 2" xfId="75" xr:uid="{00000000-0005-0000-0000-0000C2000000}"/>
    <cellStyle name="Vírgula 10 2 2 2 2" xfId="128" xr:uid="{00000000-0005-0000-0000-0000C3000000}"/>
    <cellStyle name="Vírgula 10 2 2 2 2 2" xfId="188" xr:uid="{00000000-0005-0000-0000-0000C4000000}"/>
    <cellStyle name="Vírgula 10 2 2 2 3" xfId="146" xr:uid="{00000000-0005-0000-0000-0000C5000000}"/>
    <cellStyle name="Vírgula 10 2 2 3" xfId="77" xr:uid="{00000000-0005-0000-0000-0000C6000000}"/>
    <cellStyle name="Vírgula 10 2 2 3 2" xfId="130" xr:uid="{00000000-0005-0000-0000-0000C7000000}"/>
    <cellStyle name="Vírgula 10 2 2 3 2 2" xfId="190" xr:uid="{00000000-0005-0000-0000-0000C8000000}"/>
    <cellStyle name="Vírgula 10 2 2 3 3" xfId="148" xr:uid="{00000000-0005-0000-0000-0000C9000000}"/>
    <cellStyle name="Vírgula 10 2 2 4" xfId="125" xr:uid="{00000000-0005-0000-0000-0000CA000000}"/>
    <cellStyle name="Vírgula 10 2 2 4 2" xfId="185" xr:uid="{00000000-0005-0000-0000-0000CB000000}"/>
    <cellStyle name="Vírgula 10 2 2 5" xfId="143" xr:uid="{00000000-0005-0000-0000-0000CC000000}"/>
    <cellStyle name="Vírgula 11" xfId="211" xr:uid="{00000000-0005-0000-0000-0000CD000000}"/>
    <cellStyle name="Vírgula 12" xfId="217" xr:uid="{00000000-0005-0000-0000-0000CE000000}"/>
    <cellStyle name="Vírgula 12 2" xfId="265" xr:uid="{00000000-0005-0000-0000-0000CF000000}"/>
    <cellStyle name="Vírgula 12 2 2" xfId="267" xr:uid="{00000000-0005-0000-0000-0000D0000000}"/>
    <cellStyle name="Vírgula 13" xfId="221" xr:uid="{00000000-0005-0000-0000-0000D1000000}"/>
    <cellStyle name="Vírgula 14" xfId="225" xr:uid="{00000000-0005-0000-0000-0000D2000000}"/>
    <cellStyle name="Vírgula 15" xfId="229" xr:uid="{00000000-0005-0000-0000-0000D3000000}"/>
    <cellStyle name="Vírgula 16" xfId="202" xr:uid="{00000000-0005-0000-0000-0000D4000000}"/>
    <cellStyle name="Vírgula 17" xfId="235" xr:uid="{00000000-0005-0000-0000-0000D5000000}"/>
    <cellStyle name="Vírgula 18" xfId="239" xr:uid="{00000000-0005-0000-0000-0000D6000000}"/>
    <cellStyle name="Vírgula 19" xfId="245" xr:uid="{00000000-0005-0000-0000-0000D7000000}"/>
    <cellStyle name="Vírgula 2" xfId="31" xr:uid="{00000000-0005-0000-0000-0000D8000000}"/>
    <cellStyle name="Vírgula 2 2" xfId="83" xr:uid="{00000000-0005-0000-0000-0000D9000000}"/>
    <cellStyle name="Vírgula 2 2 2" xfId="134" xr:uid="{00000000-0005-0000-0000-0000DA000000}"/>
    <cellStyle name="Vírgula 2 2 2 2" xfId="194" xr:uid="{00000000-0005-0000-0000-0000DB000000}"/>
    <cellStyle name="Vírgula 2 2 8" xfId="204" xr:uid="{00000000-0005-0000-0000-0000DC000000}"/>
    <cellStyle name="Vírgula 2 3" xfId="102" xr:uid="{00000000-0005-0000-0000-0000DD000000}"/>
    <cellStyle name="Vírgula 2 3 2" xfId="166" xr:uid="{00000000-0005-0000-0000-0000DE000000}"/>
    <cellStyle name="Vírgula 20" xfId="227" xr:uid="{00000000-0005-0000-0000-0000DF000000}"/>
    <cellStyle name="Vírgula 20 2" xfId="244" xr:uid="{00000000-0005-0000-0000-0000E0000000}"/>
    <cellStyle name="Vírgula 21" xfId="252" xr:uid="{00000000-0005-0000-0000-0000E1000000}"/>
    <cellStyle name="Vírgula 22" xfId="261" xr:uid="{00000000-0005-0000-0000-0000E2000000}"/>
    <cellStyle name="Vírgula 27" xfId="256" xr:uid="{00000000-0005-0000-0000-0000E3000000}"/>
    <cellStyle name="Vírgula 27 2" xfId="259" xr:uid="{00000000-0005-0000-0000-0000E4000000}"/>
    <cellStyle name="Vírgula 3" xfId="32" xr:uid="{00000000-0005-0000-0000-0000E5000000}"/>
    <cellStyle name="Vírgula 3 2" xfId="52" xr:uid="{00000000-0005-0000-0000-0000E6000000}"/>
    <cellStyle name="Vírgula 3 2 2" xfId="114" xr:uid="{00000000-0005-0000-0000-0000E7000000}"/>
    <cellStyle name="Vírgula 3 2 2 2" xfId="177" xr:uid="{00000000-0005-0000-0000-0000E8000000}"/>
    <cellStyle name="Vírgula 3 2 9" xfId="201" xr:uid="{00000000-0005-0000-0000-0000E9000000}"/>
    <cellStyle name="Vírgula 3 3" xfId="103" xr:uid="{00000000-0005-0000-0000-0000EA000000}"/>
    <cellStyle name="Vírgula 3 3 2" xfId="167" xr:uid="{00000000-0005-0000-0000-0000EB000000}"/>
    <cellStyle name="Vírgula 3 4" xfId="262" xr:uid="{00000000-0005-0000-0000-0000EC000000}"/>
    <cellStyle name="Vírgula 39" xfId="247" xr:uid="{00000000-0005-0000-0000-0000ED000000}"/>
    <cellStyle name="Vírgula 4" xfId="33" xr:uid="{00000000-0005-0000-0000-0000EE000000}"/>
    <cellStyle name="Vírgula 4 2" xfId="54" xr:uid="{00000000-0005-0000-0000-0000EF000000}"/>
    <cellStyle name="Vírgula 4 2 2" xfId="115" xr:uid="{00000000-0005-0000-0000-0000F0000000}"/>
    <cellStyle name="Vírgula 4 2 2 2" xfId="178" xr:uid="{00000000-0005-0000-0000-0000F1000000}"/>
    <cellStyle name="Vírgula 4 3" xfId="104" xr:uid="{00000000-0005-0000-0000-0000F2000000}"/>
    <cellStyle name="Vírgula 4 3 2" xfId="168" xr:uid="{00000000-0005-0000-0000-0000F3000000}"/>
    <cellStyle name="Vírgula 4 4" xfId="250" xr:uid="{00000000-0005-0000-0000-0000F4000000}"/>
    <cellStyle name="Vírgula 5" xfId="34" xr:uid="{00000000-0005-0000-0000-0000F5000000}"/>
    <cellStyle name="Vírgula 5 2" xfId="105" xr:uid="{00000000-0005-0000-0000-0000F6000000}"/>
    <cellStyle name="Vírgula 5 2 2" xfId="169" xr:uid="{00000000-0005-0000-0000-0000F7000000}"/>
    <cellStyle name="Vírgula 6" xfId="35" xr:uid="{00000000-0005-0000-0000-0000F8000000}"/>
    <cellStyle name="Vírgula 6 2" xfId="56" xr:uid="{00000000-0005-0000-0000-0000F9000000}"/>
    <cellStyle name="Vírgula 6 2 2" xfId="116" xr:uid="{00000000-0005-0000-0000-0000FA000000}"/>
    <cellStyle name="Vírgula 6 2 2 2" xfId="179" xr:uid="{00000000-0005-0000-0000-0000FB000000}"/>
    <cellStyle name="Vírgula 6 3" xfId="106" xr:uid="{00000000-0005-0000-0000-0000FC000000}"/>
    <cellStyle name="Vírgula 6 3 2" xfId="170" xr:uid="{00000000-0005-0000-0000-0000FD000000}"/>
    <cellStyle name="Vírgula 7" xfId="49" xr:uid="{00000000-0005-0000-0000-0000FE000000}"/>
    <cellStyle name="Vírgula 7 2" xfId="63" xr:uid="{00000000-0005-0000-0000-0000FF000000}"/>
    <cellStyle name="Vírgula 7 2 2" xfId="120" xr:uid="{00000000-0005-0000-0000-000000010000}"/>
    <cellStyle name="Vírgula 7 2 2 2" xfId="182" xr:uid="{00000000-0005-0000-0000-000001010000}"/>
    <cellStyle name="Vírgula 7 2 4" xfId="199" xr:uid="{00000000-0005-0000-0000-000002010000}"/>
    <cellStyle name="Vírgula 7 3" xfId="112" xr:uid="{00000000-0005-0000-0000-000003010000}"/>
    <cellStyle name="Vírgula 7 3 2" xfId="175" xr:uid="{00000000-0005-0000-0000-000004010000}"/>
    <cellStyle name="Vírgula 8" xfId="50" xr:uid="{00000000-0005-0000-0000-000005010000}"/>
    <cellStyle name="Vírgula 8 2" xfId="113" xr:uid="{00000000-0005-0000-0000-000006010000}"/>
    <cellStyle name="Vírgula 8 2 2" xfId="176" xr:uid="{00000000-0005-0000-0000-000007010000}"/>
    <cellStyle name="Vírgula 8 5" xfId="207" xr:uid="{00000000-0005-0000-0000-000008010000}"/>
    <cellStyle name="Vírgula 9" xfId="80" xr:uid="{00000000-0005-0000-0000-000009010000}"/>
    <cellStyle name="Vírgula 9 2" xfId="133" xr:uid="{00000000-0005-0000-0000-00000A010000}"/>
    <cellStyle name="Vírgula 9 2 2" xfId="193" xr:uid="{00000000-0005-0000-0000-00000B010000}"/>
    <cellStyle name="Vírgula 9 3" xfId="151" xr:uid="{00000000-0005-0000-0000-00000C010000}"/>
  </cellStyles>
  <dxfs count="7573"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43800"/>
      </font>
    </dxf>
    <dxf>
      <font>
        <b/>
        <i val="0"/>
        <color rgb="FFF43800"/>
      </font>
    </dxf>
    <dxf>
      <font>
        <b/>
        <i val="0"/>
        <color rgb="FF1851D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BFBFBF"/>
    </indexedColors>
    <mruColors>
      <color rgb="FF1851D6"/>
      <color rgb="FFF43800"/>
      <color rgb="FFD23200"/>
      <color rgb="FF29292F"/>
      <color rgb="FF0065B0"/>
      <color rgb="FFB4B4B4"/>
      <color rgb="FF1B1B1F"/>
      <color rgb="FF111113"/>
      <color rgb="FF8DB2DB"/>
      <color rgb="FF2848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4.xml"/><Relationship Id="rId47" Type="http://schemas.openxmlformats.org/officeDocument/2006/relationships/externalLink" Target="externalLinks/externalLink9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externalLink" Target="externalLinks/externalLink7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6.xml"/><Relationship Id="rId52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5.xml"/><Relationship Id="rId48" Type="http://schemas.openxmlformats.org/officeDocument/2006/relationships/externalLink" Target="externalLinks/externalLink10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hyperlink" Target="#Resumo!A1"/></Relationships>
</file>

<file path=xl/drawings/_rels/drawing8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hyperlink" Target="#Resumo!A1"/></Relationships>
</file>

<file path=xl/drawings/_rels/drawing9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hyperlink" Target="#Resumo!A1"/><Relationship Id="rId4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hyperlink" Target="#Resumo!A1"/></Relationships>
</file>

<file path=xl/drawings/_rels/drawing1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hyperlink" Target="#Resumo!A1"/><Relationship Id="rId4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hyperlink" Target="#Resumo!A1"/></Relationships>
</file>

<file path=xl/drawings/_rels/drawing1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hyperlink" Target="#Resumo!A1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image" Target="../media/image16.jpg"/><Relationship Id="rId1" Type="http://schemas.openxmlformats.org/officeDocument/2006/relationships/image" Target="../media/image15.jpeg"/><Relationship Id="rId5" Type="http://schemas.microsoft.com/office/2007/relationships/hdphoto" Target="../media/hdphoto1.wdp"/><Relationship Id="rId4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hyperlink" Target="#Resumo!A1"/></Relationships>
</file>

<file path=xl/drawings/_rels/drawing1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image" Target="../media/image15.jpeg"/><Relationship Id="rId4" Type="http://schemas.openxmlformats.org/officeDocument/2006/relationships/hyperlink" Target="#Resumo!A1"/></Relationships>
</file>

<file path=xl/drawings/_rels/drawing18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hyperlink" Target="#Resumo!A1"/></Relationships>
</file>

<file path=xl/drawings/_rels/drawing19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hyperlink" Target="#Resumo!A1"/></Relationships>
</file>

<file path=xl/drawings/_rels/drawing20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hyperlink" Target="#Resumo!A1"/></Relationships>
</file>

<file path=xl/drawings/_rels/drawing2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hyperlink" Target="#Resumo!A1"/></Relationships>
</file>

<file path=xl/drawings/_rels/drawing2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hyperlink" Target="#Resumo!A1"/></Relationships>
</file>

<file path=xl/drawings/_rels/drawing2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hyperlink" Target="#Resumo!A1"/></Relationships>
</file>

<file path=xl/drawings/_rels/drawing2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hyperlink" Target="#Resumo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microsoft.com/office/2007/relationships/hdphoto" Target="../media/hdphoto1.wdp"/><Relationship Id="rId1" Type="http://schemas.openxmlformats.org/officeDocument/2006/relationships/image" Target="../media/image5.png"/></Relationships>
</file>

<file path=xl/drawings/_rels/drawing26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hyperlink" Target="#Resumo!A1"/></Relationships>
</file>

<file path=xl/drawings/_rels/drawing27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hyperlink" Target="#Resumo!A1"/></Relationships>
</file>

<file path=xl/drawings/_rels/drawing28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hyperlink" Target="#Resumo!A1"/></Relationships>
</file>

<file path=xl/drawings/_rels/drawing29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hyperlink" Target="#Resumo!A1"/></Relationships>
</file>

<file path=xl/drawings/_rels/drawing30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hyperlink" Target="#Resumo!A1"/></Relationships>
</file>

<file path=xl/drawings/_rels/drawing3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hyperlink" Target="#Resumo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hyperlink" Target="#Resumo!A1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hyperlink" Target="#Resumo!A1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Resumo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Resum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97595</xdr:colOff>
      <xdr:row>0</xdr:row>
      <xdr:rowOff>225491</xdr:rowOff>
    </xdr:from>
    <xdr:to>
      <xdr:col>4</xdr:col>
      <xdr:colOff>1525467</xdr:colOff>
      <xdr:row>2</xdr:row>
      <xdr:rowOff>4341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4315" y="225491"/>
          <a:ext cx="1427872" cy="236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93785</xdr:colOff>
      <xdr:row>1</xdr:row>
      <xdr:rowOff>19050</xdr:rowOff>
    </xdr:from>
    <xdr:to>
      <xdr:col>5</xdr:col>
      <xdr:colOff>1948301</xdr:colOff>
      <xdr:row>2</xdr:row>
      <xdr:rowOff>111021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3265" y="247650"/>
          <a:ext cx="1854516" cy="320571"/>
        </a:xfrm>
        <a:prstGeom prst="rect">
          <a:avLst/>
        </a:prstGeom>
      </xdr:spPr>
    </xdr:pic>
    <xdr:clientData/>
  </xdr:twoCellAnchor>
  <xdr:twoCellAnchor editAs="oneCell">
    <xdr:from>
      <xdr:col>6</xdr:col>
      <xdr:colOff>415636</xdr:colOff>
      <xdr:row>8</xdr:row>
      <xdr:rowOff>242455</xdr:rowOff>
    </xdr:from>
    <xdr:to>
      <xdr:col>14</xdr:col>
      <xdr:colOff>13617</xdr:colOff>
      <xdr:row>35</xdr:row>
      <xdr:rowOff>96340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87296" y="1956955"/>
          <a:ext cx="4535741" cy="48373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194871</xdr:colOff>
      <xdr:row>4</xdr:row>
      <xdr:rowOff>15454</xdr:rowOff>
    </xdr:from>
    <xdr:to>
      <xdr:col>11</xdr:col>
      <xdr:colOff>47858</xdr:colOff>
      <xdr:row>20</xdr:row>
      <xdr:rowOff>141234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42731" y="785074"/>
          <a:ext cx="4333547" cy="3143300"/>
        </a:xfrm>
        <a:prstGeom prst="rect">
          <a:avLst/>
        </a:prstGeom>
      </xdr:spPr>
    </xdr:pic>
    <xdr:clientData/>
  </xdr:twoCellAnchor>
  <xdr:twoCellAnchor editAs="oneCell">
    <xdr:from>
      <xdr:col>7</xdr:col>
      <xdr:colOff>210394</xdr:colOff>
      <xdr:row>19</xdr:row>
      <xdr:rowOff>91627</xdr:rowOff>
    </xdr:from>
    <xdr:to>
      <xdr:col>14</xdr:col>
      <xdr:colOff>527642</xdr:colOff>
      <xdr:row>29</xdr:row>
      <xdr:rowOff>180678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58254" y="3695887"/>
          <a:ext cx="8539228" cy="1940711"/>
        </a:xfrm>
        <a:prstGeom prst="rect">
          <a:avLst/>
        </a:prstGeom>
      </xdr:spPr>
    </xdr:pic>
    <xdr:clientData/>
  </xdr:twoCellAnchor>
  <xdr:twoCellAnchor editAs="oneCell">
    <xdr:from>
      <xdr:col>6</xdr:col>
      <xdr:colOff>128323</xdr:colOff>
      <xdr:row>0</xdr:row>
      <xdr:rowOff>169792</xdr:rowOff>
    </xdr:from>
    <xdr:to>
      <xdr:col>6</xdr:col>
      <xdr:colOff>2362200</xdr:colOff>
      <xdr:row>2</xdr:row>
      <xdr:rowOff>34157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0623" y="169792"/>
          <a:ext cx="2233877" cy="230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17930</xdr:rowOff>
    </xdr:from>
    <xdr:to>
      <xdr:col>7</xdr:col>
      <xdr:colOff>8965</xdr:colOff>
      <xdr:row>3</xdr:row>
      <xdr:rowOff>73256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0" y="162710"/>
          <a:ext cx="11416105" cy="3144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latin typeface="Arial" panose="020B0604020202020204" pitchFamily="34" charset="0"/>
              <a:cs typeface="Arial" panose="020B0604020202020204" pitchFamily="34" charset="0"/>
            </a:rPr>
            <a:t>CONTROLE TECNOLÓGICO DE CONCRETO</a:t>
          </a:r>
          <a:r>
            <a:rPr lang="pt-BR" sz="16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pt-BR" sz="1600" b="1">
              <a:latin typeface="Arial" panose="020B0604020202020204" pitchFamily="34" charset="0"/>
              <a:cs typeface="Arial" panose="020B0604020202020204" pitchFamily="34" charset="0"/>
            </a:rPr>
            <a:t> E ENSAIOS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1</xdr:row>
      <xdr:rowOff>95883</xdr:rowOff>
    </xdr:from>
    <xdr:to>
      <xdr:col>15</xdr:col>
      <xdr:colOff>868680</xdr:colOff>
      <xdr:row>2</xdr:row>
      <xdr:rowOff>162558</xdr:rowOff>
    </xdr:to>
    <xdr:sp macro="" textlink="">
      <xdr:nvSpPr>
        <xdr:cNvPr id="446" name="Rectangle 13">
          <a:extLst>
            <a:ext uri="{FF2B5EF4-FFF2-40B4-BE49-F238E27FC236}">
              <a16:creationId xmlns:a16="http://schemas.microsoft.com/office/drawing/2014/main" id="{00000000-0008-0000-0400-0000BE010000}"/>
            </a:ext>
          </a:extLst>
        </xdr:cNvPr>
        <xdr:cNvSpPr>
          <a:spLocks noChangeArrowheads="1"/>
        </xdr:cNvSpPr>
      </xdr:nvSpPr>
      <xdr:spPr bwMode="auto">
        <a:xfrm>
          <a:off x="295487" y="254633"/>
          <a:ext cx="12521776" cy="299508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Tahoma"/>
              <a:cs typeface="Tahoma"/>
            </a:rPr>
            <a:t>PLANILHA DE ORÇAMENTO</a:t>
          </a:r>
        </a:p>
      </xdr:txBody>
    </xdr:sp>
    <xdr:clientData/>
  </xdr:twoCellAnchor>
  <xdr:twoCellAnchor editAs="oneCell">
    <xdr:from>
      <xdr:col>6</xdr:col>
      <xdr:colOff>45720</xdr:colOff>
      <xdr:row>1</xdr:row>
      <xdr:rowOff>91440</xdr:rowOff>
    </xdr:from>
    <xdr:to>
      <xdr:col>7</xdr:col>
      <xdr:colOff>1360400</xdr:colOff>
      <xdr:row>2</xdr:row>
      <xdr:rowOff>143722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37160" y="175260"/>
          <a:ext cx="1607820" cy="274320"/>
        </a:xfrm>
        <a:prstGeom prst="rect">
          <a:avLst/>
        </a:prstGeom>
        <a:ln/>
      </xdr:spPr>
    </xdr:pic>
    <xdr:clientData/>
  </xdr:twoCellAnchor>
  <xdr:twoCellAnchor>
    <xdr:from>
      <xdr:col>9</xdr:col>
      <xdr:colOff>419100</xdr:colOff>
      <xdr:row>1</xdr:row>
      <xdr:rowOff>0</xdr:rowOff>
    </xdr:from>
    <xdr:to>
      <xdr:col>9</xdr:col>
      <xdr:colOff>419100</xdr:colOff>
      <xdr:row>2</xdr:row>
      <xdr:rowOff>228600</xdr:rowOff>
    </xdr:to>
    <xdr:cxnSp macro="">
      <xdr:nvCxnSpPr>
        <xdr:cNvPr id="460" name="Conector reto 459">
          <a:extLst>
            <a:ext uri="{FF2B5EF4-FFF2-40B4-BE49-F238E27FC236}">
              <a16:creationId xmlns:a16="http://schemas.microsoft.com/office/drawing/2014/main" id="{00000000-0008-0000-0400-0000CC010000}"/>
            </a:ext>
          </a:extLst>
        </xdr:cNvPr>
        <xdr:cNvCxnSpPr/>
      </xdr:nvCxnSpPr>
      <xdr:spPr>
        <a:xfrm>
          <a:off x="1783080" y="83820"/>
          <a:ext cx="0" cy="46482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45720</xdr:rowOff>
    </xdr:from>
    <xdr:to>
      <xdr:col>8</xdr:col>
      <xdr:colOff>418998</xdr:colOff>
      <xdr:row>22</xdr:row>
      <xdr:rowOff>132547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20"/>
          <a:ext cx="5295798" cy="37749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45155</xdr:rowOff>
    </xdr:from>
    <xdr:to>
      <xdr:col>15</xdr:col>
      <xdr:colOff>78210</xdr:colOff>
      <xdr:row>44</xdr:row>
      <xdr:rowOff>521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06715"/>
          <a:ext cx="9527010" cy="24699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99060</xdr:rowOff>
    </xdr:from>
    <xdr:to>
      <xdr:col>15</xdr:col>
      <xdr:colOff>75399</xdr:colOff>
      <xdr:row>60</xdr:row>
      <xdr:rowOff>70981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810500"/>
          <a:ext cx="9524199" cy="23188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3617</xdr:rowOff>
    </xdr:from>
    <xdr:to>
      <xdr:col>15</xdr:col>
      <xdr:colOff>342900</xdr:colOff>
      <xdr:row>84</xdr:row>
      <xdr:rowOff>164684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229657"/>
          <a:ext cx="9791700" cy="40167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20</xdr:col>
      <xdr:colOff>411376</xdr:colOff>
      <xdr:row>102</xdr:row>
      <xdr:rowOff>53675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752320"/>
          <a:ext cx="12908176" cy="2400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306028</xdr:colOff>
      <xdr:row>0</xdr:row>
      <xdr:rowOff>182881</xdr:rowOff>
    </xdr:from>
    <xdr:to>
      <xdr:col>12</xdr:col>
      <xdr:colOff>434340</xdr:colOff>
      <xdr:row>2</xdr:row>
      <xdr:rowOff>26671</xdr:rowOff>
    </xdr:to>
    <xdr:sp macro="" textlink="">
      <xdr:nvSpPr>
        <xdr:cNvPr id="2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8459428" y="182881"/>
          <a:ext cx="737912" cy="224790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114300</xdr:rowOff>
    </xdr:from>
    <xdr:to>
      <xdr:col>0</xdr:col>
      <xdr:colOff>1935480</xdr:colOff>
      <xdr:row>2</xdr:row>
      <xdr:rowOff>50800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3500" y="114300"/>
          <a:ext cx="1871980" cy="317500"/>
        </a:xfrm>
        <a:prstGeom prst="rect">
          <a:avLst/>
        </a:prstGeom>
        <a:ln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306028</xdr:colOff>
      <xdr:row>0</xdr:row>
      <xdr:rowOff>182881</xdr:rowOff>
    </xdr:from>
    <xdr:to>
      <xdr:col>8</xdr:col>
      <xdr:colOff>434340</xdr:colOff>
      <xdr:row>2</xdr:row>
      <xdr:rowOff>26671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8459428" y="182881"/>
          <a:ext cx="737912" cy="224790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114300</xdr:rowOff>
    </xdr:from>
    <xdr:to>
      <xdr:col>0</xdr:col>
      <xdr:colOff>1935480</xdr:colOff>
      <xdr:row>2</xdr:row>
      <xdr:rowOff>50800</xdr:rowOff>
    </xdr:to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3500" y="114300"/>
          <a:ext cx="1871980" cy="317500"/>
        </a:xfrm>
        <a:prstGeom prst="rect">
          <a:avLst/>
        </a:prstGeom>
        <a:ln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306028</xdr:colOff>
      <xdr:row>0</xdr:row>
      <xdr:rowOff>182881</xdr:rowOff>
    </xdr:from>
    <xdr:to>
      <xdr:col>12</xdr:col>
      <xdr:colOff>434340</xdr:colOff>
      <xdr:row>2</xdr:row>
      <xdr:rowOff>26671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9570678" y="184151"/>
          <a:ext cx="856022" cy="224790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114300</xdr:rowOff>
    </xdr:from>
    <xdr:to>
      <xdr:col>0</xdr:col>
      <xdr:colOff>1935480</xdr:colOff>
      <xdr:row>2</xdr:row>
      <xdr:rowOff>50800</xdr:rowOff>
    </xdr:to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3500" y="114300"/>
          <a:ext cx="1871980" cy="317500"/>
        </a:xfrm>
        <a:prstGeom prst="rect">
          <a:avLst/>
        </a:prstGeom>
        <a:ln/>
      </xdr:spPr>
    </xdr:pic>
    <xdr:clientData/>
  </xdr:twoCellAnchor>
  <xdr:twoCellAnchor editAs="oneCell">
    <xdr:from>
      <xdr:col>1</xdr:col>
      <xdr:colOff>238125</xdr:colOff>
      <xdr:row>4</xdr:row>
      <xdr:rowOff>104775</xdr:rowOff>
    </xdr:from>
    <xdr:to>
      <xdr:col>9</xdr:col>
      <xdr:colOff>305490</xdr:colOff>
      <xdr:row>39</xdr:row>
      <xdr:rowOff>19829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95525" y="933450"/>
          <a:ext cx="4944165" cy="558242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452600</xdr:colOff>
      <xdr:row>0</xdr:row>
      <xdr:rowOff>144780</xdr:rowOff>
    </xdr:from>
    <xdr:to>
      <xdr:col>4</xdr:col>
      <xdr:colOff>1251921</xdr:colOff>
      <xdr:row>2</xdr:row>
      <xdr:rowOff>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8865080" y="144780"/>
          <a:ext cx="799321" cy="236220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53340</xdr:colOff>
      <xdr:row>0</xdr:row>
      <xdr:rowOff>106680</xdr:rowOff>
    </xdr:from>
    <xdr:to>
      <xdr:col>0</xdr:col>
      <xdr:colOff>1920240</xdr:colOff>
      <xdr:row>2</xdr:row>
      <xdr:rowOff>45720</xdr:rowOff>
    </xdr:to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53340" y="106680"/>
          <a:ext cx="1866900" cy="320040"/>
        </a:xfrm>
        <a:prstGeom prst="rect">
          <a:avLst/>
        </a:prstGeom>
        <a:ln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306028</xdr:colOff>
      <xdr:row>0</xdr:row>
      <xdr:rowOff>182881</xdr:rowOff>
    </xdr:from>
    <xdr:to>
      <xdr:col>12</xdr:col>
      <xdr:colOff>434340</xdr:colOff>
      <xdr:row>2</xdr:row>
      <xdr:rowOff>26671</xdr:rowOff>
    </xdr:to>
    <xdr:sp macro="" textlink="">
      <xdr:nvSpPr>
        <xdr:cNvPr id="10" name="Retângulo: Cantos Arredondado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>
          <a:off x="10455868" y="182881"/>
          <a:ext cx="859832" cy="240030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114300</xdr:rowOff>
    </xdr:from>
    <xdr:to>
      <xdr:col>0</xdr:col>
      <xdr:colOff>1920875</xdr:colOff>
      <xdr:row>2</xdr:row>
      <xdr:rowOff>50800</xdr:rowOff>
    </xdr:to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0960" y="114300"/>
          <a:ext cx="1866900" cy="32004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0</xdr:colOff>
      <xdr:row>214</xdr:row>
      <xdr:rowOff>60960</xdr:rowOff>
    </xdr:from>
    <xdr:to>
      <xdr:col>20</xdr:col>
      <xdr:colOff>589582</xdr:colOff>
      <xdr:row>269</xdr:row>
      <xdr:rowOff>64494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860000"/>
          <a:ext cx="15813707" cy="712569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198120</xdr:colOff>
      <xdr:row>0</xdr:row>
      <xdr:rowOff>198119</xdr:rowOff>
    </xdr:from>
    <xdr:to>
      <xdr:col>14</xdr:col>
      <xdr:colOff>441960</xdr:colOff>
      <xdr:row>2</xdr:row>
      <xdr:rowOff>22860</xdr:rowOff>
    </xdr:to>
    <xdr:sp macro="" textlink="">
      <xdr:nvSpPr>
        <xdr:cNvPr id="11" name="Retângulo: Cantos Arredondado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/>
      </xdr:nvSpPr>
      <xdr:spPr>
        <a:xfrm>
          <a:off x="9334500" y="198119"/>
          <a:ext cx="800100" cy="220981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114300</xdr:rowOff>
    </xdr:from>
    <xdr:to>
      <xdr:col>1</xdr:col>
      <xdr:colOff>3810</xdr:colOff>
      <xdr:row>2</xdr:row>
      <xdr:rowOff>53340</xdr:rowOff>
    </xdr:to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0960" y="114300"/>
          <a:ext cx="1866900" cy="320040"/>
        </a:xfrm>
        <a:prstGeom prst="rect">
          <a:avLst/>
        </a:prstGeom>
        <a:ln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306028</xdr:colOff>
      <xdr:row>0</xdr:row>
      <xdr:rowOff>182881</xdr:rowOff>
    </xdr:from>
    <xdr:to>
      <xdr:col>17</xdr:col>
      <xdr:colOff>434340</xdr:colOff>
      <xdr:row>2</xdr:row>
      <xdr:rowOff>26671</xdr:rowOff>
    </xdr:to>
    <xdr:sp macro="" textlink="">
      <xdr:nvSpPr>
        <xdr:cNvPr id="2" name="Retângulo: Cantos Arredondado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10583503" y="182881"/>
          <a:ext cx="909362" cy="224790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108585</xdr:colOff>
      <xdr:row>0</xdr:row>
      <xdr:rowOff>114300</xdr:rowOff>
    </xdr:from>
    <xdr:to>
      <xdr:col>1</xdr:col>
      <xdr:colOff>220504</xdr:colOff>
      <xdr:row>2</xdr:row>
      <xdr:rowOff>53340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08585" y="114300"/>
          <a:ext cx="1866900" cy="320040"/>
        </a:xfrm>
        <a:prstGeom prst="rect">
          <a:avLst/>
        </a:prstGeom>
        <a:ln/>
      </xdr:spPr>
    </xdr:pic>
    <xdr:clientData/>
  </xdr:twoCellAnchor>
  <xdr:twoCellAnchor editAs="oneCell">
    <xdr:from>
      <xdr:col>3</xdr:col>
      <xdr:colOff>59531</xdr:colOff>
      <xdr:row>17</xdr:row>
      <xdr:rowOff>130967</xdr:rowOff>
    </xdr:from>
    <xdr:to>
      <xdr:col>5</xdr:col>
      <xdr:colOff>835219</xdr:colOff>
      <xdr:row>30</xdr:row>
      <xdr:rowOff>83344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12344" y="3821905"/>
          <a:ext cx="2728313" cy="211931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29</xdr:row>
      <xdr:rowOff>130970</xdr:rowOff>
    </xdr:from>
    <xdr:to>
      <xdr:col>6</xdr:col>
      <xdr:colOff>932111</xdr:colOff>
      <xdr:row>80</xdr:row>
      <xdr:rowOff>51182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625" y="5822158"/>
          <a:ext cx="7468642" cy="84212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37</xdr:row>
      <xdr:rowOff>76200</xdr:rowOff>
    </xdr:from>
    <xdr:to>
      <xdr:col>5</xdr:col>
      <xdr:colOff>0</xdr:colOff>
      <xdr:row>38</xdr:row>
      <xdr:rowOff>123825</xdr:rowOff>
    </xdr:to>
    <xdr:sp macro="" textlink="">
      <xdr:nvSpPr>
        <xdr:cNvPr id="2" name="Text Box 1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5295900" y="4257675"/>
          <a:ext cx="5048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pt-BR"/>
        </a:p>
      </xdr:txBody>
    </xdr:sp>
    <xdr:clientData/>
  </xdr:twoCellAnchor>
  <xdr:twoCellAnchor>
    <xdr:from>
      <xdr:col>4</xdr:col>
      <xdr:colOff>92074</xdr:colOff>
      <xdr:row>37</xdr:row>
      <xdr:rowOff>61384</xdr:rowOff>
    </xdr:from>
    <xdr:to>
      <xdr:col>11</xdr:col>
      <xdr:colOff>519641</xdr:colOff>
      <xdr:row>43</xdr:row>
      <xdr:rowOff>45509</xdr:rowOff>
    </xdr:to>
    <xdr:grpSp>
      <xdr:nvGrpSpPr>
        <xdr:cNvPr id="3" name="Group 39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pSpPr>
          <a:grpSpLocks/>
        </xdr:cNvGrpSpPr>
      </xdr:nvGrpSpPr>
      <xdr:grpSpPr bwMode="auto">
        <a:xfrm>
          <a:off x="2530474" y="7062259"/>
          <a:ext cx="5485342" cy="841375"/>
          <a:chOff x="235" y="634"/>
          <a:chExt cx="393" cy="87"/>
        </a:xfrm>
      </xdr:grpSpPr>
      <xdr:sp macro="" textlink="">
        <xdr:nvSpPr>
          <xdr:cNvPr id="4" name="Text Box 11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2" y="702"/>
            <a:ext cx="55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27432" bIns="32004" anchor="ctr" upright="1"/>
          <a:lstStyle/>
          <a:p>
            <a:pPr algn="ctr" rtl="0">
              <a:defRPr sz="1000"/>
            </a:pPr>
            <a:r>
              <a:rPr lang="pt-BR" sz="1000" b="1" i="0" u="none" strike="noStrike" baseline="0">
                <a:solidFill>
                  <a:srgbClr val="000000"/>
                </a:solidFill>
                <a:latin typeface="Trebuchet MS"/>
              </a:rPr>
              <a:t>C</a:t>
            </a:r>
            <a:endParaRPr lang="pt-BR"/>
          </a:p>
        </xdr:txBody>
      </xdr:sp>
      <xdr:sp macro="" textlink="">
        <xdr:nvSpPr>
          <xdr:cNvPr id="5" name="Text Box 13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5" y="670"/>
            <a:ext cx="55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27432" bIns="32004" anchor="ctr" upright="1"/>
          <a:lstStyle/>
          <a:p>
            <a:pPr algn="ctr" rtl="0">
              <a:defRPr sz="1000"/>
            </a:pPr>
            <a:r>
              <a:rPr lang="pt-BR" sz="1000" b="1" i="0" u="none" strike="noStrike" baseline="0">
                <a:solidFill>
                  <a:srgbClr val="000000"/>
                </a:solidFill>
                <a:latin typeface="Trebuchet MS"/>
              </a:rPr>
              <a:t>B</a:t>
            </a:r>
            <a:endParaRPr lang="pt-BR"/>
          </a:p>
        </xdr:txBody>
      </xdr:sp>
      <xdr:sp macro="" textlink="">
        <xdr:nvSpPr>
          <xdr:cNvPr id="6" name="AutoShape 34" descr="Papel jornal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279" y="634"/>
            <a:ext cx="299" cy="66"/>
          </a:xfrm>
          <a:prstGeom prst="cube">
            <a:avLst>
              <a:gd name="adj" fmla="val 34616"/>
            </a:avLst>
          </a:prstGeom>
          <a:blipFill dpi="0" rotWithShape="0">
            <a:blip xmlns:r="http://schemas.openxmlformats.org/officeDocument/2006/relationships" r:embed="rId1" cstate="print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Text Box 35">
            <a:extLst>
              <a:ext uri="{FF2B5EF4-FFF2-40B4-BE49-F238E27FC236}">
                <a16:creationId xmlns:a16="http://schemas.microsoft.com/office/drawing/2014/main" id="{00000000-0008-0000-0D00-00000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73" y="681"/>
            <a:ext cx="55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27432" bIns="32004" anchor="ctr" upright="1"/>
          <a:lstStyle/>
          <a:p>
            <a:pPr algn="ctr" rtl="0">
              <a:defRPr sz="1000"/>
            </a:pPr>
            <a:r>
              <a:rPr lang="pt-BR" sz="1000" b="1" i="0" u="none" strike="noStrike" baseline="0">
                <a:solidFill>
                  <a:srgbClr val="000000"/>
                </a:solidFill>
                <a:latin typeface="Trebuchet MS"/>
              </a:rPr>
              <a:t>A</a:t>
            </a:r>
            <a:endParaRPr lang="pt-BR"/>
          </a:p>
        </xdr:txBody>
      </xdr:sp>
    </xdr:grpSp>
    <xdr:clientData/>
  </xdr:twoCellAnchor>
  <xdr:oneCellAnchor>
    <xdr:from>
      <xdr:col>10</xdr:col>
      <xdr:colOff>402167</xdr:colOff>
      <xdr:row>59</xdr:row>
      <xdr:rowOff>84666</xdr:rowOff>
    </xdr:from>
    <xdr:ext cx="2428875" cy="2381250"/>
    <xdr:pic>
      <xdr:nvPicPr>
        <xdr:cNvPr id="13" name="image1.jpg" descr="Bloco Estrutural de 3 estacas, como orçar? - Engenheiro de Custos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140027" y="15804726"/>
          <a:ext cx="2428875" cy="2381250"/>
        </a:xfrm>
        <a:prstGeom prst="rect">
          <a:avLst/>
        </a:prstGeom>
        <a:noFill/>
      </xdr:spPr>
    </xdr:pic>
    <xdr:clientData fLocksWithSheet="0"/>
  </xdr:oneCellAnchor>
  <xdr:twoCellAnchor>
    <xdr:from>
      <xdr:col>18</xdr:col>
      <xdr:colOff>280630</xdr:colOff>
      <xdr:row>0</xdr:row>
      <xdr:rowOff>165947</xdr:rowOff>
    </xdr:from>
    <xdr:to>
      <xdr:col>20</xdr:col>
      <xdr:colOff>510542</xdr:colOff>
      <xdr:row>2</xdr:row>
      <xdr:rowOff>9737</xdr:rowOff>
    </xdr:to>
    <xdr:sp macro="" textlink="">
      <xdr:nvSpPr>
        <xdr:cNvPr id="21" name="Retângulo: Cantos Arredondados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/>
      </xdr:nvSpPr>
      <xdr:spPr>
        <a:xfrm>
          <a:off x="11761430" y="165947"/>
          <a:ext cx="856445" cy="233257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114300</xdr:rowOff>
    </xdr:from>
    <xdr:to>
      <xdr:col>2</xdr:col>
      <xdr:colOff>453813</xdr:colOff>
      <xdr:row>2</xdr:row>
      <xdr:rowOff>72813</xdr:rowOff>
    </xdr:to>
    <xdr:pic>
      <xdr:nvPicPr>
        <xdr:cNvPr id="23" name="image3.png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0960" y="114300"/>
          <a:ext cx="1860973" cy="326813"/>
        </a:xfrm>
        <a:prstGeom prst="rect">
          <a:avLst/>
        </a:prstGeom>
        <a:ln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198120</xdr:colOff>
      <xdr:row>0</xdr:row>
      <xdr:rowOff>198119</xdr:rowOff>
    </xdr:from>
    <xdr:to>
      <xdr:col>14</xdr:col>
      <xdr:colOff>441960</xdr:colOff>
      <xdr:row>2</xdr:row>
      <xdr:rowOff>22860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8968740" y="190499"/>
          <a:ext cx="800100" cy="213361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114300</xdr:rowOff>
    </xdr:from>
    <xdr:to>
      <xdr:col>0</xdr:col>
      <xdr:colOff>1927860</xdr:colOff>
      <xdr:row>2</xdr:row>
      <xdr:rowOff>53340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0960" y="114300"/>
          <a:ext cx="1866900" cy="320040"/>
        </a:xfrm>
        <a:prstGeom prst="rect">
          <a:avLst/>
        </a:prstGeom>
        <a:ln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35171</xdr:colOff>
      <xdr:row>0</xdr:row>
      <xdr:rowOff>70339</xdr:rowOff>
    </xdr:from>
    <xdr:to>
      <xdr:col>1</xdr:col>
      <xdr:colOff>187571</xdr:colOff>
      <xdr:row>0</xdr:row>
      <xdr:rowOff>187570</xdr:rowOff>
    </xdr:to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35171" y="70339"/>
          <a:ext cx="709246" cy="117231"/>
        </a:xfrm>
        <a:prstGeom prst="rect">
          <a:avLst/>
        </a:prstGeom>
        <a:ln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428625</xdr:colOff>
      <xdr:row>72</xdr:row>
      <xdr:rowOff>0</xdr:rowOff>
    </xdr:from>
    <xdr:to>
      <xdr:col>13</xdr:col>
      <xdr:colOff>352425</xdr:colOff>
      <xdr:row>75</xdr:row>
      <xdr:rowOff>66675</xdr:rowOff>
    </xdr:to>
    <xdr:grpSp>
      <xdr:nvGrpSpPr>
        <xdr:cNvPr id="3" name="Group 10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pSpPr>
          <a:grpSpLocks/>
        </xdr:cNvGrpSpPr>
      </xdr:nvGrpSpPr>
      <xdr:grpSpPr bwMode="auto">
        <a:xfrm>
          <a:off x="5563842" y="13633174"/>
          <a:ext cx="2839279" cy="489088"/>
          <a:chOff x="233" y="674"/>
          <a:chExt cx="387" cy="87"/>
        </a:xfrm>
      </xdr:grpSpPr>
      <xdr:sp macro="" textlink="">
        <xdr:nvSpPr>
          <xdr:cNvPr id="4" name="Text Box 4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3" y="742"/>
            <a:ext cx="57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27432" bIns="32004" anchor="ctr" upright="1"/>
          <a:lstStyle/>
          <a:p>
            <a:pPr algn="ctr" rtl="0">
              <a:defRPr sz="1000"/>
            </a:pPr>
            <a:r>
              <a:rPr lang="pt-BR" sz="1000" b="1" i="0" u="none" strike="noStrike" baseline="0">
                <a:solidFill>
                  <a:srgbClr val="000000"/>
                </a:solidFill>
                <a:latin typeface="Trebuchet MS"/>
              </a:rPr>
              <a:t>C</a:t>
            </a:r>
            <a:endParaRPr lang="pt-BR"/>
          </a:p>
        </xdr:txBody>
      </xdr:sp>
      <xdr:sp macro="" textlink="">
        <xdr:nvSpPr>
          <xdr:cNvPr id="5" name="Text Box 5">
            <a:extLst>
              <a:ext uri="{FF2B5EF4-FFF2-40B4-BE49-F238E27FC236}">
                <a16:creationId xmlns:a16="http://schemas.microsoft.com/office/drawing/2014/main" id="{00000000-0008-0000-10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3" y="708"/>
            <a:ext cx="57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27432" bIns="32004" anchor="ctr" upright="1"/>
          <a:lstStyle/>
          <a:p>
            <a:pPr algn="ctr" rtl="0">
              <a:defRPr sz="1000"/>
            </a:pPr>
            <a:r>
              <a:rPr lang="pt-BR" sz="1000" b="1" i="0" u="none" strike="noStrike" baseline="0">
                <a:solidFill>
                  <a:srgbClr val="000000"/>
                </a:solidFill>
                <a:latin typeface="Trebuchet MS"/>
              </a:rPr>
              <a:t>B</a:t>
            </a:r>
            <a:endParaRPr lang="pt-BR"/>
          </a:p>
        </xdr:txBody>
      </xdr:sp>
      <xdr:sp macro="" textlink="">
        <xdr:nvSpPr>
          <xdr:cNvPr id="6" name="AutoShape 6" descr="Papel jornal">
            <a:extLst>
              <a:ext uri="{FF2B5EF4-FFF2-40B4-BE49-F238E27FC236}">
                <a16:creationId xmlns:a16="http://schemas.microsoft.com/office/drawing/2014/main" id="{00000000-0008-0000-10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285" y="674"/>
            <a:ext cx="285" cy="64"/>
          </a:xfrm>
          <a:prstGeom prst="cube">
            <a:avLst>
              <a:gd name="adj" fmla="val 34616"/>
            </a:avLst>
          </a:prstGeom>
          <a:blipFill dpi="0" rotWithShape="0">
            <a:blip xmlns:r="http://schemas.openxmlformats.org/officeDocument/2006/relationships" r:embed="rId1" cstate="print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00000000-0008-0000-1000-00000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3" y="698"/>
            <a:ext cx="57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27432" bIns="32004" anchor="ctr" upright="1"/>
          <a:lstStyle/>
          <a:p>
            <a:pPr algn="ctr" rtl="0">
              <a:defRPr sz="1000"/>
            </a:pPr>
            <a:r>
              <a:rPr lang="pt-BR" sz="1000" b="1" i="0" u="none" strike="noStrike" baseline="0">
                <a:solidFill>
                  <a:srgbClr val="000000"/>
                </a:solidFill>
                <a:latin typeface="Trebuchet MS"/>
              </a:rPr>
              <a:t>A</a:t>
            </a:r>
            <a:endParaRPr lang="pt-BR"/>
          </a:p>
        </xdr:txBody>
      </xdr:sp>
    </xdr:grpSp>
    <xdr:clientData/>
  </xdr:twoCellAnchor>
  <xdr:twoCellAnchor editAs="oneCell">
    <xdr:from>
      <xdr:col>0</xdr:col>
      <xdr:colOff>60960</xdr:colOff>
      <xdr:row>0</xdr:row>
      <xdr:rowOff>114300</xdr:rowOff>
    </xdr:from>
    <xdr:to>
      <xdr:col>0</xdr:col>
      <xdr:colOff>1920240</xdr:colOff>
      <xdr:row>2</xdr:row>
      <xdr:rowOff>40640</xdr:rowOff>
    </xdr:to>
    <xdr:pic>
      <xdr:nvPicPr>
        <xdr:cNvPr id="10" name="image3.png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0960" y="114300"/>
          <a:ext cx="1866900" cy="320040"/>
        </a:xfrm>
        <a:prstGeom prst="rect">
          <a:avLst/>
        </a:prstGeom>
        <a:ln/>
      </xdr:spPr>
    </xdr:pic>
    <xdr:clientData/>
  </xdr:twoCellAnchor>
  <xdr:twoCellAnchor>
    <xdr:from>
      <xdr:col>18</xdr:col>
      <xdr:colOff>190500</xdr:colOff>
      <xdr:row>0</xdr:row>
      <xdr:rowOff>152400</xdr:rowOff>
    </xdr:from>
    <xdr:to>
      <xdr:col>19</xdr:col>
      <xdr:colOff>410252</xdr:colOff>
      <xdr:row>1</xdr:row>
      <xdr:rowOff>186690</xdr:rowOff>
    </xdr:to>
    <xdr:sp macro="" textlink="">
      <xdr:nvSpPr>
        <xdr:cNvPr id="12" name="Retângulo: Cantos Arredondados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/>
      </xdr:nvSpPr>
      <xdr:spPr>
        <a:xfrm>
          <a:off x="10500360" y="152400"/>
          <a:ext cx="783632" cy="224790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306028</xdr:colOff>
      <xdr:row>0</xdr:row>
      <xdr:rowOff>182881</xdr:rowOff>
    </xdr:from>
    <xdr:to>
      <xdr:col>15</xdr:col>
      <xdr:colOff>434340</xdr:colOff>
      <xdr:row>2</xdr:row>
      <xdr:rowOff>26671</xdr:rowOff>
    </xdr:to>
    <xdr:sp macro="" textlink="">
      <xdr:nvSpPr>
        <xdr:cNvPr id="7" name="Retângulo: Cantos Arredondado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/>
      </xdr:nvSpPr>
      <xdr:spPr>
        <a:xfrm>
          <a:off x="10455868" y="182881"/>
          <a:ext cx="859832" cy="240030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108585</xdr:colOff>
      <xdr:row>0</xdr:row>
      <xdr:rowOff>114300</xdr:rowOff>
    </xdr:from>
    <xdr:to>
      <xdr:col>2</xdr:col>
      <xdr:colOff>470535</xdr:colOff>
      <xdr:row>2</xdr:row>
      <xdr:rowOff>53340</xdr:rowOff>
    </xdr:to>
    <xdr:pic>
      <xdr:nvPicPr>
        <xdr:cNvPr id="9" name="image3.png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08585" y="114300"/>
          <a:ext cx="1866900" cy="320040"/>
        </a:xfrm>
        <a:prstGeom prst="rect">
          <a:avLst/>
        </a:prstGeom>
        <a:ln/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306028</xdr:colOff>
      <xdr:row>0</xdr:row>
      <xdr:rowOff>182881</xdr:rowOff>
    </xdr:from>
    <xdr:to>
      <xdr:col>15</xdr:col>
      <xdr:colOff>434340</xdr:colOff>
      <xdr:row>2</xdr:row>
      <xdr:rowOff>26671</xdr:rowOff>
    </xdr:to>
    <xdr:sp macro="" textlink="">
      <xdr:nvSpPr>
        <xdr:cNvPr id="2" name="Retângulo: Cantos Arredondado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11364553" y="182881"/>
          <a:ext cx="737912" cy="224790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108585</xdr:colOff>
      <xdr:row>0</xdr:row>
      <xdr:rowOff>114300</xdr:rowOff>
    </xdr:from>
    <xdr:to>
      <xdr:col>2</xdr:col>
      <xdr:colOff>470535</xdr:colOff>
      <xdr:row>2</xdr:row>
      <xdr:rowOff>53340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08585" y="114300"/>
          <a:ext cx="1866900" cy="320040"/>
        </a:xfrm>
        <a:prstGeom prst="rect">
          <a:avLst/>
        </a:prstGeom>
        <a:ln/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198120</xdr:colOff>
      <xdr:row>0</xdr:row>
      <xdr:rowOff>198119</xdr:rowOff>
    </xdr:from>
    <xdr:to>
      <xdr:col>14</xdr:col>
      <xdr:colOff>441960</xdr:colOff>
      <xdr:row>2</xdr:row>
      <xdr:rowOff>22860</xdr:rowOff>
    </xdr:to>
    <xdr:sp macro="" textlink="">
      <xdr:nvSpPr>
        <xdr:cNvPr id="13" name="Retângulo: Cantos Arredondado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SpPr/>
      </xdr:nvSpPr>
      <xdr:spPr>
        <a:xfrm>
          <a:off x="9334500" y="198119"/>
          <a:ext cx="800100" cy="220981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3810</xdr:colOff>
      <xdr:row>1</xdr:row>
      <xdr:rowOff>19050</xdr:rowOff>
    </xdr:from>
    <xdr:to>
      <xdr:col>0</xdr:col>
      <xdr:colOff>1870710</xdr:colOff>
      <xdr:row>2</xdr:row>
      <xdr:rowOff>148590</xdr:rowOff>
    </xdr:to>
    <xdr:pic>
      <xdr:nvPicPr>
        <xdr:cNvPr id="14" name="image3.png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3810" y="209550"/>
          <a:ext cx="1866900" cy="320040"/>
        </a:xfrm>
        <a:prstGeom prst="rect">
          <a:avLst/>
        </a:prstGeom>
        <a:ln/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</xdr:colOff>
      <xdr:row>0</xdr:row>
      <xdr:rowOff>38100</xdr:rowOff>
    </xdr:from>
    <xdr:to>
      <xdr:col>12</xdr:col>
      <xdr:colOff>66674</xdr:colOff>
      <xdr:row>0</xdr:row>
      <xdr:rowOff>403861</xdr:rowOff>
    </xdr:to>
    <xdr:sp macro="" textlink="">
      <xdr:nvSpPr>
        <xdr:cNvPr id="12" name="Rectangle 13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>
          <a:spLocks noChangeArrowheads="1"/>
        </xdr:cNvSpPr>
      </xdr:nvSpPr>
      <xdr:spPr bwMode="auto">
        <a:xfrm>
          <a:off x="22859" y="38100"/>
          <a:ext cx="9206865" cy="365761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ysClr val="windowText" lastClr="000000"/>
              </a:solidFill>
              <a:latin typeface="+mn-lt"/>
              <a:ea typeface="Tahoma"/>
              <a:cs typeface="Tahoma"/>
            </a:rPr>
            <a:t>ESTRUTURA - VIGAS</a:t>
          </a:r>
        </a:p>
      </xdr:txBody>
    </xdr:sp>
    <xdr:clientData/>
  </xdr:twoCellAnchor>
  <xdr:twoCellAnchor>
    <xdr:from>
      <xdr:col>11</xdr:col>
      <xdr:colOff>0</xdr:colOff>
      <xdr:row>0</xdr:row>
      <xdr:rowOff>133350</xdr:rowOff>
    </xdr:from>
    <xdr:to>
      <xdr:col>12</xdr:col>
      <xdr:colOff>19050</xdr:colOff>
      <xdr:row>0</xdr:row>
      <xdr:rowOff>342900</xdr:rowOff>
    </xdr:to>
    <xdr:sp macro="" textlink="">
      <xdr:nvSpPr>
        <xdr:cNvPr id="14" name="Retângulo: Cantos Arredondado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/>
      </xdr:nvSpPr>
      <xdr:spPr>
        <a:xfrm>
          <a:off x="9344025" y="133350"/>
          <a:ext cx="733425" cy="209550"/>
        </a:xfrm>
        <a:prstGeom prst="roundRect">
          <a:avLst/>
        </a:prstGeom>
        <a:solidFill>
          <a:srgbClr val="28486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133350</xdr:colOff>
      <xdr:row>0</xdr:row>
      <xdr:rowOff>57150</xdr:rowOff>
    </xdr:from>
    <xdr:to>
      <xdr:col>0</xdr:col>
      <xdr:colOff>1992630</xdr:colOff>
      <xdr:row>0</xdr:row>
      <xdr:rowOff>364490</xdr:rowOff>
    </xdr:to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33350" y="57150"/>
          <a:ext cx="1859280" cy="307340"/>
        </a:xfrm>
        <a:prstGeom prst="rect">
          <a:avLst/>
        </a:prstGeom>
        <a:ln/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38100</xdr:rowOff>
    </xdr:from>
    <xdr:to>
      <xdr:col>11</xdr:col>
      <xdr:colOff>45720</xdr:colOff>
      <xdr:row>0</xdr:row>
      <xdr:rowOff>403861</xdr:rowOff>
    </xdr:to>
    <xdr:sp macro="" textlink="">
      <xdr:nvSpPr>
        <xdr:cNvPr id="11" name="Rectangle 13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>
          <a:spLocks noChangeArrowheads="1"/>
        </xdr:cNvSpPr>
      </xdr:nvSpPr>
      <xdr:spPr bwMode="auto">
        <a:xfrm>
          <a:off x="22860" y="38100"/>
          <a:ext cx="10363200" cy="365761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ysClr val="windowText" lastClr="000000"/>
              </a:solidFill>
              <a:latin typeface="+mn-lt"/>
              <a:ea typeface="Tahoma"/>
              <a:cs typeface="Tahoma"/>
            </a:rPr>
            <a:t>ESTRUTURA - PILARES</a:t>
          </a:r>
        </a:p>
      </xdr:txBody>
    </xdr:sp>
    <xdr:clientData/>
  </xdr:twoCellAnchor>
  <xdr:twoCellAnchor>
    <xdr:from>
      <xdr:col>10</xdr:col>
      <xdr:colOff>0</xdr:colOff>
      <xdr:row>0</xdr:row>
      <xdr:rowOff>133350</xdr:rowOff>
    </xdr:from>
    <xdr:to>
      <xdr:col>11</xdr:col>
      <xdr:colOff>19050</xdr:colOff>
      <xdr:row>0</xdr:row>
      <xdr:rowOff>342900</xdr:rowOff>
    </xdr:to>
    <xdr:sp macro="" textlink="">
      <xdr:nvSpPr>
        <xdr:cNvPr id="5" name="Retângulo: Cantos Arredondado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/>
      </xdr:nvSpPr>
      <xdr:spPr>
        <a:xfrm>
          <a:off x="8039100" y="133350"/>
          <a:ext cx="1143000" cy="209550"/>
        </a:xfrm>
        <a:prstGeom prst="roundRect">
          <a:avLst/>
        </a:prstGeom>
        <a:solidFill>
          <a:srgbClr val="28486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80010</xdr:colOff>
      <xdr:row>0</xdr:row>
      <xdr:rowOff>95250</xdr:rowOff>
    </xdr:from>
    <xdr:to>
      <xdr:col>0</xdr:col>
      <xdr:colOff>1939290</xdr:colOff>
      <xdr:row>0</xdr:row>
      <xdr:rowOff>402590</xdr:rowOff>
    </xdr:to>
    <xdr:pic>
      <xdr:nvPicPr>
        <xdr:cNvPr id="25" name="image3.png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80010" y="95250"/>
          <a:ext cx="1859280" cy="307340"/>
        </a:xfrm>
        <a:prstGeom prst="rect">
          <a:avLst/>
        </a:prstGeom>
        <a:ln/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38100</xdr:rowOff>
    </xdr:from>
    <xdr:to>
      <xdr:col>13</xdr:col>
      <xdr:colOff>1165860</xdr:colOff>
      <xdr:row>0</xdr:row>
      <xdr:rowOff>403861</xdr:rowOff>
    </xdr:to>
    <xdr:sp macro="" textlink="">
      <xdr:nvSpPr>
        <xdr:cNvPr id="16" name="Rectangle 13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>
          <a:spLocks noChangeArrowheads="1"/>
        </xdr:cNvSpPr>
      </xdr:nvSpPr>
      <xdr:spPr bwMode="auto">
        <a:xfrm>
          <a:off x="22860" y="38100"/>
          <a:ext cx="11643360" cy="365761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ysClr val="windowText" lastClr="000000"/>
              </a:solidFill>
              <a:latin typeface="+mn-lt"/>
              <a:ea typeface="Tahoma"/>
              <a:cs typeface="Tahoma"/>
            </a:rPr>
            <a:t>ESTRUTURA - LAJES</a:t>
          </a:r>
        </a:p>
      </xdr:txBody>
    </xdr:sp>
    <xdr:clientData/>
  </xdr:twoCellAnchor>
  <xdr:twoCellAnchor>
    <xdr:from>
      <xdr:col>13</xdr:col>
      <xdr:colOff>361950</xdr:colOff>
      <xdr:row>0</xdr:row>
      <xdr:rowOff>123825</xdr:rowOff>
    </xdr:from>
    <xdr:to>
      <xdr:col>13</xdr:col>
      <xdr:colOff>1095375</xdr:colOff>
      <xdr:row>0</xdr:row>
      <xdr:rowOff>333375</xdr:rowOff>
    </xdr:to>
    <xdr:sp macro="" textlink="">
      <xdr:nvSpPr>
        <xdr:cNvPr id="18" name="Retângulo: Cantos Arredondado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/>
      </xdr:nvSpPr>
      <xdr:spPr>
        <a:xfrm>
          <a:off x="10115550" y="123825"/>
          <a:ext cx="733425" cy="209550"/>
        </a:xfrm>
        <a:prstGeom prst="roundRect">
          <a:avLst/>
        </a:prstGeom>
        <a:solidFill>
          <a:srgbClr val="28486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66675</xdr:rowOff>
    </xdr:from>
    <xdr:to>
      <xdr:col>1</xdr:col>
      <xdr:colOff>401955</xdr:colOff>
      <xdr:row>0</xdr:row>
      <xdr:rowOff>374015</xdr:rowOff>
    </xdr:to>
    <xdr:pic>
      <xdr:nvPicPr>
        <xdr:cNvPr id="15" name="image3.png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85725" y="66675"/>
          <a:ext cx="1859280" cy="307340"/>
        </a:xfrm>
        <a:prstGeom prst="rect">
          <a:avLst/>
        </a:prstGeom>
        <a:ln/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38100</xdr:rowOff>
    </xdr:from>
    <xdr:to>
      <xdr:col>13</xdr:col>
      <xdr:colOff>1165860</xdr:colOff>
      <xdr:row>0</xdr:row>
      <xdr:rowOff>403861</xdr:rowOff>
    </xdr:to>
    <xdr:sp macro="" textlink="">
      <xdr:nvSpPr>
        <xdr:cNvPr id="3" name="Rectangle 13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>
          <a:spLocks noChangeArrowheads="1"/>
        </xdr:cNvSpPr>
      </xdr:nvSpPr>
      <xdr:spPr bwMode="auto">
        <a:xfrm>
          <a:off x="22860" y="38100"/>
          <a:ext cx="10201275" cy="365761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ysClr val="windowText" lastClr="000000"/>
              </a:solidFill>
              <a:latin typeface="+mn-lt"/>
              <a:ea typeface="Tahoma"/>
              <a:cs typeface="Tahoma"/>
            </a:rPr>
            <a:t>ESTRUTURA - RAMPAS</a:t>
          </a:r>
        </a:p>
      </xdr:txBody>
    </xdr:sp>
    <xdr:clientData/>
  </xdr:twoCellAnchor>
  <xdr:twoCellAnchor>
    <xdr:from>
      <xdr:col>13</xdr:col>
      <xdr:colOff>361950</xdr:colOff>
      <xdr:row>0</xdr:row>
      <xdr:rowOff>123825</xdr:rowOff>
    </xdr:from>
    <xdr:to>
      <xdr:col>13</xdr:col>
      <xdr:colOff>1095375</xdr:colOff>
      <xdr:row>0</xdr:row>
      <xdr:rowOff>333375</xdr:rowOff>
    </xdr:to>
    <xdr:sp macro="" textlink="">
      <xdr:nvSpPr>
        <xdr:cNvPr id="4" name="Retângulo: Cantos Arredondado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/>
      </xdr:nvSpPr>
      <xdr:spPr>
        <a:xfrm>
          <a:off x="9429750" y="123825"/>
          <a:ext cx="733425" cy="209550"/>
        </a:xfrm>
        <a:prstGeom prst="roundRect">
          <a:avLst/>
        </a:prstGeom>
        <a:solidFill>
          <a:srgbClr val="28486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123825</xdr:colOff>
      <xdr:row>0</xdr:row>
      <xdr:rowOff>76200</xdr:rowOff>
    </xdr:from>
    <xdr:to>
      <xdr:col>1</xdr:col>
      <xdr:colOff>440055</xdr:colOff>
      <xdr:row>0</xdr:row>
      <xdr:rowOff>383540</xdr:rowOff>
    </xdr:to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23825" y="76200"/>
          <a:ext cx="1859280" cy="307340"/>
        </a:xfrm>
        <a:prstGeom prst="rect">
          <a:avLst/>
        </a:prstGeom>
        <a:ln/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63</xdr:row>
      <xdr:rowOff>0</xdr:rowOff>
    </xdr:from>
    <xdr:to>
      <xdr:col>3</xdr:col>
      <xdr:colOff>438150</xdr:colOff>
      <xdr:row>67</xdr:row>
      <xdr:rowOff>114300</xdr:rowOff>
    </xdr:to>
    <xdr:sp macro="" textlink="">
      <xdr:nvSpPr>
        <xdr:cNvPr id="2" name="Line 59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>
          <a:spLocks noChangeShapeType="1"/>
        </xdr:cNvSpPr>
      </xdr:nvSpPr>
      <xdr:spPr bwMode="auto">
        <a:xfrm flipV="1">
          <a:off x="2705100" y="4400550"/>
          <a:ext cx="0" cy="77152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63</xdr:row>
      <xdr:rowOff>0</xdr:rowOff>
    </xdr:from>
    <xdr:to>
      <xdr:col>5</xdr:col>
      <xdr:colOff>9525</xdr:colOff>
      <xdr:row>65</xdr:row>
      <xdr:rowOff>104775</xdr:rowOff>
    </xdr:to>
    <xdr:sp macro="" textlink="">
      <xdr:nvSpPr>
        <xdr:cNvPr id="3" name="Line 60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>
          <a:spLocks noChangeShapeType="1"/>
        </xdr:cNvSpPr>
      </xdr:nvSpPr>
      <xdr:spPr bwMode="auto">
        <a:xfrm flipV="1">
          <a:off x="3171825" y="4400550"/>
          <a:ext cx="0" cy="42862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304800</xdr:colOff>
      <xdr:row>64</xdr:row>
      <xdr:rowOff>142875</xdr:rowOff>
    </xdr:from>
    <xdr:to>
      <xdr:col>5</xdr:col>
      <xdr:colOff>142875</xdr:colOff>
      <xdr:row>64</xdr:row>
      <xdr:rowOff>142875</xdr:rowOff>
    </xdr:to>
    <xdr:sp macro="" textlink="">
      <xdr:nvSpPr>
        <xdr:cNvPr id="4" name="Line 61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>
          <a:spLocks noChangeShapeType="1"/>
        </xdr:cNvSpPr>
      </xdr:nvSpPr>
      <xdr:spPr bwMode="auto">
        <a:xfrm>
          <a:off x="2571750" y="4705350"/>
          <a:ext cx="733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314325</xdr:colOff>
      <xdr:row>63</xdr:row>
      <xdr:rowOff>133350</xdr:rowOff>
    </xdr:from>
    <xdr:to>
      <xdr:col>4</xdr:col>
      <xdr:colOff>161925</xdr:colOff>
      <xdr:row>65</xdr:row>
      <xdr:rowOff>104775</xdr:rowOff>
    </xdr:to>
    <xdr:sp macro="" textlink="">
      <xdr:nvSpPr>
        <xdr:cNvPr id="5" name="Line 62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>
          <a:spLocks noChangeShapeType="1"/>
        </xdr:cNvSpPr>
      </xdr:nvSpPr>
      <xdr:spPr bwMode="auto">
        <a:xfrm flipH="1">
          <a:off x="2581275" y="4533900"/>
          <a:ext cx="295275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285750</xdr:colOff>
      <xdr:row>64</xdr:row>
      <xdr:rowOff>19050</xdr:rowOff>
    </xdr:from>
    <xdr:to>
      <xdr:col>5</xdr:col>
      <xdr:colOff>133350</xdr:colOff>
      <xdr:row>65</xdr:row>
      <xdr:rowOff>152400</xdr:rowOff>
    </xdr:to>
    <xdr:sp macro="" textlink="">
      <xdr:nvSpPr>
        <xdr:cNvPr id="6" name="Line 63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>
          <a:spLocks noChangeShapeType="1"/>
        </xdr:cNvSpPr>
      </xdr:nvSpPr>
      <xdr:spPr bwMode="auto">
        <a:xfrm flipH="1">
          <a:off x="3000375" y="4581525"/>
          <a:ext cx="295275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67</xdr:row>
      <xdr:rowOff>28575</xdr:rowOff>
    </xdr:from>
    <xdr:to>
      <xdr:col>3</xdr:col>
      <xdr:colOff>95250</xdr:colOff>
      <xdr:row>71</xdr:row>
      <xdr:rowOff>0</xdr:rowOff>
    </xdr:to>
    <xdr:sp macro="" textlink="">
      <xdr:nvSpPr>
        <xdr:cNvPr id="7" name="Line 6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>
          <a:spLocks noChangeShapeType="1"/>
        </xdr:cNvSpPr>
      </xdr:nvSpPr>
      <xdr:spPr bwMode="auto">
        <a:xfrm>
          <a:off x="2362200" y="5086350"/>
          <a:ext cx="0" cy="638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19050</xdr:colOff>
      <xdr:row>68</xdr:row>
      <xdr:rowOff>19050</xdr:rowOff>
    </xdr:from>
    <xdr:to>
      <xdr:col>3</xdr:col>
      <xdr:colOff>304800</xdr:colOff>
      <xdr:row>68</xdr:row>
      <xdr:rowOff>19050</xdr:rowOff>
    </xdr:to>
    <xdr:sp macro="" textlink="">
      <xdr:nvSpPr>
        <xdr:cNvPr id="8" name="Line 65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>
          <a:spLocks noChangeShapeType="1"/>
        </xdr:cNvSpPr>
      </xdr:nvSpPr>
      <xdr:spPr bwMode="auto">
        <a:xfrm>
          <a:off x="1838325" y="5248275"/>
          <a:ext cx="733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390525</xdr:colOff>
      <xdr:row>67</xdr:row>
      <xdr:rowOff>47625</xdr:rowOff>
    </xdr:from>
    <xdr:to>
      <xdr:col>3</xdr:col>
      <xdr:colOff>238125</xdr:colOff>
      <xdr:row>69</xdr:row>
      <xdr:rowOff>19050</xdr:rowOff>
    </xdr:to>
    <xdr:sp macro="" textlink="">
      <xdr:nvSpPr>
        <xdr:cNvPr id="9" name="Line 66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>
          <a:spLocks noChangeShapeType="1"/>
        </xdr:cNvSpPr>
      </xdr:nvSpPr>
      <xdr:spPr bwMode="auto">
        <a:xfrm flipH="1">
          <a:off x="2209800" y="5105400"/>
          <a:ext cx="295275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409575</xdr:colOff>
      <xdr:row>69</xdr:row>
      <xdr:rowOff>0</xdr:rowOff>
    </xdr:from>
    <xdr:to>
      <xdr:col>3</xdr:col>
      <xdr:colOff>257175</xdr:colOff>
      <xdr:row>70</xdr:row>
      <xdr:rowOff>133350</xdr:rowOff>
    </xdr:to>
    <xdr:sp macro="" textlink="">
      <xdr:nvSpPr>
        <xdr:cNvPr id="10" name="Line 67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>
          <a:spLocks noChangeShapeType="1"/>
        </xdr:cNvSpPr>
      </xdr:nvSpPr>
      <xdr:spPr bwMode="auto">
        <a:xfrm flipH="1">
          <a:off x="2228850" y="5391150"/>
          <a:ext cx="295275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438150</xdr:colOff>
      <xdr:row>68</xdr:row>
      <xdr:rowOff>0</xdr:rowOff>
    </xdr:from>
    <xdr:to>
      <xdr:col>6</xdr:col>
      <xdr:colOff>0</xdr:colOff>
      <xdr:row>72</xdr:row>
      <xdr:rowOff>9525</xdr:rowOff>
    </xdr:to>
    <xdr:sp macro="" textlink="">
      <xdr:nvSpPr>
        <xdr:cNvPr id="11" name="Line 68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>
          <a:spLocks noChangeShapeType="1"/>
        </xdr:cNvSpPr>
      </xdr:nvSpPr>
      <xdr:spPr bwMode="auto">
        <a:xfrm flipV="1">
          <a:off x="2705100" y="5229225"/>
          <a:ext cx="904875" cy="6762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19050</xdr:colOff>
      <xdr:row>72</xdr:row>
      <xdr:rowOff>28575</xdr:rowOff>
    </xdr:from>
    <xdr:to>
      <xdr:col>4</xdr:col>
      <xdr:colOff>219075</xdr:colOff>
      <xdr:row>73</xdr:row>
      <xdr:rowOff>142875</xdr:rowOff>
    </xdr:to>
    <xdr:sp macro="" textlink="">
      <xdr:nvSpPr>
        <xdr:cNvPr id="12" name="Line 75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>
          <a:spLocks noChangeShapeType="1"/>
        </xdr:cNvSpPr>
      </xdr:nvSpPr>
      <xdr:spPr bwMode="auto">
        <a:xfrm>
          <a:off x="2733675" y="5924550"/>
          <a:ext cx="200025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28575</xdr:colOff>
      <xdr:row>68</xdr:row>
      <xdr:rowOff>47625</xdr:rowOff>
    </xdr:from>
    <xdr:to>
      <xdr:col>6</xdr:col>
      <xdr:colOff>228600</xdr:colOff>
      <xdr:row>70</xdr:row>
      <xdr:rowOff>0</xdr:rowOff>
    </xdr:to>
    <xdr:sp macro="" textlink="">
      <xdr:nvSpPr>
        <xdr:cNvPr id="13" name="Line 76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>
          <a:spLocks noChangeShapeType="1"/>
        </xdr:cNvSpPr>
      </xdr:nvSpPr>
      <xdr:spPr bwMode="auto">
        <a:xfrm>
          <a:off x="3638550" y="5276850"/>
          <a:ext cx="200025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38100</xdr:colOff>
      <xdr:row>68</xdr:row>
      <xdr:rowOff>76200</xdr:rowOff>
    </xdr:from>
    <xdr:to>
      <xdr:col>6</xdr:col>
      <xdr:colOff>200025</xdr:colOff>
      <xdr:row>73</xdr:row>
      <xdr:rowOff>47625</xdr:rowOff>
    </xdr:to>
    <xdr:sp macro="" textlink="">
      <xdr:nvSpPr>
        <xdr:cNvPr id="14" name="Line 77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>
          <a:spLocks noChangeShapeType="1"/>
        </xdr:cNvSpPr>
      </xdr:nvSpPr>
      <xdr:spPr bwMode="auto">
        <a:xfrm flipV="1">
          <a:off x="2752725" y="5305425"/>
          <a:ext cx="1057275" cy="800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72</xdr:row>
      <xdr:rowOff>0</xdr:rowOff>
    </xdr:from>
    <xdr:to>
      <xdr:col>4</xdr:col>
      <xdr:colOff>161925</xdr:colOff>
      <xdr:row>74</xdr:row>
      <xdr:rowOff>28575</xdr:rowOff>
    </xdr:to>
    <xdr:sp macro="" textlink="">
      <xdr:nvSpPr>
        <xdr:cNvPr id="15" name="Line 78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>
          <a:spLocks noChangeShapeType="1"/>
        </xdr:cNvSpPr>
      </xdr:nvSpPr>
      <xdr:spPr bwMode="auto">
        <a:xfrm flipH="1">
          <a:off x="2790825" y="5895975"/>
          <a:ext cx="857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67</xdr:row>
      <xdr:rowOff>152400</xdr:rowOff>
    </xdr:from>
    <xdr:to>
      <xdr:col>6</xdr:col>
      <xdr:colOff>142875</xdr:colOff>
      <xdr:row>70</xdr:row>
      <xdr:rowOff>19050</xdr:rowOff>
    </xdr:to>
    <xdr:sp macro="" textlink="">
      <xdr:nvSpPr>
        <xdr:cNvPr id="16" name="Line 79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>
          <a:spLocks noChangeShapeType="1"/>
        </xdr:cNvSpPr>
      </xdr:nvSpPr>
      <xdr:spPr bwMode="auto">
        <a:xfrm flipH="1">
          <a:off x="3667125" y="5210175"/>
          <a:ext cx="85725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438150</xdr:colOff>
      <xdr:row>64</xdr:row>
      <xdr:rowOff>9525</xdr:rowOff>
    </xdr:from>
    <xdr:to>
      <xdr:col>7</xdr:col>
      <xdr:colOff>352425</xdr:colOff>
      <xdr:row>67</xdr:row>
      <xdr:rowOff>161925</xdr:rowOff>
    </xdr:to>
    <xdr:sp macro="" textlink="">
      <xdr:nvSpPr>
        <xdr:cNvPr id="17" name="Line 81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>
          <a:spLocks noChangeShapeType="1"/>
        </xdr:cNvSpPr>
      </xdr:nvSpPr>
      <xdr:spPr bwMode="auto">
        <a:xfrm flipV="1">
          <a:off x="3600450" y="4572000"/>
          <a:ext cx="809625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62</xdr:row>
      <xdr:rowOff>123825</xdr:rowOff>
    </xdr:from>
    <xdr:to>
      <xdr:col>7</xdr:col>
      <xdr:colOff>161925</xdr:colOff>
      <xdr:row>67</xdr:row>
      <xdr:rowOff>123825</xdr:rowOff>
    </xdr:to>
    <xdr:sp macro="" textlink="">
      <xdr:nvSpPr>
        <xdr:cNvPr id="18" name="Line 82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>
          <a:spLocks noChangeShapeType="1"/>
        </xdr:cNvSpPr>
      </xdr:nvSpPr>
      <xdr:spPr bwMode="auto">
        <a:xfrm flipV="1">
          <a:off x="3171825" y="4362450"/>
          <a:ext cx="1047750" cy="819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266700</xdr:colOff>
      <xdr:row>62</xdr:row>
      <xdr:rowOff>114300</xdr:rowOff>
    </xdr:from>
    <xdr:to>
      <xdr:col>7</xdr:col>
      <xdr:colOff>209550</xdr:colOff>
      <xdr:row>66</xdr:row>
      <xdr:rowOff>28575</xdr:rowOff>
    </xdr:to>
    <xdr:sp macro="" textlink="">
      <xdr:nvSpPr>
        <xdr:cNvPr id="19" name="Line 83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SpPr>
          <a:spLocks noChangeShapeType="1"/>
        </xdr:cNvSpPr>
      </xdr:nvSpPr>
      <xdr:spPr bwMode="auto">
        <a:xfrm>
          <a:off x="3876675" y="4352925"/>
          <a:ext cx="390525" cy="571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352425</xdr:colOff>
      <xdr:row>62</xdr:row>
      <xdr:rowOff>114300</xdr:rowOff>
    </xdr:from>
    <xdr:to>
      <xdr:col>6</xdr:col>
      <xdr:colOff>438150</xdr:colOff>
      <xdr:row>64</xdr:row>
      <xdr:rowOff>142875</xdr:rowOff>
    </xdr:to>
    <xdr:sp macro="" textlink="">
      <xdr:nvSpPr>
        <xdr:cNvPr id="20" name="Line 84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>
          <a:spLocks noChangeShapeType="1"/>
        </xdr:cNvSpPr>
      </xdr:nvSpPr>
      <xdr:spPr bwMode="auto">
        <a:xfrm flipH="1">
          <a:off x="3962400" y="4352925"/>
          <a:ext cx="857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47625</xdr:colOff>
      <xdr:row>64</xdr:row>
      <xdr:rowOff>38100</xdr:rowOff>
    </xdr:from>
    <xdr:to>
      <xdr:col>7</xdr:col>
      <xdr:colOff>133350</xdr:colOff>
      <xdr:row>66</xdr:row>
      <xdr:rowOff>66675</xdr:rowOff>
    </xdr:to>
    <xdr:sp macro="" textlink="">
      <xdr:nvSpPr>
        <xdr:cNvPr id="21" name="Line 85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SpPr>
          <a:spLocks noChangeShapeType="1"/>
        </xdr:cNvSpPr>
      </xdr:nvSpPr>
      <xdr:spPr bwMode="auto">
        <a:xfrm flipH="1">
          <a:off x="4105275" y="4600575"/>
          <a:ext cx="857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22860</xdr:colOff>
      <xdr:row>0</xdr:row>
      <xdr:rowOff>38100</xdr:rowOff>
    </xdr:from>
    <xdr:to>
      <xdr:col>18</xdr:col>
      <xdr:colOff>6985</xdr:colOff>
      <xdr:row>0</xdr:row>
      <xdr:rowOff>403861</xdr:rowOff>
    </xdr:to>
    <xdr:sp macro="" textlink="">
      <xdr:nvSpPr>
        <xdr:cNvPr id="29" name="Rectangle 13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>
          <a:spLocks noChangeArrowheads="1"/>
        </xdr:cNvSpPr>
      </xdr:nvSpPr>
      <xdr:spPr bwMode="auto">
        <a:xfrm>
          <a:off x="22860" y="38100"/>
          <a:ext cx="11350625" cy="365761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ysClr val="windowText" lastClr="000000"/>
              </a:solidFill>
              <a:latin typeface="+mn-lt"/>
              <a:ea typeface="Tahoma"/>
              <a:cs typeface="Tahoma"/>
            </a:rPr>
            <a:t>ESTRUTURA - ESCADAS</a:t>
          </a:r>
        </a:p>
      </xdr:txBody>
    </xdr:sp>
    <xdr:clientData/>
  </xdr:twoCellAnchor>
  <xdr:twoCellAnchor editAs="oneCell">
    <xdr:from>
      <xdr:col>0</xdr:col>
      <xdr:colOff>148167</xdr:colOff>
      <xdr:row>0</xdr:row>
      <xdr:rowOff>63500</xdr:rowOff>
    </xdr:from>
    <xdr:to>
      <xdr:col>1</xdr:col>
      <xdr:colOff>822114</xdr:colOff>
      <xdr:row>0</xdr:row>
      <xdr:rowOff>370840</xdr:rowOff>
    </xdr:to>
    <xdr:pic>
      <xdr:nvPicPr>
        <xdr:cNvPr id="25" name="image3.png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48167" y="63500"/>
          <a:ext cx="1859280" cy="307340"/>
        </a:xfrm>
        <a:prstGeom prst="rect">
          <a:avLst/>
        </a:prstGeom>
        <a:ln/>
      </xdr:spPr>
    </xdr:pic>
    <xdr:clientData/>
  </xdr:twoCellAnchor>
  <xdr:twoCellAnchor>
    <xdr:from>
      <xdr:col>17</xdr:col>
      <xdr:colOff>0</xdr:colOff>
      <xdr:row>0</xdr:row>
      <xdr:rowOff>127000</xdr:rowOff>
    </xdr:from>
    <xdr:to>
      <xdr:col>17</xdr:col>
      <xdr:colOff>733425</xdr:colOff>
      <xdr:row>0</xdr:row>
      <xdr:rowOff>336550</xdr:rowOff>
    </xdr:to>
    <xdr:sp macro="" textlink="">
      <xdr:nvSpPr>
        <xdr:cNvPr id="26" name="Retângulo: Cantos Arredondados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/>
      </xdr:nvSpPr>
      <xdr:spPr>
        <a:xfrm>
          <a:off x="10350500" y="127000"/>
          <a:ext cx="733425" cy="209550"/>
        </a:xfrm>
        <a:prstGeom prst="roundRect">
          <a:avLst/>
        </a:prstGeom>
        <a:solidFill>
          <a:srgbClr val="28486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0</xdr:row>
      <xdr:rowOff>190499</xdr:rowOff>
    </xdr:from>
    <xdr:to>
      <xdr:col>13</xdr:col>
      <xdr:colOff>441960</xdr:colOff>
      <xdr:row>2</xdr:row>
      <xdr:rowOff>38100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10264140" y="190499"/>
          <a:ext cx="868680" cy="228601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114300</xdr:rowOff>
    </xdr:from>
    <xdr:to>
      <xdr:col>0</xdr:col>
      <xdr:colOff>1920240</xdr:colOff>
      <xdr:row>2</xdr:row>
      <xdr:rowOff>40640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0960" y="114300"/>
          <a:ext cx="1866900" cy="320040"/>
        </a:xfrm>
        <a:prstGeom prst="rect">
          <a:avLst/>
        </a:prstGeom>
        <a:ln/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220531</xdr:colOff>
      <xdr:row>0</xdr:row>
      <xdr:rowOff>143770</xdr:rowOff>
    </xdr:from>
    <xdr:to>
      <xdr:col>8</xdr:col>
      <xdr:colOff>1243852</xdr:colOff>
      <xdr:row>3</xdr:row>
      <xdr:rowOff>22412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16851181" y="143770"/>
          <a:ext cx="1023321" cy="450142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682773</xdr:colOff>
      <xdr:row>0</xdr:row>
      <xdr:rowOff>113067</xdr:rowOff>
    </xdr:from>
    <xdr:to>
      <xdr:col>0</xdr:col>
      <xdr:colOff>2828924</xdr:colOff>
      <xdr:row>2</xdr:row>
      <xdr:rowOff>180975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82773" y="113067"/>
          <a:ext cx="2146151" cy="448908"/>
        </a:xfrm>
        <a:prstGeom prst="rect">
          <a:avLst/>
        </a:prstGeom>
        <a:ln/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220531</xdr:colOff>
      <xdr:row>0</xdr:row>
      <xdr:rowOff>143770</xdr:rowOff>
    </xdr:from>
    <xdr:to>
      <xdr:col>12</xdr:col>
      <xdr:colOff>1243852</xdr:colOff>
      <xdr:row>3</xdr:row>
      <xdr:rowOff>22412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13587916" y="145675"/>
          <a:ext cx="1023321" cy="452047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63649</xdr:colOff>
      <xdr:row>0</xdr:row>
      <xdr:rowOff>179742</xdr:rowOff>
    </xdr:from>
    <xdr:to>
      <xdr:col>0</xdr:col>
      <xdr:colOff>1624853</xdr:colOff>
      <xdr:row>2</xdr:row>
      <xdr:rowOff>110378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3649" y="179742"/>
          <a:ext cx="1561204" cy="311636"/>
        </a:xfrm>
        <a:prstGeom prst="rect">
          <a:avLst/>
        </a:prstGeom>
        <a:ln/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220531</xdr:colOff>
      <xdr:row>0</xdr:row>
      <xdr:rowOff>143770</xdr:rowOff>
    </xdr:from>
    <xdr:to>
      <xdr:col>11</xdr:col>
      <xdr:colOff>1243852</xdr:colOff>
      <xdr:row>3</xdr:row>
      <xdr:rowOff>22412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/>
      </xdr:nvSpPr>
      <xdr:spPr>
        <a:xfrm>
          <a:off x="15451006" y="143770"/>
          <a:ext cx="1023321" cy="450142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63649</xdr:colOff>
      <xdr:row>0</xdr:row>
      <xdr:rowOff>179742</xdr:rowOff>
    </xdr:from>
    <xdr:to>
      <xdr:col>0</xdr:col>
      <xdr:colOff>1520750</xdr:colOff>
      <xdr:row>2</xdr:row>
      <xdr:rowOff>110378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3649" y="179742"/>
          <a:ext cx="1457101" cy="311636"/>
        </a:xfrm>
        <a:prstGeom prst="rect">
          <a:avLst/>
        </a:prstGeom>
        <a:ln/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220531</xdr:colOff>
      <xdr:row>0</xdr:row>
      <xdr:rowOff>143770</xdr:rowOff>
    </xdr:from>
    <xdr:to>
      <xdr:col>11</xdr:col>
      <xdr:colOff>1243852</xdr:colOff>
      <xdr:row>3</xdr:row>
      <xdr:rowOff>22412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/>
      </xdr:nvSpPr>
      <xdr:spPr>
        <a:xfrm>
          <a:off x="11324776" y="145675"/>
          <a:ext cx="1023321" cy="452047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63649</xdr:colOff>
      <xdr:row>0</xdr:row>
      <xdr:rowOff>179742</xdr:rowOff>
    </xdr:from>
    <xdr:to>
      <xdr:col>0</xdr:col>
      <xdr:colOff>1520750</xdr:colOff>
      <xdr:row>2</xdr:row>
      <xdr:rowOff>110378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3649" y="179742"/>
          <a:ext cx="1451386" cy="307154"/>
        </a:xfrm>
        <a:prstGeom prst="rect">
          <a:avLst/>
        </a:prstGeom>
        <a:ln/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220531</xdr:colOff>
      <xdr:row>0</xdr:row>
      <xdr:rowOff>143770</xdr:rowOff>
    </xdr:from>
    <xdr:to>
      <xdr:col>11</xdr:col>
      <xdr:colOff>1243852</xdr:colOff>
      <xdr:row>3</xdr:row>
      <xdr:rowOff>22412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>
          <a:off x="14837596" y="145675"/>
          <a:ext cx="1023321" cy="452047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63649</xdr:colOff>
      <xdr:row>0</xdr:row>
      <xdr:rowOff>179742</xdr:rowOff>
    </xdr:from>
    <xdr:to>
      <xdr:col>0</xdr:col>
      <xdr:colOff>1580029</xdr:colOff>
      <xdr:row>2</xdr:row>
      <xdr:rowOff>110378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3649" y="179742"/>
          <a:ext cx="1516380" cy="311636"/>
        </a:xfrm>
        <a:prstGeom prst="rect">
          <a:avLst/>
        </a:prstGeom>
        <a:ln/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229215</xdr:colOff>
      <xdr:row>0</xdr:row>
      <xdr:rowOff>75840</xdr:rowOff>
    </xdr:from>
    <xdr:ext cx="1558310" cy="453302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915" y="75840"/>
          <a:ext cx="1558310" cy="453302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220531</xdr:colOff>
      <xdr:row>0</xdr:row>
      <xdr:rowOff>143770</xdr:rowOff>
    </xdr:from>
    <xdr:to>
      <xdr:col>7</xdr:col>
      <xdr:colOff>1243852</xdr:colOff>
      <xdr:row>3</xdr:row>
      <xdr:rowOff>22412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/>
      </xdr:nvSpPr>
      <xdr:spPr>
        <a:xfrm>
          <a:off x="10104119" y="143770"/>
          <a:ext cx="1023321" cy="259642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59839</xdr:colOff>
      <xdr:row>0</xdr:row>
      <xdr:rowOff>175932</xdr:rowOff>
    </xdr:from>
    <xdr:to>
      <xdr:col>0</xdr:col>
      <xdr:colOff>1451049</xdr:colOff>
      <xdr:row>2</xdr:row>
      <xdr:rowOff>148478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59839" y="175932"/>
          <a:ext cx="1396925" cy="305921"/>
        </a:xfrm>
        <a:prstGeom prst="rect">
          <a:avLst/>
        </a:prstGeom>
        <a:ln/>
      </xdr:spPr>
    </xdr:pic>
    <xdr:clientData/>
  </xdr:twoCellAnchor>
  <xdr:twoCellAnchor>
    <xdr:from>
      <xdr:col>7</xdr:col>
      <xdr:colOff>220531</xdr:colOff>
      <xdr:row>0</xdr:row>
      <xdr:rowOff>143770</xdr:rowOff>
    </xdr:from>
    <xdr:to>
      <xdr:col>7</xdr:col>
      <xdr:colOff>1243852</xdr:colOff>
      <xdr:row>3</xdr:row>
      <xdr:rowOff>22412</xdr:rowOff>
    </xdr:to>
    <xdr:sp macro="" textlink="">
      <xdr:nvSpPr>
        <xdr:cNvPr id="14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E000000}"/>
            </a:ext>
          </a:extLst>
        </xdr:cNvPr>
        <xdr:cNvSpPr/>
      </xdr:nvSpPr>
      <xdr:spPr>
        <a:xfrm>
          <a:off x="12107731" y="143770"/>
          <a:ext cx="1023321" cy="427282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59839</xdr:colOff>
      <xdr:row>0</xdr:row>
      <xdr:rowOff>175932</xdr:rowOff>
    </xdr:from>
    <xdr:to>
      <xdr:col>0</xdr:col>
      <xdr:colOff>1451049</xdr:colOff>
      <xdr:row>2</xdr:row>
      <xdr:rowOff>148478</xdr:rowOff>
    </xdr:to>
    <xdr:pic>
      <xdr:nvPicPr>
        <xdr:cNvPr id="15" name="image3.png">
          <a:extLst>
            <a:ext uri="{FF2B5EF4-FFF2-40B4-BE49-F238E27FC236}">
              <a16:creationId xmlns:a16="http://schemas.microsoft.com/office/drawing/2014/main" id="{00000000-0008-0000-2200-00000F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59839" y="175932"/>
          <a:ext cx="1391210" cy="338306"/>
        </a:xfrm>
        <a:prstGeom prst="rect">
          <a:avLst/>
        </a:prstGeom>
        <a:ln/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31750</xdr:colOff>
      <xdr:row>0</xdr:row>
      <xdr:rowOff>128756</xdr:rowOff>
    </xdr:from>
    <xdr:ext cx="1862667" cy="453302"/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28756"/>
          <a:ext cx="1862667" cy="453302"/>
        </a:xfrm>
        <a:prstGeom prst="rect">
          <a:avLst/>
        </a:prstGeom>
      </xdr:spPr>
    </xdr:pic>
    <xdr:clientData/>
  </xdr:oneCellAnchor>
  <xdr:twoCellAnchor>
    <xdr:from>
      <xdr:col>7</xdr:col>
      <xdr:colOff>220531</xdr:colOff>
      <xdr:row>0</xdr:row>
      <xdr:rowOff>143770</xdr:rowOff>
    </xdr:from>
    <xdr:to>
      <xdr:col>7</xdr:col>
      <xdr:colOff>1243852</xdr:colOff>
      <xdr:row>3</xdr:row>
      <xdr:rowOff>22412</xdr:rowOff>
    </xdr:to>
    <xdr:sp macro="" textlink="">
      <xdr:nvSpPr>
        <xdr:cNvPr id="4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SpPr/>
      </xdr:nvSpPr>
      <xdr:spPr>
        <a:xfrm>
          <a:off x="10888531" y="143770"/>
          <a:ext cx="1023321" cy="450142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108472</xdr:colOff>
      <xdr:row>0</xdr:row>
      <xdr:rowOff>143770</xdr:rowOff>
    </xdr:from>
    <xdr:to>
      <xdr:col>6</xdr:col>
      <xdr:colOff>969868</xdr:colOff>
      <xdr:row>3</xdr:row>
      <xdr:rowOff>22412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/>
      </xdr:nvSpPr>
      <xdr:spPr>
        <a:xfrm>
          <a:off x="10204972" y="143770"/>
          <a:ext cx="861396" cy="483760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>
    <xdr:from>
      <xdr:col>6</xdr:col>
      <xdr:colOff>108472</xdr:colOff>
      <xdr:row>0</xdr:row>
      <xdr:rowOff>143770</xdr:rowOff>
    </xdr:from>
    <xdr:to>
      <xdr:col>6</xdr:col>
      <xdr:colOff>969868</xdr:colOff>
      <xdr:row>3</xdr:row>
      <xdr:rowOff>22412</xdr:rowOff>
    </xdr:to>
    <xdr:sp macro="" textlink="">
      <xdr:nvSpPr>
        <xdr:cNvPr id="3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SpPr/>
      </xdr:nvSpPr>
      <xdr:spPr>
        <a:xfrm>
          <a:off x="10502152" y="143770"/>
          <a:ext cx="861396" cy="473002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108472</xdr:colOff>
      <xdr:row>0</xdr:row>
      <xdr:rowOff>143770</xdr:rowOff>
    </xdr:from>
    <xdr:to>
      <xdr:col>5</xdr:col>
      <xdr:colOff>969868</xdr:colOff>
      <xdr:row>3</xdr:row>
      <xdr:rowOff>22412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/>
      </xdr:nvSpPr>
      <xdr:spPr>
        <a:xfrm>
          <a:off x="10224022" y="143770"/>
          <a:ext cx="861396" cy="478717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shortcut-targets-by-id/16oaQUYgx8kiowDwLhg-oO1zGZ777DJUb/2.%20Projetos%20em%20Andamento/Muller%20Empreendimentos/Guanabara%20-%202020/03.%20Custo/03.2%20Custo%20-%20Levantamento%20dos%20servi&#231;os/SUPRAESTRUTURA_R00.xlsx" TargetMode="External"/><Relationship Id="rId1" Type="http://schemas.openxmlformats.org/officeDocument/2006/relationships/externalLinkPath" Target="/.shortcut-targets-by-id/16oaQUYgx8kiowDwLhg-oO1zGZ777DJUb/2.%20Projetos%20em%20Andamento/Muller%20Empreendimentos/Guanabara%20-%202020/03.%20Custo/03.2%20Custo%20-%20Levantamento%20dos%20servi&#231;os/SUPRAESTRUTURA_R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shortcut-targets-by-id/16oaQUYgx8kiowDwLhg-oO1zGZ777DJUb/2.%20Projetos%20em%20Andamento/Be%20Brave/04.%20Custo/03.0%20Custo%20-%20Preliminar/CTN-BBV-MRK-%20DIRETOS_R00.xlsx" TargetMode="External"/><Relationship Id="rId1" Type="http://schemas.openxmlformats.org/officeDocument/2006/relationships/externalLinkPath" Target="/.shortcut-targets-by-id/16oaQUYgx8kiowDwLhg-oO1zGZ777DJUb/2.%20Projetos%20em%20Andamento/Be%20Brave/04.%20Custo/03.0%20Custo%20-%20Preliminar/CTN-BBV-MRK-%20DIRETOS_R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FA044FD\CTN-NHS-ORIGEM3300%20-%20Or&#231;amento_Param&#233;trico_Anal&#237;tico_R04_Entreg&#225;vel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shortcut-targets-by-id/16oaQUYgx8kiowDwLhg-oO1zGZ777DJUb/2.%20Projetos%20em%20Andamento/GDI%20-%2008.2023/Playa%20Negra/02.%20Escopo/02.4%20Escopo%20-%20Extra&#231;&#227;o%20de%20quantitativos/12_CTN-GDI-PLN%20-%20Quantitativo_Mobili&#225;rio_R00.xlsx" TargetMode="External"/><Relationship Id="rId1" Type="http://schemas.openxmlformats.org/officeDocument/2006/relationships/externalLinkPath" Target="/.shortcut-targets-by-id/16oaQUYgx8kiowDwLhg-oO1zGZ777DJUb/2.%20Projetos%20em%20Andamento/GDI%20-%2008.2023/Playa%20Negra/02.%20Escopo/02.4%20Escopo%20-%20Extra&#231;&#227;o%20de%20quantitativos/12_CTN-GDI-PLN%20-%20Quantitativo_Mobili&#225;rio_R00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shortcut-targets-by-id/16oaQUYgx8kiowDwLhg-oO1zGZ777DJUb/2.%20Projetos%20em%20Andamento/AS%20Ramos%20-%2001.2022/02.%20Paessaggio/02.%20Escopo/02.4%20Escopo%20-%20Extra&#231;&#227;o%20de%20quantitativos/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shortcut-targets-by-id/16oaQUYgx8kiowDwLhg-oO1zGZ777DJUb/2.%20Projetos%20em%20Andamento/Pass-e%20Empreendimentos/Connect/04.%20Custo/03.0%20Custo%20-%20Or&#231;amento%20Param&#233;trico/R01/CTN-PAS-CNC%20%20-%20Custos_Indiretos_Estimativas_R00.xlsx" TargetMode="External"/><Relationship Id="rId1" Type="http://schemas.openxmlformats.org/officeDocument/2006/relationships/externalLinkPath" Target="/.shortcut-targets-by-id/16oaQUYgx8kiowDwLhg-oO1zGZ777DJUb/2.%20Projetos%20em%20Andamento/Pass-e%20Empreendimentos/Connect/04.%20Custo/03.0%20Custo%20-%20Or&#231;amento%20Param&#233;trico/R01/CTN-PAS-CNC%20%20-%20Custos_Indiretos_Estimativas_R00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shortcut-targets-by-id/16oaQUYgx8kiowDwLhg-oO1zGZ777DJUb/2.%20Projetos%20em%20Andamento/By%20Seasons/04.%20Custo/03.5%20Custo%20-%20Determina&#231;&#227;o%20do%20or&#231;amento/CTN-BSN-FSN%20%20-%20Custos_Indiretos_Estimativas_R00.xlsx" TargetMode="External"/><Relationship Id="rId1" Type="http://schemas.openxmlformats.org/officeDocument/2006/relationships/externalLinkPath" Target="/.shortcut-targets-by-id/16oaQUYgx8kiowDwLhg-oO1zGZ777DJUb/2.%20Projetos%20em%20Andamento/By%20Seasons/04.%20Custo/03.5%20Custo%20-%20Determina&#231;&#227;o%20do%20or&#231;amento/CTN-BSN-FSN%20%20-%20Custos_Indiretos_Estimativas_R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eu%20Drive\Trabalho\Cartesian%20-%20pasta%20local\CTN-HOL-SNS%20-%20Or&#231;amento%20Parcial%201_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PRAESTRUTURA"/>
      <sheetName val="Planilha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DOS_INICIAIS"/>
      <sheetName val="MOVIMENTAÇÃO_DE_TERRA"/>
      <sheetName val="CONTENÇÕES"/>
      <sheetName val="INFRAESTRUTURA"/>
      <sheetName val="ESTACAS AS RAMOS"/>
      <sheetName val="BLOCOS AS RAMOS"/>
      <sheetName val="RESUMO INFRA AS RAMOS"/>
      <sheetName val="SUPRAESTRUTURA"/>
      <sheetName val="SUPRAESTRUTURA - Loca escora"/>
      <sheetName val="SUPRAESTRUTURA - Loca escor (2)"/>
      <sheetName val="RESUMO PROJETISTA"/>
      <sheetName val="Nome_Arquivo-GRAN TORINO-ESTR"/>
      <sheetName val="SUPRA AS RAMOS"/>
      <sheetName val="SUPRA PAV AS RAMOS"/>
      <sheetName val="ALVENARIA"/>
      <sheetName val="APOIO ALV"/>
      <sheetName val="ALVENARIA PAESSAGIO"/>
      <sheetName val="PISO"/>
      <sheetName val="PAREDE"/>
      <sheetName val="TETO"/>
      <sheetName val="REVEST. PISO"/>
      <sheetName val="REVEST. PAREDE"/>
      <sheetName val="REVEST. TETO"/>
      <sheetName val="PINTURA INTERNA"/>
      <sheetName val="Relatório"/>
      <sheetName val="IMPERMEABILIZAÇÃO"/>
      <sheetName val="INSTALAÇÕES"/>
      <sheetName val="SISTEMAS ESPECIAIS"/>
      <sheetName val="COMPLEMENTARES"/>
      <sheetName val="Canteiro"/>
      <sheetName val="Bases"/>
      <sheetName val="EPCs"/>
      <sheetName val="CUSTOS_INDIRETOS"/>
      <sheetName val="ESQUADRIAS"/>
      <sheetName val="BRISES"/>
      <sheetName val="COBERTURA"/>
      <sheetName val="FACHADA"/>
      <sheetName val="FACHADA APOIO"/>
      <sheetName val="ORÇAMENTO_EXECUTIVO"/>
      <sheetName val="ANÁLISE_CUSTOS"/>
      <sheetName val="AREAS_PRIVATIVAS"/>
      <sheetName val="CÁLCULO_MÉDIAS"/>
      <sheetName val="ESSEGE DOM"/>
      <sheetName val="CÁLCULO_MÉDIAS (2)"/>
      <sheetName val="ATALAIA"/>
      <sheetName val="Spotico"/>
      <sheetName val="Índices"/>
      <sheetName val="Auxili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Custos_Indiretos"/>
      <sheetName val="Orçamento_Executivo"/>
      <sheetName val="SUPRA"/>
      <sheetName val="Orçamento_Paramétrico"/>
      <sheetName val="Custo_Médias"/>
      <sheetName val="Custo_Diferença"/>
      <sheetName val="R$_Escoramento"/>
      <sheetName val="Tempo"/>
      <sheetName val="Áre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OBILIÁRIO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BRA"/>
      <sheetName val="CANTEIRO"/>
      <sheetName val="BASES"/>
      <sheetName val="EPCs"/>
      <sheetName val="CUSTOS_INDIRETOS"/>
    </sheetNames>
    <sheetDataSet>
      <sheetData sheetId="0">
        <row r="10">
          <cell r="D10">
            <v>13144.27</v>
          </cell>
        </row>
      </sheetData>
      <sheetData sheetId="1" refreshError="1"/>
      <sheetData sheetId="2"/>
      <sheetData sheetId="3"/>
      <sheetData sheetId="4">
        <row r="70">
          <cell r="F70">
            <v>4020296.7473401343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QUIPA FACHADA"/>
      <sheetName val="OBRA"/>
      <sheetName val="EPC's"/>
      <sheetName val="CANTEIRO"/>
      <sheetName val="RESPOSTAS"/>
      <sheetName val="COMPOSIÇÃO"/>
      <sheetName val="BASES"/>
      <sheetName val="NOUVE"/>
      <sheetName val="VANCOUVER"/>
      <sheetName val="VILLA LOBOS"/>
      <sheetName val="GRAN T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RA"/>
      <sheetName val="EPC's"/>
      <sheetName val="CANTEIRO"/>
      <sheetName val="CONTROLE_TEC"/>
      <sheetName val="COMPARATIVO_CREMALHEIRA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2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3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4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7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10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11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4"/>
  <sheetViews>
    <sheetView view="pageBreakPreview" zoomScaleNormal="115" zoomScaleSheetLayoutView="100" workbookViewId="0">
      <selection activeCell="G13" sqref="G13"/>
    </sheetView>
  </sheetViews>
  <sheetFormatPr defaultColWidth="8.85546875" defaultRowHeight="21.75" x14ac:dyDescent="0.6"/>
  <cols>
    <col min="1" max="1" width="10.7109375" style="1068" customWidth="1"/>
    <col min="2" max="2" width="83.7109375" style="1069" customWidth="1"/>
    <col min="3" max="3" width="11.28515625" style="1069" customWidth="1"/>
    <col min="4" max="4" width="11.7109375" style="1070" bestFit="1" customWidth="1"/>
    <col min="5" max="5" width="24" style="1068" customWidth="1"/>
    <col min="6" max="7" width="9.28515625" style="1036" bestFit="1" customWidth="1"/>
    <col min="8" max="16384" width="8.85546875" style="1036"/>
  </cols>
  <sheetData>
    <row r="1" spans="1:5" ht="18" customHeight="1" x14ac:dyDescent="0.6">
      <c r="A1" s="1031" t="s">
        <v>172</v>
      </c>
      <c r="B1" s="1032" t="s">
        <v>1993</v>
      </c>
      <c r="C1" s="1033"/>
      <c r="D1" s="1034"/>
      <c r="E1" s="1035"/>
    </row>
    <row r="2" spans="1:5" ht="18" customHeight="1" x14ac:dyDescent="0.6">
      <c r="A2" s="1037" t="s">
        <v>173</v>
      </c>
      <c r="B2" s="1038" t="s">
        <v>1994</v>
      </c>
      <c r="C2" s="1039"/>
      <c r="D2" s="1040"/>
      <c r="E2" s="1041"/>
    </row>
    <row r="3" spans="1:5" ht="18" customHeight="1" x14ac:dyDescent="0.6">
      <c r="A3" s="1037" t="s">
        <v>174</v>
      </c>
      <c r="B3" s="1038" t="s">
        <v>1995</v>
      </c>
      <c r="C3" s="1039"/>
      <c r="D3" s="1040"/>
      <c r="E3" s="1041"/>
    </row>
    <row r="4" spans="1:5" ht="25.15" customHeight="1" x14ac:dyDescent="0.25">
      <c r="A4" s="1234" t="s">
        <v>1996</v>
      </c>
      <c r="B4" s="1235"/>
      <c r="C4" s="1235"/>
      <c r="D4" s="1235"/>
      <c r="E4" s="1236"/>
    </row>
    <row r="5" spans="1:5" ht="14.45" customHeight="1" x14ac:dyDescent="0.6">
      <c r="A5" s="1042"/>
      <c r="B5" s="1043"/>
      <c r="C5" s="1043"/>
      <c r="D5" s="1044"/>
      <c r="E5" s="1045"/>
    </row>
    <row r="6" spans="1:5" ht="16.899999999999999" customHeight="1" x14ac:dyDescent="0.25">
      <c r="A6" s="1237" t="s">
        <v>1997</v>
      </c>
      <c r="B6" s="1238"/>
      <c r="C6" s="1238"/>
      <c r="D6" s="1238"/>
      <c r="E6" s="1239"/>
    </row>
    <row r="7" spans="1:5" ht="14.45" customHeight="1" thickBot="1" x14ac:dyDescent="0.65">
      <c r="A7" s="1046"/>
      <c r="B7" s="1047"/>
      <c r="C7" s="1048"/>
      <c r="D7" s="1049"/>
      <c r="E7" s="1050"/>
    </row>
    <row r="8" spans="1:5" x14ac:dyDescent="0.6">
      <c r="A8" s="1051"/>
      <c r="B8" s="1052" t="s">
        <v>0</v>
      </c>
      <c r="C8" s="1053" t="s">
        <v>87</v>
      </c>
      <c r="D8" s="1054" t="s">
        <v>93</v>
      </c>
      <c r="E8" s="1050"/>
    </row>
    <row r="9" spans="1:5" x14ac:dyDescent="0.6">
      <c r="A9" s="1051"/>
      <c r="B9" s="1055" t="s">
        <v>1998</v>
      </c>
      <c r="C9" s="1056" t="s">
        <v>1999</v>
      </c>
      <c r="D9" s="1057">
        <v>720.16</v>
      </c>
      <c r="E9" s="1050"/>
    </row>
    <row r="10" spans="1:5" x14ac:dyDescent="0.6">
      <c r="A10" s="1051"/>
      <c r="B10" s="1058" t="s">
        <v>1470</v>
      </c>
      <c r="C10" s="1059" t="s">
        <v>1999</v>
      </c>
      <c r="D10" s="1057">
        <v>8700</v>
      </c>
      <c r="E10" s="1050"/>
    </row>
    <row r="11" spans="1:5" x14ac:dyDescent="0.6">
      <c r="A11" s="1051"/>
      <c r="B11" s="1058" t="s">
        <v>2000</v>
      </c>
      <c r="C11" s="1059" t="s">
        <v>1410</v>
      </c>
      <c r="D11" s="1060">
        <f>20*3</f>
        <v>60</v>
      </c>
      <c r="E11" s="1050"/>
    </row>
    <row r="12" spans="1:5" x14ac:dyDescent="0.6">
      <c r="A12" s="1051"/>
      <c r="B12" s="1058" t="s">
        <v>2001</v>
      </c>
      <c r="C12" s="1059" t="s">
        <v>2002</v>
      </c>
      <c r="D12" s="1060">
        <v>48</v>
      </c>
      <c r="E12" s="1050"/>
    </row>
    <row r="13" spans="1:5" ht="22.5" thickBot="1" x14ac:dyDescent="0.65">
      <c r="A13" s="1051"/>
      <c r="B13" s="1061" t="s">
        <v>2003</v>
      </c>
      <c r="C13" s="1062" t="s">
        <v>1410</v>
      </c>
      <c r="D13" s="1063">
        <v>27</v>
      </c>
      <c r="E13" s="1050"/>
    </row>
    <row r="14" spans="1:5" ht="22.5" thickBot="1" x14ac:dyDescent="0.65">
      <c r="A14" s="1064"/>
      <c r="B14" s="1065"/>
      <c r="C14" s="1065"/>
      <c r="D14" s="1066"/>
      <c r="E14" s="1067"/>
    </row>
  </sheetData>
  <mergeCells count="2">
    <mergeCell ref="A4:E4"/>
    <mergeCell ref="A6:E6"/>
  </mergeCells>
  <pageMargins left="0.51181102362204722" right="0.51181102362204722" top="0.78740157480314965" bottom="0.78740157480314965" header="0.31496062992125984" footer="0.31496062992125984"/>
  <pageSetup paperSize="9" scale="6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85"/>
  <sheetViews>
    <sheetView showGridLines="0" view="pageBreakPreview" zoomScaleNormal="105" zoomScaleSheetLayoutView="100" workbookViewId="0">
      <selection activeCell="G11" sqref="G11"/>
    </sheetView>
  </sheetViews>
  <sheetFormatPr defaultColWidth="8.85546875" defaultRowHeight="21.75" x14ac:dyDescent="0.6"/>
  <cols>
    <col min="1" max="1" width="10.7109375" style="1068" customWidth="1"/>
    <col min="2" max="2" width="67.28515625" style="1069" customWidth="1"/>
    <col min="3" max="3" width="11.28515625" style="1069" customWidth="1"/>
    <col min="4" max="4" width="12.140625" style="1070" customWidth="1"/>
    <col min="5" max="5" width="4.5703125" style="1125" customWidth="1"/>
    <col min="6" max="6" width="32.140625" style="1068" customWidth="1"/>
    <col min="7" max="8" width="9.28515625" style="1036" bestFit="1" customWidth="1"/>
    <col min="9" max="16384" width="8.85546875" style="1036"/>
  </cols>
  <sheetData>
    <row r="1" spans="1:6" ht="18" customHeight="1" x14ac:dyDescent="0.6">
      <c r="A1" s="1031" t="s">
        <v>172</v>
      </c>
      <c r="B1" s="1032" t="str">
        <f>OBRA!B1</f>
        <v>Sense106</v>
      </c>
      <c r="C1" s="1033"/>
      <c r="D1" s="1034"/>
      <c r="E1" s="1071"/>
      <c r="F1" s="1035"/>
    </row>
    <row r="2" spans="1:6" ht="18" customHeight="1" x14ac:dyDescent="0.6">
      <c r="A2" s="1037" t="s">
        <v>173</v>
      </c>
      <c r="B2" s="1038" t="str">
        <f>OBRA!B2</f>
        <v>HOLZE Empreendimentos</v>
      </c>
      <c r="C2" s="1039"/>
      <c r="D2" s="1040"/>
      <c r="E2" s="1072"/>
      <c r="F2" s="1041"/>
    </row>
    <row r="3" spans="1:6" ht="18" customHeight="1" x14ac:dyDescent="0.6">
      <c r="A3" s="1037" t="s">
        <v>174</v>
      </c>
      <c r="B3" s="1038" t="str">
        <f>OBRA!B3</f>
        <v>R00</v>
      </c>
      <c r="C3" s="1039"/>
      <c r="D3" s="1040"/>
      <c r="E3" s="1072"/>
      <c r="F3" s="1041"/>
    </row>
    <row r="4" spans="1:6" ht="25.15" customHeight="1" x14ac:dyDescent="0.25">
      <c r="A4" s="1234" t="s">
        <v>2004</v>
      </c>
      <c r="B4" s="1235"/>
      <c r="C4" s="1235"/>
      <c r="D4" s="1235"/>
      <c r="E4" s="1235"/>
      <c r="F4" s="1236"/>
    </row>
    <row r="5" spans="1:6" ht="14.45" customHeight="1" x14ac:dyDescent="0.6">
      <c r="A5" s="1042"/>
      <c r="B5" s="1043"/>
      <c r="C5" s="1043"/>
      <c r="D5" s="1044"/>
      <c r="E5" s="1073"/>
      <c r="F5" s="1045"/>
    </row>
    <row r="6" spans="1:6" ht="16.899999999999999" customHeight="1" x14ac:dyDescent="0.25">
      <c r="A6" s="1237" t="s">
        <v>2005</v>
      </c>
      <c r="B6" s="1238"/>
      <c r="C6" s="1238"/>
      <c r="D6" s="1238"/>
      <c r="E6" s="1238"/>
      <c r="F6" s="1239"/>
    </row>
    <row r="7" spans="1:6" ht="14.45" customHeight="1" x14ac:dyDescent="0.6">
      <c r="A7" s="1046"/>
      <c r="B7" s="1047"/>
      <c r="C7" s="1048"/>
      <c r="D7" s="1049"/>
      <c r="E7" s="1074"/>
      <c r="F7" s="1050"/>
    </row>
    <row r="8" spans="1:6" x14ac:dyDescent="0.6">
      <c r="A8" s="1075" t="s">
        <v>1802</v>
      </c>
      <c r="B8" s="1076"/>
      <c r="C8" s="1076"/>
      <c r="D8" s="1077"/>
      <c r="E8" s="1078"/>
      <c r="F8" s="1079"/>
    </row>
    <row r="9" spans="1:6" ht="22.5" thickBot="1" x14ac:dyDescent="0.65">
      <c r="A9" s="1051"/>
      <c r="B9" s="1080"/>
      <c r="C9" s="1080"/>
      <c r="D9" s="1081"/>
      <c r="E9" s="1082"/>
      <c r="F9" s="1050"/>
    </row>
    <row r="10" spans="1:6" x14ac:dyDescent="0.6">
      <c r="A10" s="1051"/>
      <c r="B10" s="1052" t="s">
        <v>0</v>
      </c>
      <c r="C10" s="1053" t="s">
        <v>87</v>
      </c>
      <c r="D10" s="1083" t="s">
        <v>93</v>
      </c>
      <c r="E10" s="1082"/>
      <c r="F10" s="1050"/>
    </row>
    <row r="11" spans="1:6" x14ac:dyDescent="0.6">
      <c r="A11" s="1051"/>
      <c r="B11" s="1058" t="s">
        <v>2006</v>
      </c>
      <c r="C11" s="1059" t="s">
        <v>3</v>
      </c>
      <c r="D11" s="1060">
        <v>102.22</v>
      </c>
      <c r="E11" s="1082"/>
      <c r="F11" s="1050"/>
    </row>
    <row r="12" spans="1:6" x14ac:dyDescent="0.6">
      <c r="A12" s="1051"/>
      <c r="B12" s="1058" t="s">
        <v>2007</v>
      </c>
      <c r="C12" s="1059" t="s">
        <v>2</v>
      </c>
      <c r="D12" s="1060">
        <v>1</v>
      </c>
      <c r="E12" s="1082"/>
      <c r="F12" s="1050"/>
    </row>
    <row r="13" spans="1:6" x14ac:dyDescent="0.6">
      <c r="A13" s="1051"/>
      <c r="B13" s="1058" t="s">
        <v>2008</v>
      </c>
      <c r="C13" s="1084" t="s">
        <v>3</v>
      </c>
      <c r="D13" s="1085">
        <v>69.489999999999995</v>
      </c>
      <c r="E13" s="1086"/>
      <c r="F13" s="1050"/>
    </row>
    <row r="14" spans="1:6" x14ac:dyDescent="0.6">
      <c r="A14" s="1051"/>
      <c r="B14" s="1058" t="s">
        <v>2007</v>
      </c>
      <c r="C14" s="1059" t="s">
        <v>2</v>
      </c>
      <c r="D14" s="1060">
        <v>1</v>
      </c>
      <c r="E14" s="1086"/>
      <c r="F14" s="1050"/>
    </row>
    <row r="15" spans="1:6" ht="22.5" thickBot="1" x14ac:dyDescent="0.65">
      <c r="A15" s="1051"/>
      <c r="B15" s="1087" t="s">
        <v>2009</v>
      </c>
      <c r="C15" s="1088" t="s">
        <v>3</v>
      </c>
      <c r="D15" s="1089">
        <f>D11*D12+D13*D14</f>
        <v>171.70999999999998</v>
      </c>
      <c r="E15" s="1082"/>
      <c r="F15" s="1050"/>
    </row>
    <row r="16" spans="1:6" x14ac:dyDescent="0.6">
      <c r="A16" s="1051"/>
      <c r="B16" s="1058" t="s">
        <v>2008</v>
      </c>
      <c r="C16" s="1084" t="s">
        <v>3</v>
      </c>
      <c r="D16" s="1085">
        <f>D13</f>
        <v>69.489999999999995</v>
      </c>
      <c r="E16" s="1086"/>
      <c r="F16" s="1050"/>
    </row>
    <row r="17" spans="1:6" x14ac:dyDescent="0.6">
      <c r="A17" s="1051"/>
      <c r="B17" s="1058" t="s">
        <v>2010</v>
      </c>
      <c r="C17" s="1059" t="s">
        <v>2</v>
      </c>
      <c r="D17" s="1060">
        <v>5</v>
      </c>
      <c r="E17" s="1090"/>
      <c r="F17" s="1050"/>
    </row>
    <row r="18" spans="1:6" ht="22.5" thickBot="1" x14ac:dyDescent="0.65">
      <c r="A18" s="1051"/>
      <c r="B18" s="1087" t="s">
        <v>2011</v>
      </c>
      <c r="C18" s="1088" t="s">
        <v>3</v>
      </c>
      <c r="D18" s="1089">
        <f>D16*D17</f>
        <v>347.45</v>
      </c>
      <c r="E18" s="1082"/>
      <c r="F18" s="1050"/>
    </row>
    <row r="19" spans="1:6" x14ac:dyDescent="0.6">
      <c r="A19" s="1091"/>
      <c r="B19" s="1080"/>
      <c r="C19" s="1080"/>
      <c r="D19" s="1081"/>
      <c r="E19" s="1082"/>
      <c r="F19" s="1050"/>
    </row>
    <row r="20" spans="1:6" x14ac:dyDescent="0.6">
      <c r="A20" s="1075" t="s">
        <v>2012</v>
      </c>
      <c r="B20" s="1076"/>
      <c r="C20" s="1076"/>
      <c r="D20" s="1077"/>
      <c r="E20" s="1078"/>
      <c r="F20" s="1079"/>
    </row>
    <row r="21" spans="1:6" ht="22.5" thickBot="1" x14ac:dyDescent="0.65">
      <c r="A21" s="1091"/>
      <c r="B21" s="1080"/>
      <c r="C21" s="1080"/>
      <c r="D21" s="1081"/>
      <c r="E21" s="1082"/>
      <c r="F21" s="1050"/>
    </row>
    <row r="22" spans="1:6" x14ac:dyDescent="0.6">
      <c r="A22" s="1091"/>
      <c r="B22" s="1052" t="s">
        <v>0</v>
      </c>
      <c r="C22" s="1053" t="s">
        <v>87</v>
      </c>
      <c r="D22" s="1083" t="s">
        <v>93</v>
      </c>
      <c r="E22" s="1082"/>
      <c r="F22" s="1050"/>
    </row>
    <row r="23" spans="1:6" x14ac:dyDescent="0.6">
      <c r="A23" s="1091"/>
      <c r="B23" s="1055" t="s">
        <v>2013</v>
      </c>
      <c r="C23" s="1056" t="s">
        <v>3</v>
      </c>
      <c r="D23" s="1057">
        <f>D16</f>
        <v>69.489999999999995</v>
      </c>
      <c r="E23" s="1082"/>
      <c r="F23" s="1050"/>
    </row>
    <row r="24" spans="1:6" x14ac:dyDescent="0.6">
      <c r="A24" s="1091"/>
      <c r="B24" s="1092" t="s">
        <v>2014</v>
      </c>
      <c r="C24" s="1093" t="s">
        <v>2</v>
      </c>
      <c r="D24" s="1094">
        <v>4</v>
      </c>
      <c r="E24" s="1082"/>
      <c r="F24" s="1050"/>
    </row>
    <row r="25" spans="1:6" x14ac:dyDescent="0.6">
      <c r="A25" s="1091"/>
      <c r="B25" s="1095" t="s">
        <v>2015</v>
      </c>
      <c r="C25" s="1096" t="s">
        <v>3</v>
      </c>
      <c r="D25" s="1097">
        <f>(D23*D24)</f>
        <v>277.95999999999998</v>
      </c>
      <c r="E25" s="1082"/>
      <c r="F25" s="1050"/>
    </row>
    <row r="26" spans="1:6" s="1100" customFormat="1" ht="15.75" x14ac:dyDescent="0.45">
      <c r="A26" s="1051"/>
      <c r="B26" s="1082"/>
      <c r="C26" s="1082"/>
      <c r="D26" s="1098"/>
      <c r="E26" s="1082"/>
      <c r="F26" s="1099"/>
    </row>
    <row r="27" spans="1:6" x14ac:dyDescent="0.6">
      <c r="A27" s="1075" t="s">
        <v>2016</v>
      </c>
      <c r="B27" s="1076"/>
      <c r="C27" s="1076"/>
      <c r="D27" s="1077"/>
      <c r="E27" s="1078"/>
      <c r="F27" s="1079"/>
    </row>
    <row r="28" spans="1:6" ht="22.5" thickBot="1" x14ac:dyDescent="0.65">
      <c r="A28" s="1091"/>
      <c r="B28" s="1080"/>
      <c r="C28" s="1080"/>
      <c r="D28" s="1081"/>
      <c r="E28" s="1082"/>
      <c r="F28" s="1050"/>
    </row>
    <row r="29" spans="1:6" x14ac:dyDescent="0.6">
      <c r="A29" s="1091"/>
      <c r="B29" s="1052" t="s">
        <v>0</v>
      </c>
      <c r="C29" s="1053" t="s">
        <v>87</v>
      </c>
      <c r="D29" s="1083" t="s">
        <v>93</v>
      </c>
      <c r="E29" s="1082"/>
      <c r="F29" s="1050"/>
    </row>
    <row r="30" spans="1:6" x14ac:dyDescent="0.6">
      <c r="A30" s="1091"/>
      <c r="B30" s="1055" t="s">
        <v>2017</v>
      </c>
      <c r="C30" s="1056" t="s">
        <v>13</v>
      </c>
      <c r="D30" s="1094">
        <f>1998.89+2*2016.93</f>
        <v>6032.75</v>
      </c>
      <c r="E30" s="1101"/>
      <c r="F30" s="1050"/>
    </row>
    <row r="31" spans="1:6" x14ac:dyDescent="0.6">
      <c r="A31" s="1091"/>
      <c r="B31" s="1095" t="s">
        <v>2016</v>
      </c>
      <c r="C31" s="1096" t="s">
        <v>1</v>
      </c>
      <c r="D31" s="1097">
        <f>D30</f>
        <v>6032.75</v>
      </c>
      <c r="E31" s="1082"/>
      <c r="F31" s="1050"/>
    </row>
    <row r="32" spans="1:6" x14ac:dyDescent="0.6">
      <c r="A32" s="1091"/>
      <c r="B32" s="1080"/>
      <c r="C32" s="1080"/>
      <c r="D32" s="1081"/>
      <c r="E32" s="1082"/>
      <c r="F32" s="1050"/>
    </row>
    <row r="33" spans="1:6" x14ac:dyDescent="0.6">
      <c r="A33" s="1075" t="s">
        <v>2018</v>
      </c>
      <c r="B33" s="1076"/>
      <c r="C33" s="1076"/>
      <c r="D33" s="1077"/>
      <c r="E33" s="1078"/>
      <c r="F33" s="1079"/>
    </row>
    <row r="34" spans="1:6" ht="22.5" thickBot="1" x14ac:dyDescent="0.65">
      <c r="A34" s="1091"/>
      <c r="B34" s="1080"/>
      <c r="C34" s="1080"/>
      <c r="D34" s="1081"/>
      <c r="E34" s="1082"/>
      <c r="F34" s="1050"/>
    </row>
    <row r="35" spans="1:6" x14ac:dyDescent="0.6">
      <c r="A35" s="1091"/>
      <c r="B35" s="1102" t="s">
        <v>0</v>
      </c>
      <c r="C35" s="1103" t="s">
        <v>87</v>
      </c>
      <c r="D35" s="1104" t="s">
        <v>93</v>
      </c>
      <c r="E35" s="1082"/>
      <c r="F35" s="1050"/>
    </row>
    <row r="36" spans="1:6" x14ac:dyDescent="0.6">
      <c r="A36" s="1091"/>
      <c r="B36" s="1058" t="s">
        <v>2019</v>
      </c>
      <c r="C36" s="1059" t="s">
        <v>1</v>
      </c>
      <c r="D36" s="1060">
        <f>0.9*2.4</f>
        <v>2.16</v>
      </c>
      <c r="E36" s="1082"/>
      <c r="F36" s="1050"/>
    </row>
    <row r="37" spans="1:6" x14ac:dyDescent="0.6">
      <c r="A37" s="1091"/>
      <c r="B37" s="1058" t="s">
        <v>2020</v>
      </c>
      <c r="C37" s="1059" t="s">
        <v>2</v>
      </c>
      <c r="D37" s="1060">
        <v>2</v>
      </c>
      <c r="E37" s="1082"/>
      <c r="F37" s="1099"/>
    </row>
    <row r="38" spans="1:6" x14ac:dyDescent="0.6">
      <c r="A38" s="1091"/>
      <c r="B38" s="1058" t="s">
        <v>2021</v>
      </c>
      <c r="C38" s="1059" t="s">
        <v>2</v>
      </c>
      <c r="D38" s="1060">
        <f>D37*25</f>
        <v>50</v>
      </c>
      <c r="E38" s="1082"/>
      <c r="F38" s="1050"/>
    </row>
    <row r="39" spans="1:6" x14ac:dyDescent="0.6">
      <c r="A39" s="1091"/>
      <c r="B39" s="1105" t="s">
        <v>2018</v>
      </c>
      <c r="C39" s="1106" t="s">
        <v>1</v>
      </c>
      <c r="D39" s="1107">
        <f>D36*D38</f>
        <v>108</v>
      </c>
      <c r="E39" s="1082"/>
      <c r="F39" s="1050"/>
    </row>
    <row r="40" spans="1:6" x14ac:dyDescent="0.6">
      <c r="A40" s="1091"/>
      <c r="B40" s="1080"/>
      <c r="C40" s="1080"/>
      <c r="D40" s="1081"/>
      <c r="E40" s="1082"/>
      <c r="F40" s="1050"/>
    </row>
    <row r="41" spans="1:6" x14ac:dyDescent="0.6">
      <c r="A41" s="1075" t="s">
        <v>2022</v>
      </c>
      <c r="B41" s="1076"/>
      <c r="C41" s="1076"/>
      <c r="D41" s="1077"/>
      <c r="E41" s="1078"/>
      <c r="F41" s="1079"/>
    </row>
    <row r="42" spans="1:6" ht="22.5" thickBot="1" x14ac:dyDescent="0.65">
      <c r="A42" s="1091"/>
      <c r="B42" s="1080"/>
      <c r="C42" s="1080"/>
      <c r="D42" s="1081"/>
      <c r="E42" s="1082"/>
      <c r="F42" s="1050"/>
    </row>
    <row r="43" spans="1:6" x14ac:dyDescent="0.6">
      <c r="A43" s="1091"/>
      <c r="B43" s="1052" t="s">
        <v>0</v>
      </c>
      <c r="C43" s="1053" t="s">
        <v>87</v>
      </c>
      <c r="D43" s="1083" t="s">
        <v>93</v>
      </c>
      <c r="E43" s="1082"/>
      <c r="F43" s="1050"/>
    </row>
    <row r="44" spans="1:6" x14ac:dyDescent="0.6">
      <c r="A44" s="1091"/>
      <c r="B44" s="1108" t="s">
        <v>2023</v>
      </c>
      <c r="C44" s="1109" t="s">
        <v>3</v>
      </c>
      <c r="D44" s="1110">
        <f>9.8+14.5+12.2+23.56+12.8*20</f>
        <v>316.06</v>
      </c>
      <c r="E44" s="1082"/>
      <c r="F44" s="1099"/>
    </row>
    <row r="45" spans="1:6" x14ac:dyDescent="0.6">
      <c r="A45" s="1091"/>
      <c r="B45" s="1095" t="s">
        <v>2022</v>
      </c>
      <c r="C45" s="1096" t="s">
        <v>3</v>
      </c>
      <c r="D45" s="1097">
        <f>D44</f>
        <v>316.06</v>
      </c>
      <c r="E45" s="1082"/>
      <c r="F45" s="1050"/>
    </row>
    <row r="46" spans="1:6" x14ac:dyDescent="0.6">
      <c r="A46" s="1091"/>
      <c r="B46" s="1080"/>
      <c r="C46" s="1080"/>
      <c r="D46" s="1081"/>
      <c r="E46" s="1082"/>
      <c r="F46" s="1050"/>
    </row>
    <row r="47" spans="1:6" x14ac:dyDescent="0.6">
      <c r="A47" s="1075" t="s">
        <v>2024</v>
      </c>
      <c r="B47" s="1076"/>
      <c r="C47" s="1076"/>
      <c r="D47" s="1077"/>
      <c r="E47" s="1078"/>
      <c r="F47" s="1079"/>
    </row>
    <row r="48" spans="1:6" ht="22.5" thickBot="1" x14ac:dyDescent="0.65">
      <c r="A48" s="1091"/>
      <c r="B48" s="1080"/>
      <c r="C48" s="1080"/>
      <c r="D48" s="1081"/>
      <c r="E48" s="1082"/>
      <c r="F48" s="1050"/>
    </row>
    <row r="49" spans="1:6" x14ac:dyDescent="0.6">
      <c r="A49" s="1091"/>
      <c r="B49" s="1052" t="s">
        <v>0</v>
      </c>
      <c r="C49" s="1053" t="s">
        <v>87</v>
      </c>
      <c r="D49" s="1083" t="s">
        <v>93</v>
      </c>
      <c r="E49" s="1082"/>
      <c r="F49" s="1050"/>
    </row>
    <row r="50" spans="1:6" x14ac:dyDescent="0.6">
      <c r="A50" s="1091"/>
      <c r="B50" s="1055" t="s">
        <v>2025</v>
      </c>
      <c r="C50" s="1056" t="s">
        <v>3</v>
      </c>
      <c r="D50" s="1057">
        <v>25.72</v>
      </c>
      <c r="E50" s="1082"/>
      <c r="F50" s="1050"/>
    </row>
    <row r="51" spans="1:6" x14ac:dyDescent="0.6">
      <c r="A51" s="1091"/>
      <c r="B51" s="1092" t="s">
        <v>2026</v>
      </c>
      <c r="C51" s="1093" t="s">
        <v>3</v>
      </c>
      <c r="D51" s="1094">
        <v>2.4</v>
      </c>
      <c r="E51" s="1082"/>
      <c r="F51" s="1050"/>
    </row>
    <row r="52" spans="1:6" x14ac:dyDescent="0.6">
      <c r="A52" s="1091"/>
      <c r="B52" s="1095" t="s">
        <v>2027</v>
      </c>
      <c r="C52" s="1096" t="s">
        <v>1</v>
      </c>
      <c r="D52" s="1097">
        <f>D51*D50</f>
        <v>61.727999999999994</v>
      </c>
      <c r="E52" s="1082"/>
      <c r="F52" s="1050"/>
    </row>
    <row r="53" spans="1:6" x14ac:dyDescent="0.6">
      <c r="A53" s="1091"/>
      <c r="B53" s="1080"/>
      <c r="C53" s="1080"/>
      <c r="D53" s="1081"/>
      <c r="E53" s="1082"/>
      <c r="F53" s="1050"/>
    </row>
    <row r="54" spans="1:6" x14ac:dyDescent="0.6">
      <c r="A54" s="1075" t="s">
        <v>1083</v>
      </c>
      <c r="B54" s="1076"/>
      <c r="C54" s="1076"/>
      <c r="D54" s="1077"/>
      <c r="E54" s="1078"/>
      <c r="F54" s="1079"/>
    </row>
    <row r="55" spans="1:6" ht="22.5" thickBot="1" x14ac:dyDescent="0.65">
      <c r="A55" s="1091"/>
      <c r="B55" s="1080"/>
      <c r="C55" s="1080"/>
      <c r="D55" s="1081"/>
      <c r="E55" s="1082"/>
      <c r="F55" s="1050"/>
    </row>
    <row r="56" spans="1:6" x14ac:dyDescent="0.6">
      <c r="A56" s="1091"/>
      <c r="B56" s="1052" t="s">
        <v>0</v>
      </c>
      <c r="C56" s="1053" t="s">
        <v>87</v>
      </c>
      <c r="D56" s="1111" t="s">
        <v>93</v>
      </c>
      <c r="E56" s="1082"/>
      <c r="F56" s="1050"/>
    </row>
    <row r="57" spans="1:6" x14ac:dyDescent="0.6">
      <c r="A57" s="1091"/>
      <c r="B57" s="1108" t="s">
        <v>2028</v>
      </c>
      <c r="C57" s="1112" t="s">
        <v>3</v>
      </c>
      <c r="D57" s="1113">
        <f>D25</f>
        <v>277.95999999999998</v>
      </c>
      <c r="E57" s="1101"/>
      <c r="F57" s="1050"/>
    </row>
    <row r="58" spans="1:6" x14ac:dyDescent="0.6">
      <c r="A58" s="1091"/>
      <c r="B58" s="1095" t="s">
        <v>1083</v>
      </c>
      <c r="C58" s="1096" t="s">
        <v>3</v>
      </c>
      <c r="D58" s="1097">
        <f>D57</f>
        <v>277.95999999999998</v>
      </c>
      <c r="E58" s="1082"/>
      <c r="F58" s="1050"/>
    </row>
    <row r="59" spans="1:6" x14ac:dyDescent="0.6">
      <c r="A59" s="1091"/>
      <c r="B59" s="1080"/>
      <c r="C59" s="1080"/>
      <c r="D59" s="1081"/>
      <c r="E59" s="1082"/>
      <c r="F59" s="1050"/>
    </row>
    <row r="60" spans="1:6" x14ac:dyDescent="0.6">
      <c r="A60" s="1075" t="s">
        <v>2029</v>
      </c>
      <c r="B60" s="1076"/>
      <c r="C60" s="1076"/>
      <c r="D60" s="1077"/>
      <c r="E60" s="1078"/>
      <c r="F60" s="1079"/>
    </row>
    <row r="61" spans="1:6" ht="22.5" thickBot="1" x14ac:dyDescent="0.65">
      <c r="A61" s="1091"/>
      <c r="B61" s="1080"/>
      <c r="C61" s="1080"/>
      <c r="D61" s="1081"/>
      <c r="E61" s="1082"/>
      <c r="F61" s="1050"/>
    </row>
    <row r="62" spans="1:6" x14ac:dyDescent="0.6">
      <c r="A62" s="1091"/>
      <c r="B62" s="1052" t="s">
        <v>0</v>
      </c>
      <c r="C62" s="1053" t="s">
        <v>87</v>
      </c>
      <c r="D62" s="1083" t="s">
        <v>93</v>
      </c>
      <c r="E62" s="1082"/>
      <c r="F62" s="1050"/>
    </row>
    <row r="63" spans="1:6" x14ac:dyDescent="0.6">
      <c r="A63" s="1091"/>
      <c r="B63" s="1058" t="s">
        <v>2008</v>
      </c>
      <c r="C63" s="1114" t="s">
        <v>3</v>
      </c>
      <c r="D63" s="1115">
        <f>D16</f>
        <v>69.489999999999995</v>
      </c>
      <c r="E63" s="1082"/>
      <c r="F63" s="1050"/>
    </row>
    <row r="64" spans="1:6" x14ac:dyDescent="0.6">
      <c r="A64" s="1091"/>
      <c r="B64" s="1055" t="s">
        <v>2030</v>
      </c>
      <c r="C64" s="1116" t="s">
        <v>3</v>
      </c>
      <c r="D64" s="1117">
        <f>3.24*2</f>
        <v>6.48</v>
      </c>
      <c r="E64" s="1101"/>
      <c r="F64" s="1050"/>
    </row>
    <row r="65" spans="1:6" x14ac:dyDescent="0.6">
      <c r="A65" s="1091"/>
      <c r="B65" s="1095" t="s">
        <v>2031</v>
      </c>
      <c r="C65" s="1118" t="s">
        <v>1</v>
      </c>
      <c r="D65" s="1119">
        <f>D63*D64</f>
        <v>450.29520000000002</v>
      </c>
      <c r="E65" s="1082"/>
      <c r="F65" s="1050"/>
    </row>
    <row r="66" spans="1:6" x14ac:dyDescent="0.6">
      <c r="A66" s="1091"/>
      <c r="B66" s="1080"/>
      <c r="C66" s="1080"/>
      <c r="D66" s="1081"/>
      <c r="E66" s="1082"/>
      <c r="F66" s="1050"/>
    </row>
    <row r="67" spans="1:6" x14ac:dyDescent="0.6">
      <c r="A67" s="1075" t="s">
        <v>1056</v>
      </c>
      <c r="B67" s="1076"/>
      <c r="C67" s="1076"/>
      <c r="D67" s="1077"/>
      <c r="E67" s="1078"/>
      <c r="F67" s="1079"/>
    </row>
    <row r="68" spans="1:6" ht="22.5" thickBot="1" x14ac:dyDescent="0.65">
      <c r="A68" s="1091"/>
      <c r="B68" s="1080"/>
      <c r="C68" s="1080"/>
      <c r="D68" s="1081"/>
      <c r="E68" s="1082"/>
      <c r="F68" s="1050"/>
    </row>
    <row r="69" spans="1:6" x14ac:dyDescent="0.6">
      <c r="A69" s="1091"/>
      <c r="B69" s="1052" t="s">
        <v>0</v>
      </c>
      <c r="C69" s="1053" t="s">
        <v>87</v>
      </c>
      <c r="D69" s="1083" t="s">
        <v>93</v>
      </c>
      <c r="E69" s="1082"/>
      <c r="F69" s="1050"/>
    </row>
    <row r="70" spans="1:6" x14ac:dyDescent="0.6">
      <c r="A70" s="1091"/>
      <c r="B70" s="1055" t="s">
        <v>2032</v>
      </c>
      <c r="C70" s="1056" t="s">
        <v>1</v>
      </c>
      <c r="D70" s="1057">
        <v>12.14</v>
      </c>
      <c r="E70" s="1082"/>
      <c r="F70" s="1050"/>
    </row>
    <row r="71" spans="1:6" x14ac:dyDescent="0.6">
      <c r="A71" s="1091"/>
      <c r="B71" s="1092" t="s">
        <v>2033</v>
      </c>
      <c r="C71" s="1093" t="s">
        <v>1560</v>
      </c>
      <c r="D71" s="1094">
        <f>OBRA!D13</f>
        <v>27</v>
      </c>
      <c r="E71" s="1082"/>
      <c r="F71" s="1050"/>
    </row>
    <row r="72" spans="1:6" x14ac:dyDescent="0.6">
      <c r="A72" s="1091"/>
      <c r="B72" s="1095" t="s">
        <v>2034</v>
      </c>
      <c r="C72" s="1096" t="s">
        <v>1</v>
      </c>
      <c r="D72" s="1097">
        <f>D71*D70</f>
        <v>327.78000000000003</v>
      </c>
      <c r="E72" s="1082"/>
      <c r="F72" s="1050"/>
    </row>
    <row r="73" spans="1:6" x14ac:dyDescent="0.6">
      <c r="A73" s="1091"/>
      <c r="B73" s="1080"/>
      <c r="C73" s="1080"/>
      <c r="D73" s="1081"/>
      <c r="E73" s="1082"/>
      <c r="F73" s="1050"/>
    </row>
    <row r="74" spans="1:6" x14ac:dyDescent="0.6">
      <c r="A74" s="1075" t="s">
        <v>1057</v>
      </c>
      <c r="B74" s="1076"/>
      <c r="C74" s="1076"/>
      <c r="D74" s="1077"/>
      <c r="E74" s="1078"/>
      <c r="F74" s="1079"/>
    </row>
    <row r="75" spans="1:6" ht="22.5" thickBot="1" x14ac:dyDescent="0.65">
      <c r="A75" s="1091"/>
      <c r="B75" s="1080"/>
      <c r="C75" s="1080"/>
      <c r="D75" s="1081"/>
      <c r="E75" s="1082"/>
      <c r="F75" s="1050"/>
    </row>
    <row r="76" spans="1:6" x14ac:dyDescent="0.6">
      <c r="A76" s="1091"/>
      <c r="B76" s="1052" t="s">
        <v>0</v>
      </c>
      <c r="C76" s="1053" t="s">
        <v>87</v>
      </c>
      <c r="D76" s="1083" t="s">
        <v>93</v>
      </c>
      <c r="E76" s="1082"/>
      <c r="F76" s="1050"/>
    </row>
    <row r="77" spans="1:6" x14ac:dyDescent="0.6">
      <c r="A77" s="1091"/>
      <c r="B77" s="1055" t="s">
        <v>2025</v>
      </c>
      <c r="C77" s="1056" t="s">
        <v>3</v>
      </c>
      <c r="D77" s="1057">
        <f>D50</f>
        <v>25.72</v>
      </c>
      <c r="E77" s="1082"/>
      <c r="F77" s="1050"/>
    </row>
    <row r="78" spans="1:6" x14ac:dyDescent="0.6">
      <c r="A78" s="1091"/>
      <c r="B78" s="1092" t="s">
        <v>344</v>
      </c>
      <c r="C78" s="1093" t="s">
        <v>1560</v>
      </c>
      <c r="D78" s="1094">
        <v>1</v>
      </c>
      <c r="E78" s="1082"/>
      <c r="F78" s="1050"/>
    </row>
    <row r="79" spans="1:6" x14ac:dyDescent="0.6">
      <c r="A79" s="1091"/>
      <c r="B79" s="1095" t="s">
        <v>1057</v>
      </c>
      <c r="C79" s="1096" t="s">
        <v>3</v>
      </c>
      <c r="D79" s="1097">
        <f>D78*D77</f>
        <v>25.72</v>
      </c>
      <c r="E79" s="1101"/>
      <c r="F79" s="1050"/>
    </row>
    <row r="80" spans="1:6" x14ac:dyDescent="0.6">
      <c r="A80" s="1091"/>
      <c r="B80" s="1080"/>
      <c r="C80" s="1080"/>
      <c r="D80" s="1081"/>
      <c r="E80" s="1082"/>
      <c r="F80" s="1050"/>
    </row>
    <row r="81" spans="1:6" x14ac:dyDescent="0.6">
      <c r="A81" s="1091"/>
      <c r="B81" s="1080"/>
      <c r="C81" s="1080"/>
      <c r="D81" s="1081"/>
      <c r="E81" s="1082"/>
      <c r="F81" s="1050"/>
    </row>
    <row r="82" spans="1:6" x14ac:dyDescent="0.6">
      <c r="A82" s="1091"/>
      <c r="B82" s="1080"/>
      <c r="C82" s="1080"/>
      <c r="D82" s="1081"/>
      <c r="E82" s="1082"/>
      <c r="F82" s="1050"/>
    </row>
    <row r="83" spans="1:6" ht="22.5" thickBot="1" x14ac:dyDescent="0.65">
      <c r="A83" s="1064"/>
      <c r="B83" s="1065"/>
      <c r="C83" s="1065"/>
      <c r="D83" s="1066"/>
      <c r="E83" s="1120"/>
      <c r="F83" s="1067"/>
    </row>
    <row r="84" spans="1:6" x14ac:dyDescent="0.6">
      <c r="A84" s="1121"/>
      <c r="B84" s="1122"/>
      <c r="C84" s="1122"/>
      <c r="D84" s="1123"/>
      <c r="E84" s="1124"/>
      <c r="F84" s="1121"/>
    </row>
    <row r="85" spans="1:6" x14ac:dyDescent="0.6">
      <c r="A85" s="1121"/>
      <c r="B85" s="1122"/>
      <c r="C85" s="1122"/>
      <c r="D85" s="1123"/>
      <c r="E85" s="1124"/>
      <c r="F85" s="1121"/>
    </row>
  </sheetData>
  <mergeCells count="2">
    <mergeCell ref="A4:F4"/>
    <mergeCell ref="A6:F6"/>
  </mergeCells>
  <pageMargins left="0.51181102362204722" right="0.51181102362204722" top="0.78740157480314965" bottom="0.78740157480314965" header="0.31496062992125984" footer="0.31496062992125984"/>
  <pageSetup paperSize="9" scale="68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5"/>
  <sheetViews>
    <sheetView showGridLines="0" view="pageBreakPreview" zoomScaleNormal="115" zoomScaleSheetLayoutView="100" workbookViewId="0">
      <selection activeCell="G11" sqref="G11"/>
    </sheetView>
  </sheetViews>
  <sheetFormatPr defaultColWidth="8.85546875" defaultRowHeight="15" x14ac:dyDescent="0.25"/>
  <cols>
    <col min="1" max="1" width="12" style="1036" customWidth="1"/>
    <col min="2" max="2" width="38.140625" style="1036" customWidth="1"/>
    <col min="3" max="3" width="15.5703125" style="1036" customWidth="1"/>
    <col min="4" max="4" width="12.42578125" style="1036" customWidth="1"/>
    <col min="5" max="5" width="12.7109375" style="1036" customWidth="1"/>
    <col min="6" max="6" width="10.85546875" style="1036" bestFit="1" customWidth="1"/>
    <col min="7" max="7" width="37.5703125" style="1036" customWidth="1"/>
    <col min="8" max="13" width="16.28515625" style="1036" customWidth="1"/>
    <col min="14" max="14" width="21.85546875" style="1036" bestFit="1" customWidth="1"/>
    <col min="15" max="15" width="13.140625" style="1126" bestFit="1" customWidth="1"/>
    <col min="16" max="16" width="20" style="1126" bestFit="1" customWidth="1"/>
    <col min="17" max="17" width="10.28515625" style="1036" bestFit="1" customWidth="1"/>
    <col min="18" max="18" width="8.85546875" style="1036"/>
    <col min="19" max="19" width="13" style="1036" customWidth="1"/>
    <col min="20" max="16384" width="8.85546875" style="1036"/>
  </cols>
  <sheetData>
    <row r="1" spans="1:20" ht="21.75" x14ac:dyDescent="0.6">
      <c r="A1" s="1031" t="s">
        <v>172</v>
      </c>
      <c r="B1" s="1032" t="str">
        <f>OBRA!B1</f>
        <v>Sense106</v>
      </c>
      <c r="C1" s="1033"/>
      <c r="D1" s="1034"/>
      <c r="E1" s="1071"/>
      <c r="F1" s="1071"/>
      <c r="G1" s="1035"/>
    </row>
    <row r="2" spans="1:20" ht="21.75" x14ac:dyDescent="0.6">
      <c r="A2" s="1037" t="s">
        <v>173</v>
      </c>
      <c r="B2" s="1038" t="str">
        <f>OBRA!B2</f>
        <v>HOLZE Empreendimentos</v>
      </c>
      <c r="C2" s="1039"/>
      <c r="D2" s="1040"/>
      <c r="E2" s="1072"/>
      <c r="F2" s="1072"/>
      <c r="G2" s="1041"/>
    </row>
    <row r="3" spans="1:20" ht="21.75" x14ac:dyDescent="0.6">
      <c r="A3" s="1037" t="s">
        <v>174</v>
      </c>
      <c r="B3" s="1038" t="str">
        <f>OBRA!B3</f>
        <v>R00</v>
      </c>
      <c r="C3" s="1039"/>
      <c r="D3" s="1040"/>
      <c r="E3" s="1072"/>
      <c r="F3" s="1074"/>
      <c r="G3" s="1041"/>
      <c r="N3" s="1127"/>
      <c r="O3" s="1127"/>
      <c r="P3" s="1127"/>
      <c r="R3" s="1127"/>
      <c r="S3" s="1127"/>
      <c r="T3" s="1127"/>
    </row>
    <row r="4" spans="1:20" ht="28.5" x14ac:dyDescent="0.25">
      <c r="A4" s="1240" t="s">
        <v>2004</v>
      </c>
      <c r="B4" s="1241"/>
      <c r="C4" s="1241"/>
      <c r="D4" s="1241"/>
      <c r="E4" s="1241"/>
      <c r="F4" s="1241"/>
      <c r="G4" s="1242"/>
      <c r="S4" s="1126"/>
    </row>
    <row r="5" spans="1:20" ht="28.5" x14ac:dyDescent="0.6">
      <c r="A5" s="1042"/>
      <c r="B5" s="1043"/>
      <c r="C5" s="1043"/>
      <c r="D5" s="1044"/>
      <c r="E5" s="1073"/>
      <c r="F5" s="1073"/>
      <c r="G5" s="1045"/>
    </row>
    <row r="6" spans="1:20" ht="28.5" x14ac:dyDescent="0.25">
      <c r="A6" s="1237" t="s">
        <v>2035</v>
      </c>
      <c r="B6" s="1238"/>
      <c r="C6" s="1238"/>
      <c r="D6" s="1238"/>
      <c r="E6" s="1238"/>
      <c r="F6" s="1243"/>
      <c r="G6" s="1239"/>
    </row>
    <row r="7" spans="1:20" ht="21.75" x14ac:dyDescent="0.6">
      <c r="A7" s="1046"/>
      <c r="B7" s="1047"/>
      <c r="C7" s="1048"/>
      <c r="D7" s="1049"/>
      <c r="E7" s="1074"/>
      <c r="F7" s="1074"/>
      <c r="G7" s="1050"/>
      <c r="Q7" s="1128"/>
    </row>
    <row r="8" spans="1:20" ht="21.75" x14ac:dyDescent="0.6">
      <c r="A8" s="1075" t="s">
        <v>2035</v>
      </c>
      <c r="B8" s="1076"/>
      <c r="C8" s="1076"/>
      <c r="D8" s="1077"/>
      <c r="E8" s="1078"/>
      <c r="F8" s="1078"/>
      <c r="G8" s="1079"/>
      <c r="Q8" s="1128"/>
    </row>
    <row r="9" spans="1:20" ht="22.5" thickBot="1" x14ac:dyDescent="0.65">
      <c r="A9" s="1051"/>
      <c r="B9" s="1080"/>
      <c r="C9" s="1080"/>
      <c r="D9" s="1081"/>
      <c r="E9" s="1082"/>
      <c r="F9" s="1082"/>
      <c r="G9" s="1050"/>
    </row>
    <row r="10" spans="1:20" ht="21.75" x14ac:dyDescent="0.6">
      <c r="A10" s="1051"/>
      <c r="B10" s="1052" t="s">
        <v>0</v>
      </c>
      <c r="C10" s="1053" t="s">
        <v>87</v>
      </c>
      <c r="D10" s="1083" t="s">
        <v>93</v>
      </c>
      <c r="E10" s="1082"/>
      <c r="F10" s="1082"/>
      <c r="G10" s="1050"/>
    </row>
    <row r="11" spans="1:20" ht="21.75" x14ac:dyDescent="0.6">
      <c r="A11" s="1051"/>
      <c r="B11" s="1055" t="s">
        <v>2036</v>
      </c>
      <c r="C11" s="1056" t="s">
        <v>2037</v>
      </c>
      <c r="D11" s="1129">
        <f>OBRA!D10/OBRA!D12</f>
        <v>181.25</v>
      </c>
      <c r="E11" s="1082"/>
      <c r="F11" s="1082"/>
      <c r="G11" s="1050"/>
      <c r="Q11" s="1128"/>
    </row>
    <row r="12" spans="1:20" ht="21.75" x14ac:dyDescent="0.6">
      <c r="A12" s="1051"/>
      <c r="B12" s="1092" t="s">
        <v>2038</v>
      </c>
      <c r="C12" s="1093" t="s">
        <v>2039</v>
      </c>
      <c r="D12" s="1130">
        <v>49</v>
      </c>
      <c r="E12" s="1082"/>
      <c r="F12" s="1082"/>
      <c r="G12" s="1050"/>
      <c r="Q12" s="1128"/>
    </row>
    <row r="13" spans="1:20" ht="21.75" x14ac:dyDescent="0.6">
      <c r="A13" s="1051"/>
      <c r="B13" s="1131" t="s">
        <v>2040</v>
      </c>
      <c r="C13" s="1132" t="s">
        <v>2</v>
      </c>
      <c r="D13" s="1133">
        <f>ROUNDUP((D12*OBRA!D10)/OBRA!D12/180,)</f>
        <v>50</v>
      </c>
      <c r="E13" s="1082"/>
      <c r="F13" s="1082"/>
      <c r="G13" s="1050"/>
      <c r="Q13" s="1128"/>
    </row>
    <row r="14" spans="1:20" ht="21.75" x14ac:dyDescent="0.6">
      <c r="A14" s="1051"/>
      <c r="B14" s="1134" t="s">
        <v>2041</v>
      </c>
      <c r="C14" s="1135" t="s">
        <v>2</v>
      </c>
      <c r="D14" s="1136">
        <v>5</v>
      </c>
      <c r="E14" s="1082"/>
      <c r="F14" s="1082"/>
      <c r="G14" s="1050"/>
      <c r="O14" s="1137"/>
    </row>
    <row r="15" spans="1:20" ht="21.75" x14ac:dyDescent="0.6">
      <c r="A15" s="1051"/>
      <c r="B15" s="1138" t="s">
        <v>2042</v>
      </c>
      <c r="C15" s="1139" t="s">
        <v>2</v>
      </c>
      <c r="D15" s="1140">
        <f>ROUNDUP(($D$13+D14)/20,0)</f>
        <v>3</v>
      </c>
      <c r="E15" s="1141" t="s">
        <v>2043</v>
      </c>
      <c r="F15" s="1141"/>
      <c r="G15" s="1050"/>
    </row>
    <row r="16" spans="1:20" ht="21.75" x14ac:dyDescent="0.6">
      <c r="A16" s="1051"/>
      <c r="B16" s="1058" t="s">
        <v>2044</v>
      </c>
      <c r="C16" s="1139" t="s">
        <v>2</v>
      </c>
      <c r="D16" s="1142">
        <f>ROUNDUP(OBRA!$D$13/5,0)</f>
        <v>6</v>
      </c>
      <c r="E16" s="1141" t="s">
        <v>2045</v>
      </c>
      <c r="F16" s="1141"/>
      <c r="G16" s="1050"/>
    </row>
    <row r="17" spans="1:17" ht="21.75" x14ac:dyDescent="0.6">
      <c r="A17" s="1091"/>
      <c r="B17" s="1138" t="s">
        <v>1080</v>
      </c>
      <c r="C17" s="1139" t="s">
        <v>2046</v>
      </c>
      <c r="D17" s="1143">
        <f>800*(D13+D14)</f>
        <v>44000</v>
      </c>
      <c r="E17" s="1141" t="s">
        <v>2047</v>
      </c>
      <c r="F17" s="1141"/>
      <c r="G17" s="1050"/>
    </row>
    <row r="18" spans="1:17" ht="18" x14ac:dyDescent="0.45">
      <c r="A18" s="1144"/>
      <c r="B18" s="1138" t="s">
        <v>1799</v>
      </c>
      <c r="C18" s="1139" t="s">
        <v>2046</v>
      </c>
      <c r="D18" s="1143">
        <f>500*(D13+D14)</f>
        <v>27500</v>
      </c>
      <c r="E18" s="1141" t="s">
        <v>2048</v>
      </c>
      <c r="F18" s="1145"/>
      <c r="G18" s="1146"/>
    </row>
    <row r="19" spans="1:17" ht="18.75" thickBot="1" x14ac:dyDescent="0.5">
      <c r="A19" s="1144"/>
      <c r="B19" s="1147" t="s">
        <v>2049</v>
      </c>
      <c r="C19" s="1148" t="s">
        <v>2</v>
      </c>
      <c r="D19" s="1149">
        <f>ROUNDUP(($D$13+D14)/20,0)</f>
        <v>3</v>
      </c>
      <c r="E19" s="1141" t="s">
        <v>2050</v>
      </c>
      <c r="F19" s="1141"/>
      <c r="G19" s="1146"/>
    </row>
    <row r="20" spans="1:17" x14ac:dyDescent="0.25">
      <c r="A20" s="1144"/>
      <c r="B20" s="1150"/>
      <c r="C20" s="1150"/>
      <c r="D20" s="1150"/>
      <c r="E20" s="1150"/>
      <c r="F20" s="1150"/>
      <c r="G20" s="1146"/>
    </row>
    <row r="21" spans="1:17" ht="21.75" x14ac:dyDescent="0.6">
      <c r="A21" s="1075" t="s">
        <v>2051</v>
      </c>
      <c r="B21" s="1076"/>
      <c r="C21" s="1076"/>
      <c r="D21" s="1077"/>
      <c r="E21" s="1078"/>
      <c r="F21" s="1078"/>
      <c r="G21" s="1079"/>
    </row>
    <row r="22" spans="1:17" ht="22.5" thickBot="1" x14ac:dyDescent="0.65">
      <c r="A22" s="1051"/>
      <c r="B22" s="1080"/>
      <c r="C22" s="1080"/>
      <c r="D22" s="1081"/>
      <c r="E22" s="1082"/>
      <c r="F22" s="1082"/>
      <c r="G22" s="1050"/>
    </row>
    <row r="23" spans="1:17" ht="21.75" x14ac:dyDescent="0.6">
      <c r="A23" s="1051"/>
      <c r="B23" s="1052" t="s">
        <v>0</v>
      </c>
      <c r="C23" s="1053" t="s">
        <v>87</v>
      </c>
      <c r="D23" s="1053" t="s">
        <v>93</v>
      </c>
      <c r="E23" s="1053" t="s">
        <v>257</v>
      </c>
      <c r="F23" s="1151" t="s">
        <v>2052</v>
      </c>
      <c r="G23" s="1050"/>
    </row>
    <row r="24" spans="1:17" ht="21.75" x14ac:dyDescent="0.6">
      <c r="A24" s="1051"/>
      <c r="B24" s="1055" t="s">
        <v>2053</v>
      </c>
      <c r="C24" s="1056" t="s">
        <v>2</v>
      </c>
      <c r="D24" s="1139">
        <f>ROUNDUP(D28*1.5,0)</f>
        <v>8</v>
      </c>
      <c r="E24" s="1139">
        <v>200</v>
      </c>
      <c r="F24" s="1140">
        <f>D24*E24</f>
        <v>1600</v>
      </c>
      <c r="G24" s="1050"/>
    </row>
    <row r="25" spans="1:17" ht="21.75" x14ac:dyDescent="0.6">
      <c r="A25" s="1051"/>
      <c r="B25" s="1058" t="s">
        <v>1625</v>
      </c>
      <c r="C25" s="1139" t="s">
        <v>2</v>
      </c>
      <c r="D25" s="1139">
        <v>1</v>
      </c>
      <c r="E25" s="1139">
        <v>1000</v>
      </c>
      <c r="F25" s="1140">
        <f>E25*D25</f>
        <v>1000</v>
      </c>
      <c r="G25" s="1050"/>
    </row>
    <row r="26" spans="1:17" ht="15.75" x14ac:dyDescent="0.25">
      <c r="A26" s="1144"/>
      <c r="B26" s="1058" t="s">
        <v>2054</v>
      </c>
      <c r="C26" s="1139" t="s">
        <v>2</v>
      </c>
      <c r="D26" s="1139">
        <v>1</v>
      </c>
      <c r="E26" s="1139">
        <v>5000</v>
      </c>
      <c r="F26" s="1140">
        <f>E26*D26</f>
        <v>5000</v>
      </c>
      <c r="G26" s="1146"/>
    </row>
    <row r="27" spans="1:17" ht="15.75" x14ac:dyDescent="0.25">
      <c r="A27" s="1144"/>
      <c r="B27" s="1058" t="s">
        <v>2055</v>
      </c>
      <c r="C27" s="1139" t="s">
        <v>3</v>
      </c>
      <c r="D27" s="1139">
        <v>6</v>
      </c>
      <c r="E27" s="1139">
        <v>900</v>
      </c>
      <c r="F27" s="1140">
        <f>E27*D27</f>
        <v>5400</v>
      </c>
      <c r="G27" s="1146"/>
    </row>
    <row r="28" spans="1:17" ht="16.5" thickBot="1" x14ac:dyDescent="0.3">
      <c r="A28" s="1144"/>
      <c r="B28" s="1061" t="s">
        <v>2056</v>
      </c>
      <c r="C28" s="1148" t="s">
        <v>2</v>
      </c>
      <c r="D28" s="1148">
        <f>D14</f>
        <v>5</v>
      </c>
      <c r="E28" s="1148">
        <v>800</v>
      </c>
      <c r="F28" s="1149">
        <f>E28*D28</f>
        <v>4000</v>
      </c>
      <c r="G28" s="1146"/>
    </row>
    <row r="29" spans="1:17" ht="16.5" thickBot="1" x14ac:dyDescent="0.3">
      <c r="A29" s="1144"/>
      <c r="B29" s="1244" t="s">
        <v>9</v>
      </c>
      <c r="C29" s="1245"/>
      <c r="D29" s="1245"/>
      <c r="E29" s="1246"/>
      <c r="F29" s="1152">
        <f>F26+F27+F28+F25+F24</f>
        <v>17000</v>
      </c>
      <c r="G29" s="1146"/>
    </row>
    <row r="30" spans="1:17" ht="15.75" x14ac:dyDescent="0.25">
      <c r="A30" s="1144"/>
      <c r="B30" s="1052" t="s">
        <v>0</v>
      </c>
      <c r="C30" s="1053" t="s">
        <v>87</v>
      </c>
      <c r="D30" s="1053" t="s">
        <v>93</v>
      </c>
      <c r="E30" s="1053" t="s">
        <v>257</v>
      </c>
      <c r="F30" s="1151" t="s">
        <v>2052</v>
      </c>
      <c r="G30" s="1146"/>
    </row>
    <row r="31" spans="1:17" ht="15.75" x14ac:dyDescent="0.25">
      <c r="A31" s="1144"/>
      <c r="B31" s="1055" t="s">
        <v>2057</v>
      </c>
      <c r="C31" s="1056" t="s">
        <v>2</v>
      </c>
      <c r="D31" s="1139">
        <f>D14</f>
        <v>5</v>
      </c>
      <c r="E31" s="1139">
        <v>6000</v>
      </c>
      <c r="F31" s="1140">
        <f>D31*E31</f>
        <v>30000</v>
      </c>
      <c r="G31" s="1146"/>
    </row>
    <row r="32" spans="1:17" ht="15.75" x14ac:dyDescent="0.25">
      <c r="A32" s="1144"/>
      <c r="B32" s="1058" t="s">
        <v>2058</v>
      </c>
      <c r="C32" s="1139" t="s">
        <v>2</v>
      </c>
      <c r="D32" s="1139">
        <v>1</v>
      </c>
      <c r="E32" s="1139">
        <v>2000</v>
      </c>
      <c r="F32" s="1140">
        <f>E32*D32</f>
        <v>2000</v>
      </c>
      <c r="G32" s="1146"/>
      <c r="Q32" s="1128"/>
    </row>
    <row r="33" spans="1:16" ht="16.5" thickBot="1" x14ac:dyDescent="0.3">
      <c r="A33" s="1144"/>
      <c r="B33" s="1153" t="s">
        <v>2059</v>
      </c>
      <c r="C33" s="1084" t="s">
        <v>2</v>
      </c>
      <c r="D33" s="1084">
        <v>2</v>
      </c>
      <c r="E33" s="1084">
        <v>500</v>
      </c>
      <c r="F33" s="1154">
        <f>E33*D33</f>
        <v>1000</v>
      </c>
      <c r="G33" s="1146"/>
    </row>
    <row r="34" spans="1:16" ht="16.5" thickBot="1" x14ac:dyDescent="0.3">
      <c r="A34" s="1155"/>
      <c r="B34" s="1244" t="s">
        <v>9</v>
      </c>
      <c r="C34" s="1245"/>
      <c r="D34" s="1245"/>
      <c r="E34" s="1246"/>
      <c r="F34" s="1152">
        <f>+F31+F32+F33</f>
        <v>33000</v>
      </c>
      <c r="G34" s="1156"/>
    </row>
    <row r="35" spans="1:16" ht="15.75" thickBot="1" x14ac:dyDescent="0.3">
      <c r="A35" s="1157"/>
      <c r="B35" s="1158"/>
      <c r="C35" s="1158"/>
      <c r="D35" s="1158"/>
      <c r="E35" s="1158"/>
      <c r="F35" s="1158"/>
      <c r="G35" s="1159"/>
    </row>
    <row r="41" spans="1:16" x14ac:dyDescent="0.25">
      <c r="O41" s="1137"/>
    </row>
    <row r="45" spans="1:16" x14ac:dyDescent="0.25">
      <c r="N45" s="1160"/>
      <c r="O45" s="1137"/>
      <c r="P45" s="1137"/>
    </row>
  </sheetData>
  <mergeCells count="4">
    <mergeCell ref="A4:G4"/>
    <mergeCell ref="A6:G6"/>
    <mergeCell ref="B29:E29"/>
    <mergeCell ref="B34:E34"/>
  </mergeCells>
  <pageMargins left="0.511811024" right="0.511811024" top="0.78740157499999996" bottom="0.78740157499999996" header="0.31496062000000002" footer="0.31496062000000002"/>
  <pageSetup paperSize="9" scale="6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  <pageSetUpPr fitToPage="1"/>
  </sheetPr>
  <dimension ref="A1:R32"/>
  <sheetViews>
    <sheetView showGridLines="0" view="pageBreakPreview" zoomScaleNormal="100" zoomScaleSheetLayoutView="100" workbookViewId="0">
      <selection activeCell="E11" sqref="E11"/>
    </sheetView>
  </sheetViews>
  <sheetFormatPr defaultColWidth="9.140625" defaultRowHeight="18.75" outlineLevelRow="1" outlineLevelCol="1" x14ac:dyDescent="0.55000000000000004"/>
  <cols>
    <col min="1" max="1" width="5.5703125" style="1161" customWidth="1"/>
    <col min="2" max="2" width="51.28515625" style="1161" customWidth="1"/>
    <col min="3" max="3" width="6.5703125" style="1162" bestFit="1" customWidth="1"/>
    <col min="4" max="4" width="15.7109375" style="1161" customWidth="1"/>
    <col min="5" max="5" width="12" style="1164" customWidth="1"/>
    <col min="6" max="6" width="20.5703125" style="1165" customWidth="1"/>
    <col min="7" max="7" width="54.7109375" style="1164" customWidth="1" outlineLevel="1"/>
    <col min="8" max="8" width="5.5703125" style="1161" customWidth="1"/>
    <col min="9" max="9" width="12.42578125" style="1161" customWidth="1"/>
    <col min="10" max="10" width="15.28515625" style="1161" customWidth="1"/>
    <col min="11" max="11" width="20.5703125" style="1161" customWidth="1"/>
    <col min="12" max="12" width="6.28515625" style="1161" customWidth="1"/>
    <col min="13" max="13" width="18.28515625" style="1161" customWidth="1"/>
    <col min="14" max="14" width="26.28515625" style="1161" customWidth="1"/>
    <col min="15" max="16384" width="9.140625" style="1161"/>
  </cols>
  <sheetData>
    <row r="1" spans="1:12" x14ac:dyDescent="0.55000000000000004">
      <c r="D1" s="1163"/>
    </row>
    <row r="2" spans="1:12" ht="10.15" customHeight="1" x14ac:dyDescent="0.55000000000000004">
      <c r="A2" s="1162"/>
      <c r="B2" s="1162"/>
      <c r="C2" s="1166"/>
      <c r="D2" s="1166"/>
      <c r="E2" s="1167"/>
      <c r="F2" s="1168"/>
      <c r="G2" s="1167"/>
    </row>
    <row r="3" spans="1:12" ht="10.15" customHeight="1" x14ac:dyDescent="0.55000000000000004">
      <c r="A3" s="1162"/>
      <c r="B3" s="1169"/>
      <c r="C3" s="1169"/>
      <c r="D3" s="1169"/>
      <c r="E3" s="1169"/>
      <c r="F3" s="1170"/>
      <c r="G3" s="1169"/>
    </row>
    <row r="4" spans="1:12" ht="10.15" customHeight="1" x14ac:dyDescent="0.55000000000000004">
      <c r="A4" s="1162"/>
      <c r="B4" s="1163"/>
      <c r="C4" s="1163"/>
      <c r="D4" s="1163"/>
      <c r="E4" s="1171"/>
      <c r="F4" s="1172"/>
      <c r="G4" s="1171"/>
    </row>
    <row r="5" spans="1:12" s="1163" customFormat="1" ht="16.899999999999999" customHeight="1" x14ac:dyDescent="0.2">
      <c r="E5" s="1247" t="s">
        <v>2060</v>
      </c>
      <c r="F5" s="1247"/>
      <c r="H5" s="1173"/>
    </row>
    <row r="6" spans="1:12" s="1163" customFormat="1" ht="37.5" x14ac:dyDescent="0.2">
      <c r="A6" s="1174" t="s">
        <v>17</v>
      </c>
      <c r="B6" s="1175" t="s">
        <v>2061</v>
      </c>
      <c r="C6" s="1175" t="s">
        <v>768</v>
      </c>
      <c r="D6" s="1176" t="s">
        <v>2062</v>
      </c>
      <c r="E6" s="1177" t="s">
        <v>2063</v>
      </c>
      <c r="F6" s="1178" t="s">
        <v>2064</v>
      </c>
      <c r="G6" s="1179" t="s">
        <v>339</v>
      </c>
      <c r="H6" s="1180"/>
    </row>
    <row r="7" spans="1:12" s="1163" customFormat="1" ht="16.899999999999999" customHeight="1" x14ac:dyDescent="0.2">
      <c r="A7" s="1181"/>
      <c r="B7" s="1182" t="s">
        <v>2065</v>
      </c>
      <c r="C7" s="1183"/>
      <c r="D7" s="1183"/>
      <c r="E7" s="1183"/>
      <c r="F7" s="1184"/>
      <c r="G7" s="1185"/>
      <c r="H7" s="1180"/>
    </row>
    <row r="8" spans="1:12" s="1163" customFormat="1" ht="16.899999999999999" customHeight="1" outlineLevel="1" x14ac:dyDescent="0.2">
      <c r="A8" s="1186">
        <v>1</v>
      </c>
      <c r="B8" s="1187" t="s">
        <v>2066</v>
      </c>
      <c r="C8" s="1186" t="s">
        <v>250</v>
      </c>
      <c r="D8" s="1188">
        <v>1450</v>
      </c>
      <c r="E8" s="1189">
        <v>1</v>
      </c>
      <c r="F8" s="1190">
        <f>$D8*E8</f>
        <v>1450</v>
      </c>
      <c r="G8" s="1191"/>
      <c r="H8" s="1180"/>
      <c r="I8" s="1192"/>
      <c r="K8" s="1172"/>
    </row>
    <row r="9" spans="1:12" s="1163" customFormat="1" ht="16.899999999999999" customHeight="1" outlineLevel="1" x14ac:dyDescent="0.2">
      <c r="A9" s="1186">
        <f>A8+1</f>
        <v>2</v>
      </c>
      <c r="B9" s="1187" t="s">
        <v>2067</v>
      </c>
      <c r="C9" s="1186" t="s">
        <v>2068</v>
      </c>
      <c r="D9" s="1188">
        <v>20</v>
      </c>
      <c r="E9" s="1189">
        <f>ROUNDUP((ORÇAMENTO!L226+ORÇAMENTO!L235+ORÇAMENTO!L251+SUPRA!K53)/8,0)*4</f>
        <v>1780</v>
      </c>
      <c r="F9" s="1190">
        <f>$D9*E9</f>
        <v>35600</v>
      </c>
      <c r="G9" s="1191" t="s">
        <v>2069</v>
      </c>
      <c r="H9" s="1180"/>
      <c r="I9" s="1193"/>
      <c r="K9" s="1172"/>
      <c r="L9" s="1194"/>
    </row>
    <row r="10" spans="1:12" s="1163" customFormat="1" ht="56.25" outlineLevel="1" x14ac:dyDescent="0.2">
      <c r="A10" s="1186">
        <f>A9+1</f>
        <v>3</v>
      </c>
      <c r="B10" s="1187" t="s">
        <v>2070</v>
      </c>
      <c r="C10" s="1186" t="s">
        <v>2071</v>
      </c>
      <c r="D10" s="1188">
        <v>12.5</v>
      </c>
      <c r="E10" s="1189">
        <f>E9</f>
        <v>1780</v>
      </c>
      <c r="F10" s="1190">
        <f>$D10*E10</f>
        <v>22250</v>
      </c>
      <c r="G10" s="1191" t="s">
        <v>2069</v>
      </c>
      <c r="H10" s="1180"/>
      <c r="I10" s="1192"/>
      <c r="K10" s="1172"/>
    </row>
    <row r="11" spans="1:12" s="1163" customFormat="1" ht="56.25" outlineLevel="1" x14ac:dyDescent="0.2">
      <c r="A11" s="1186">
        <f>A10+1</f>
        <v>4</v>
      </c>
      <c r="B11" s="1187" t="s">
        <v>2072</v>
      </c>
      <c r="C11" s="1195" t="s">
        <v>2073</v>
      </c>
      <c r="D11" s="1196">
        <v>480</v>
      </c>
      <c r="E11" s="1189">
        <v>5</v>
      </c>
      <c r="F11" s="1197">
        <f>$D11*E11</f>
        <v>2400</v>
      </c>
      <c r="G11" s="1198" t="s">
        <v>2074</v>
      </c>
      <c r="H11" s="1180"/>
      <c r="I11" s="1192"/>
      <c r="K11" s="1172"/>
    </row>
    <row r="12" spans="1:12" s="1163" customFormat="1" ht="16.899999999999999" customHeight="1" x14ac:dyDescent="0.2">
      <c r="A12" s="1199"/>
      <c r="B12" s="1200"/>
      <c r="C12" s="1248" t="s">
        <v>2075</v>
      </c>
      <c r="D12" s="1248"/>
      <c r="E12" s="1201"/>
      <c r="F12" s="1202">
        <f>SUM(F8:F11)</f>
        <v>61700</v>
      </c>
      <c r="G12" s="1203"/>
      <c r="H12" s="1180"/>
      <c r="I12" s="1192"/>
      <c r="K12" s="1172"/>
    </row>
    <row r="13" spans="1:12" s="1163" customFormat="1" ht="16.5" customHeight="1" x14ac:dyDescent="0.2">
      <c r="A13" s="1204"/>
      <c r="B13" s="1204"/>
      <c r="C13" s="1205"/>
      <c r="D13" s="1205"/>
      <c r="E13" s="1205"/>
      <c r="F13" s="1206"/>
      <c r="G13" s="1194"/>
      <c r="H13" s="1180"/>
      <c r="I13" s="1172"/>
      <c r="K13" s="1172"/>
    </row>
    <row r="14" spans="1:12" s="1163" customFormat="1" ht="16.899999999999999" customHeight="1" x14ac:dyDescent="0.2">
      <c r="A14" s="1181"/>
      <c r="B14" s="1182" t="s">
        <v>2076</v>
      </c>
      <c r="C14" s="1183"/>
      <c r="D14" s="1183"/>
      <c r="E14" s="1183"/>
      <c r="F14" s="1184"/>
      <c r="G14" s="1185"/>
    </row>
    <row r="15" spans="1:12" s="1163" customFormat="1" ht="56.25" outlineLevel="1" x14ac:dyDescent="0.2">
      <c r="A15" s="1207">
        <v>1</v>
      </c>
      <c r="B15" s="1208" t="s">
        <v>2077</v>
      </c>
      <c r="C15" s="1207" t="s">
        <v>2078</v>
      </c>
      <c r="D15" s="1209">
        <v>2760</v>
      </c>
      <c r="E15" s="1210">
        <v>1</v>
      </c>
      <c r="F15" s="1211">
        <f>$D15*E15</f>
        <v>2760</v>
      </c>
      <c r="G15" s="1212" t="s">
        <v>2079</v>
      </c>
      <c r="I15" s="1213"/>
    </row>
    <row r="16" spans="1:12" s="1163" customFormat="1" ht="16.899999999999999" customHeight="1" x14ac:dyDescent="0.55000000000000004">
      <c r="A16" s="1199"/>
      <c r="B16" s="1200"/>
      <c r="C16" s="1248" t="s">
        <v>2075</v>
      </c>
      <c r="D16" s="1248"/>
      <c r="E16" s="1201"/>
      <c r="F16" s="1202">
        <f>F15</f>
        <v>2760</v>
      </c>
      <c r="G16" s="1214"/>
    </row>
    <row r="17" spans="1:18" s="1163" customFormat="1" x14ac:dyDescent="0.55000000000000004">
      <c r="A17" s="1215"/>
      <c r="B17" s="1215"/>
      <c r="C17" s="1215"/>
      <c r="D17" s="1215"/>
      <c r="E17" s="1215"/>
      <c r="F17" s="1216"/>
      <c r="G17" s="1217"/>
    </row>
    <row r="18" spans="1:18" s="1163" customFormat="1" ht="19.899999999999999" customHeight="1" x14ac:dyDescent="0.55000000000000004">
      <c r="A18" s="1218"/>
      <c r="C18" s="1249" t="s">
        <v>2080</v>
      </c>
      <c r="D18" s="1250"/>
      <c r="E18" s="1219"/>
      <c r="F18" s="1220">
        <f>F16+F12</f>
        <v>64460</v>
      </c>
      <c r="G18" s="1221"/>
    </row>
    <row r="19" spans="1:18" s="1163" customFormat="1" ht="16.149999999999999" customHeight="1" x14ac:dyDescent="0.55000000000000004">
      <c r="A19" s="1161"/>
      <c r="E19" s="1171"/>
      <c r="F19" s="1222"/>
      <c r="G19" s="1165"/>
    </row>
    <row r="20" spans="1:18" s="1163" customFormat="1" ht="32.1" customHeight="1" x14ac:dyDescent="0.55000000000000004">
      <c r="A20" s="1161"/>
      <c r="E20" s="1171"/>
      <c r="F20" s="1172"/>
      <c r="G20" s="1165"/>
    </row>
    <row r="21" spans="1:18" s="1163" customFormat="1" ht="32.1" customHeight="1" x14ac:dyDescent="0.55000000000000004">
      <c r="A21" s="1161"/>
      <c r="E21" s="1171"/>
      <c r="F21" s="1172"/>
      <c r="G21" s="1171"/>
    </row>
    <row r="22" spans="1:18" s="1163" customFormat="1" ht="32.1" customHeight="1" x14ac:dyDescent="0.55000000000000004">
      <c r="A22" s="1161"/>
      <c r="E22" s="1171"/>
      <c r="F22" s="1172"/>
      <c r="G22" s="1171"/>
    </row>
    <row r="23" spans="1:18" s="1163" customFormat="1" ht="32.1" customHeight="1" x14ac:dyDescent="0.55000000000000004">
      <c r="A23" s="1161"/>
      <c r="E23" s="1171"/>
      <c r="F23" s="1172"/>
      <c r="G23" s="1171"/>
    </row>
    <row r="24" spans="1:18" s="1163" customFormat="1" ht="32.1" customHeight="1" x14ac:dyDescent="0.55000000000000004">
      <c r="A24" s="1161"/>
      <c r="E24" s="1171"/>
      <c r="F24" s="1172"/>
      <c r="G24" s="1171"/>
    </row>
    <row r="25" spans="1:18" s="1163" customFormat="1" ht="45" customHeight="1" x14ac:dyDescent="0.55000000000000004">
      <c r="A25" s="1161"/>
      <c r="E25" s="1171"/>
      <c r="F25" s="1172"/>
      <c r="G25" s="1171"/>
    </row>
    <row r="26" spans="1:18" s="1163" customFormat="1" ht="32.1" customHeight="1" x14ac:dyDescent="0.55000000000000004">
      <c r="A26" s="1161"/>
      <c r="E26" s="1171"/>
      <c r="F26" s="1172"/>
      <c r="G26" s="1171"/>
    </row>
    <row r="27" spans="1:18" s="1163" customFormat="1" ht="45" customHeight="1" x14ac:dyDescent="0.55000000000000004">
      <c r="A27" s="1161"/>
      <c r="E27" s="1171"/>
      <c r="F27" s="1172"/>
      <c r="G27" s="1171"/>
    </row>
    <row r="28" spans="1:18" s="1163" customFormat="1" ht="45" customHeight="1" x14ac:dyDescent="0.55000000000000004">
      <c r="A28" s="1161"/>
      <c r="E28" s="1171"/>
      <c r="F28" s="1172"/>
      <c r="G28" s="1171"/>
    </row>
    <row r="29" spans="1:18" s="1163" customFormat="1" ht="35.1" customHeight="1" x14ac:dyDescent="0.55000000000000004">
      <c r="A29" s="1161"/>
      <c r="E29" s="1171"/>
      <c r="F29" s="1172"/>
      <c r="G29" s="1171"/>
    </row>
    <row r="30" spans="1:18" s="1163" customFormat="1" ht="45" customHeight="1" x14ac:dyDescent="0.55000000000000004">
      <c r="A30" s="1161"/>
      <c r="E30" s="1171"/>
      <c r="F30" s="1172"/>
      <c r="G30" s="1171"/>
    </row>
    <row r="31" spans="1:18" s="1163" customFormat="1" ht="27" customHeight="1" x14ac:dyDescent="0.55000000000000004">
      <c r="A31" s="1161"/>
      <c r="B31" s="1161"/>
      <c r="C31" s="1162"/>
      <c r="D31" s="1161"/>
      <c r="E31" s="1164"/>
      <c r="F31" s="1165"/>
      <c r="G31" s="1164"/>
    </row>
    <row r="32" spans="1:18" s="1163" customFormat="1" ht="27" customHeight="1" x14ac:dyDescent="0.55000000000000004">
      <c r="A32" s="1161"/>
      <c r="B32" s="1161"/>
      <c r="C32" s="1162"/>
      <c r="D32" s="1161"/>
      <c r="E32" s="1164"/>
      <c r="F32" s="1165"/>
      <c r="G32" s="1164"/>
      <c r="H32" s="1161"/>
      <c r="L32" s="1161"/>
      <c r="M32" s="1161"/>
      <c r="N32" s="1161"/>
      <c r="O32" s="1161"/>
      <c r="P32" s="1161"/>
      <c r="Q32" s="1161"/>
      <c r="R32" s="1161"/>
    </row>
  </sheetData>
  <sheetProtection selectLockedCells="1"/>
  <mergeCells count="4">
    <mergeCell ref="E5:F5"/>
    <mergeCell ref="C12:D12"/>
    <mergeCell ref="C16:D16"/>
    <mergeCell ref="C18:D18"/>
  </mergeCells>
  <conditionalFormatting sqref="D8:D11">
    <cfRule type="cellIs" dxfId="7564" priority="2" operator="equal">
      <formula>#REF!</formula>
    </cfRule>
  </conditionalFormatting>
  <conditionalFormatting sqref="D15">
    <cfRule type="cellIs" dxfId="7563" priority="1" operator="equal">
      <formula>#REF!</formula>
    </cfRule>
  </conditionalFormatting>
  <printOptions horizontalCentered="1"/>
  <pageMargins left="0.31496062992125984" right="0.11811023622047245" top="0.39370078740157483" bottom="0.19685039370078741" header="0.11811023622047245" footer="0"/>
  <pageSetup paperSize="8"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2">
    <tabColor rgb="FF1851D6"/>
    <outlinePr summaryBelow="0"/>
    <pageSetUpPr fitToPage="1"/>
  </sheetPr>
  <dimension ref="A1:Z1957"/>
  <sheetViews>
    <sheetView showGridLines="0" tabSelected="1" topLeftCell="F1" zoomScale="85" zoomScaleNormal="85" zoomScaleSheetLayoutView="100" workbookViewId="0">
      <selection activeCell="R6" sqref="R6"/>
    </sheetView>
  </sheetViews>
  <sheetFormatPr defaultColWidth="9.140625" defaultRowHeight="11.25" outlineLevelRow="4" outlineLevelCol="1" x14ac:dyDescent="0.2"/>
  <cols>
    <col min="1" max="5" width="4" style="655" hidden="1" customWidth="1" outlineLevel="1"/>
    <col min="6" max="6" width="3.140625" style="655" customWidth="1" collapsed="1"/>
    <col min="7" max="7" width="3.85546875" style="768" customWidth="1"/>
    <col min="8" max="8" width="20.85546875" style="768" bestFit="1" customWidth="1" outlineLevel="1"/>
    <col min="9" max="9" width="11.28515625" style="768" customWidth="1"/>
    <col min="10" max="10" width="39.42578125" style="655" customWidth="1"/>
    <col min="11" max="11" width="11.42578125" style="769" bestFit="1" customWidth="1"/>
    <col min="12" max="12" width="10.28515625" style="770" bestFit="1" customWidth="1"/>
    <col min="13" max="13" width="12.7109375" style="770" bestFit="1" customWidth="1"/>
    <col min="14" max="14" width="15.7109375" style="771" bestFit="1" customWidth="1"/>
    <col min="15" max="15" width="46.28515625" style="772" bestFit="1" customWidth="1" outlineLevel="1"/>
    <col min="16" max="16" width="17.5703125" style="773" customWidth="1"/>
    <col min="17" max="17" width="8.7109375" style="655" customWidth="1"/>
    <col min="18" max="18" width="40.140625" style="769" bestFit="1" customWidth="1"/>
    <col min="19" max="19" width="14" style="769" bestFit="1" customWidth="1"/>
    <col min="20" max="20" width="10.140625" style="655" bestFit="1" customWidth="1"/>
    <col min="21" max="16384" width="9.140625" style="655"/>
  </cols>
  <sheetData>
    <row r="1" spans="1:23" s="728" customFormat="1" ht="12.75" x14ac:dyDescent="0.2">
      <c r="G1" s="729"/>
      <c r="H1" s="729"/>
      <c r="I1" s="729"/>
      <c r="J1" s="649"/>
      <c r="K1" s="730"/>
      <c r="L1" s="649"/>
      <c r="M1" s="649"/>
      <c r="N1" s="731"/>
      <c r="O1" s="649"/>
      <c r="P1" s="732"/>
      <c r="R1" s="733"/>
      <c r="S1" s="733"/>
    </row>
    <row r="2" spans="1:23" s="734" customFormat="1" ht="18" x14ac:dyDescent="0.2">
      <c r="G2" s="735"/>
      <c r="H2" s="650"/>
      <c r="I2" s="650"/>
      <c r="J2" s="650"/>
      <c r="K2" s="736"/>
      <c r="L2" s="736"/>
      <c r="M2" s="736"/>
      <c r="N2" s="737"/>
      <c r="O2" s="738"/>
      <c r="P2" s="739"/>
      <c r="Q2" s="1223"/>
      <c r="R2" s="740"/>
      <c r="S2" s="741"/>
      <c r="W2" s="742"/>
    </row>
    <row r="3" spans="1:23" s="734" customFormat="1" ht="18" x14ac:dyDescent="0.2">
      <c r="G3" s="743"/>
      <c r="H3" s="651"/>
      <c r="I3" s="651"/>
      <c r="J3" s="651"/>
      <c r="K3" s="744"/>
      <c r="L3" s="744"/>
      <c r="M3" s="744"/>
      <c r="N3" s="745"/>
      <c r="O3" s="746"/>
      <c r="P3" s="747"/>
      <c r="Q3" s="1223"/>
      <c r="R3" s="740"/>
      <c r="S3" s="741"/>
      <c r="W3" s="742"/>
    </row>
    <row r="4" spans="1:23" s="748" customFormat="1" ht="36" x14ac:dyDescent="0.2">
      <c r="G4" s="749" t="s">
        <v>104</v>
      </c>
      <c r="H4" s="750"/>
      <c r="I4" s="215" t="s">
        <v>387</v>
      </c>
      <c r="J4" s="652"/>
      <c r="N4" s="751"/>
      <c r="O4" s="750" t="s">
        <v>15</v>
      </c>
      <c r="P4" s="752" t="s">
        <v>103</v>
      </c>
      <c r="R4" s="740"/>
      <c r="S4" s="741"/>
      <c r="T4" s="753"/>
      <c r="W4" s="742"/>
    </row>
    <row r="5" spans="1:23" s="754" customFormat="1" ht="36" x14ac:dyDescent="0.2">
      <c r="G5" s="755" t="s">
        <v>200</v>
      </c>
      <c r="H5" s="756"/>
      <c r="I5" s="58" t="s">
        <v>388</v>
      </c>
      <c r="J5" s="653"/>
      <c r="N5" s="757"/>
      <c r="O5" s="758" t="s">
        <v>2114</v>
      </c>
      <c r="P5" s="759">
        <v>45608</v>
      </c>
      <c r="R5" s="740"/>
      <c r="S5" s="741"/>
      <c r="W5" s="742"/>
    </row>
    <row r="6" spans="1:23" s="761" customFormat="1" ht="67.5" x14ac:dyDescent="0.2">
      <c r="A6" s="760" t="s">
        <v>359</v>
      </c>
      <c r="B6" s="760" t="s">
        <v>360</v>
      </c>
      <c r="C6" s="760" t="s">
        <v>361</v>
      </c>
      <c r="D6" s="760" t="s">
        <v>362</v>
      </c>
      <c r="E6" s="760" t="s">
        <v>363</v>
      </c>
      <c r="F6" s="754"/>
      <c r="G6" s="1233" t="s">
        <v>189</v>
      </c>
      <c r="H6" s="1233"/>
      <c r="I6" s="1233"/>
      <c r="J6" s="1233"/>
      <c r="K6" s="1233"/>
      <c r="L6" s="1233"/>
      <c r="M6" s="1233"/>
      <c r="N6" s="1233"/>
      <c r="O6" s="1233"/>
      <c r="P6" s="1233"/>
      <c r="R6" s="742"/>
      <c r="S6" s="742"/>
      <c r="W6" s="742"/>
    </row>
    <row r="7" spans="1:23" s="764" customFormat="1" ht="22.5" x14ac:dyDescent="0.2">
      <c r="A7" s="762">
        <v>0</v>
      </c>
      <c r="B7" s="762">
        <v>0</v>
      </c>
      <c r="C7" s="762">
        <v>0</v>
      </c>
      <c r="D7" s="763">
        <v>0</v>
      </c>
      <c r="E7" s="763">
        <v>0</v>
      </c>
      <c r="G7" s="313" t="s">
        <v>105</v>
      </c>
      <c r="H7" s="313" t="s">
        <v>364</v>
      </c>
      <c r="I7" s="314" t="s">
        <v>17</v>
      </c>
      <c r="J7" s="486" t="s">
        <v>0</v>
      </c>
      <c r="K7" s="395" t="s">
        <v>87</v>
      </c>
      <c r="L7" s="396" t="s">
        <v>145</v>
      </c>
      <c r="M7" s="396" t="s">
        <v>332</v>
      </c>
      <c r="N7" s="645" t="s">
        <v>14</v>
      </c>
      <c r="O7" s="518" t="s">
        <v>188</v>
      </c>
      <c r="P7" s="315" t="s">
        <v>115</v>
      </c>
      <c r="R7" s="765"/>
      <c r="S7" s="765"/>
      <c r="W7" s="742"/>
    </row>
    <row r="8" spans="1:23" s="761" customFormat="1" ht="12.75" x14ac:dyDescent="0.2">
      <c r="A8" s="762">
        <f ca="1">IF($H8="UNIDADE CONSTRUTIVA",OFFSET(A8,-1,0)+1,LARGE(A$3:A5,1))</f>
        <v>1</v>
      </c>
      <c r="B8" s="762">
        <f ca="1">IF(H8="UNIDADE CONSTRUTIVA",0,IF(H8="CÉLULA CONSTRUTIVA",OFFSET(B8,-1,0)+1,OFFSET(B8,-1,0)))</f>
        <v>0</v>
      </c>
      <c r="C8" s="762">
        <f ca="1">IF(H8="CÉLULA CONSTRUTIVA",0,IF(H8="ETAPA",OFFSET(C8,-1,0)+1,OFFSET(C8,-1,0)))</f>
        <v>0</v>
      </c>
      <c r="D8" s="763">
        <f ca="1">IF(H8="ETAPA",0,IF(H8="SUBETAPA",OFFSET(D8,-1,0)+1,OFFSET(D8,-1,0)))</f>
        <v>0</v>
      </c>
      <c r="E8" s="763">
        <f ca="1">IF(H8="Subetapa",0,IF(H8="serviço",OFFSET(E8,-1,0)+1,OFFSET(E8,-1,0)))</f>
        <v>0</v>
      </c>
      <c r="G8" s="966"/>
      <c r="H8" s="967" t="s">
        <v>1705</v>
      </c>
      <c r="I8" s="968" t="str">
        <f ca="1">IF(H8="Unidade Construtiva",TEXT(A8,"00"),IF(H8="Célula Construtiva",TEXT(B8,"00"),IF(H8="Etapa",CONCATENATE(TEXT(B8,"00"),".",TEXT(C8,"000")),IF(H8="Subetapa",CONCATENATE(TEXT(B8,"00"),".",TEXT(C8,"000"),".",TEXT(D8,"000")),IF(H8="Serviço",CONCATENATE(TEXT(B8,"00"),".",TEXT(C8,"000"),".",TEXT(D8,"000"),".",TEXT(E8,"000")),"")))))</f>
        <v>01</v>
      </c>
      <c r="J8" s="969" t="s">
        <v>1692</v>
      </c>
      <c r="K8" s="970"/>
      <c r="L8" s="971"/>
      <c r="M8" s="971"/>
      <c r="N8" s="972">
        <f>SUM(N9,N13,N47,N78,N111,N175)</f>
        <v>5309213.9753910005</v>
      </c>
      <c r="O8" s="973"/>
      <c r="P8" s="974"/>
      <c r="R8" s="742"/>
      <c r="S8" s="742"/>
    </row>
    <row r="9" spans="1:23" s="761" customFormat="1" collapsed="1" x14ac:dyDescent="0.2">
      <c r="A9" s="762"/>
      <c r="B9" s="762"/>
      <c r="C9" s="762"/>
      <c r="D9" s="763"/>
      <c r="E9" s="763"/>
      <c r="G9" s="628"/>
      <c r="H9" s="766" t="s">
        <v>365</v>
      </c>
      <c r="I9" s="629" t="s">
        <v>1707</v>
      </c>
      <c r="J9" s="654" t="s">
        <v>1708</v>
      </c>
      <c r="K9" s="630"/>
      <c r="L9" s="631"/>
      <c r="M9" s="631"/>
      <c r="N9" s="646">
        <f>N10</f>
        <v>450000</v>
      </c>
      <c r="O9" s="767"/>
      <c r="P9" s="632"/>
      <c r="R9" s="742"/>
      <c r="S9" s="742"/>
    </row>
    <row r="10" spans="1:23" s="761" customFormat="1" hidden="1" outlineLevel="1" x14ac:dyDescent="0.2">
      <c r="A10" s="762"/>
      <c r="B10" s="762"/>
      <c r="C10" s="762"/>
      <c r="D10" s="763"/>
      <c r="E10" s="763"/>
      <c r="G10" s="628"/>
      <c r="H10" s="766" t="s">
        <v>366</v>
      </c>
      <c r="I10" s="629" t="s">
        <v>1707</v>
      </c>
      <c r="J10" s="654" t="s">
        <v>1708</v>
      </c>
      <c r="K10" s="630"/>
      <c r="L10" s="631"/>
      <c r="M10" s="631"/>
      <c r="N10" s="646">
        <f>N11</f>
        <v>450000</v>
      </c>
      <c r="O10" s="767"/>
      <c r="P10" s="632"/>
      <c r="R10" s="742"/>
      <c r="S10" s="742"/>
    </row>
    <row r="11" spans="1:23" s="761" customFormat="1" hidden="1" outlineLevel="2" x14ac:dyDescent="0.2">
      <c r="A11" s="762"/>
      <c r="B11" s="762"/>
      <c r="C11" s="762"/>
      <c r="D11" s="763"/>
      <c r="E11" s="763"/>
      <c r="G11" s="628"/>
      <c r="H11" s="766" t="s">
        <v>367</v>
      </c>
      <c r="I11" s="629" t="s">
        <v>1709</v>
      </c>
      <c r="J11" s="654" t="s">
        <v>1172</v>
      </c>
      <c r="K11" s="630"/>
      <c r="L11" s="631"/>
      <c r="M11" s="631"/>
      <c r="N11" s="646">
        <f>N12</f>
        <v>450000</v>
      </c>
      <c r="O11" s="767"/>
      <c r="P11" s="632"/>
      <c r="R11" s="742"/>
      <c r="S11" s="742"/>
    </row>
    <row r="12" spans="1:23" s="761" customFormat="1" ht="22.5" hidden="1" outlineLevel="2" x14ac:dyDescent="0.2">
      <c r="A12" s="762"/>
      <c r="B12" s="762"/>
      <c r="C12" s="762"/>
      <c r="D12" s="763"/>
      <c r="E12" s="763"/>
      <c r="G12" s="628"/>
      <c r="H12" s="766" t="s">
        <v>368</v>
      </c>
      <c r="I12" s="629" t="s">
        <v>1710</v>
      </c>
      <c r="J12" s="654" t="s">
        <v>1172</v>
      </c>
      <c r="K12" s="630" t="s">
        <v>250</v>
      </c>
      <c r="L12" s="631">
        <v>1</v>
      </c>
      <c r="M12" s="631">
        <v>450000</v>
      </c>
      <c r="N12" s="646">
        <f>M12*L12</f>
        <v>450000</v>
      </c>
      <c r="O12" s="1228" t="s">
        <v>2084</v>
      </c>
      <c r="P12" s="632" t="s">
        <v>333</v>
      </c>
      <c r="R12" s="742"/>
      <c r="S12" s="742"/>
    </row>
    <row r="13" spans="1:23" s="761" customFormat="1" collapsed="1" x14ac:dyDescent="0.2">
      <c r="A13" s="762"/>
      <c r="B13" s="762"/>
      <c r="C13" s="762"/>
      <c r="D13" s="763"/>
      <c r="E13" s="763"/>
      <c r="G13" s="628"/>
      <c r="H13" s="766" t="s">
        <v>365</v>
      </c>
      <c r="I13" s="629" t="s">
        <v>1711</v>
      </c>
      <c r="J13" s="654" t="s">
        <v>1712</v>
      </c>
      <c r="K13" s="630"/>
      <c r="L13" s="631"/>
      <c r="M13" s="631"/>
      <c r="N13" s="646">
        <f>SUM(N14,N25,N35,N42)</f>
        <v>598398.03</v>
      </c>
      <c r="O13" s="767"/>
      <c r="P13" s="632"/>
      <c r="R13" s="742"/>
      <c r="S13" s="742"/>
    </row>
    <row r="14" spans="1:23" s="761" customFormat="1" hidden="1" outlineLevel="1" x14ac:dyDescent="0.2">
      <c r="A14" s="762"/>
      <c r="B14" s="762"/>
      <c r="C14" s="762"/>
      <c r="D14" s="763"/>
      <c r="E14" s="763"/>
      <c r="G14" s="628"/>
      <c r="H14" s="766" t="s">
        <v>366</v>
      </c>
      <c r="I14" s="629" t="s">
        <v>1713</v>
      </c>
      <c r="J14" s="654" t="s">
        <v>1712</v>
      </c>
      <c r="K14" s="630"/>
      <c r="L14" s="631"/>
      <c r="M14" s="631"/>
      <c r="N14" s="646">
        <f>SUM(N15,N17,N19,N21,N23)</f>
        <v>23178.03</v>
      </c>
      <c r="O14" s="767"/>
      <c r="P14" s="632"/>
      <c r="R14" s="742"/>
      <c r="S14" s="742"/>
    </row>
    <row r="15" spans="1:23" s="761" customFormat="1" hidden="1" outlineLevel="2" x14ac:dyDescent="0.2">
      <c r="A15" s="762"/>
      <c r="B15" s="762"/>
      <c r="C15" s="762"/>
      <c r="D15" s="763"/>
      <c r="E15" s="763"/>
      <c r="G15" s="628"/>
      <c r="H15" s="766" t="s">
        <v>367</v>
      </c>
      <c r="I15" s="629" t="s">
        <v>1714</v>
      </c>
      <c r="J15" s="654" t="s">
        <v>1062</v>
      </c>
      <c r="K15" s="630"/>
      <c r="L15" s="631"/>
      <c r="M15" s="631"/>
      <c r="N15" s="646">
        <f>SUM(N16)</f>
        <v>4134.83</v>
      </c>
      <c r="O15" s="767"/>
      <c r="P15" s="632"/>
      <c r="R15" s="742"/>
      <c r="S15" s="742"/>
    </row>
    <row r="16" spans="1:23" s="761" customFormat="1" ht="22.5" hidden="1" outlineLevel="2" x14ac:dyDescent="0.2">
      <c r="A16" s="762"/>
      <c r="B16" s="762"/>
      <c r="C16" s="762"/>
      <c r="D16" s="763"/>
      <c r="E16" s="763"/>
      <c r="G16" s="628"/>
      <c r="H16" s="766" t="s">
        <v>368</v>
      </c>
      <c r="I16" s="629" t="s">
        <v>1715</v>
      </c>
      <c r="J16" s="654" t="s">
        <v>1062</v>
      </c>
      <c r="K16" s="630" t="s">
        <v>250</v>
      </c>
      <c r="L16" s="631">
        <v>1</v>
      </c>
      <c r="M16" s="631">
        <f>VLOOKUP(J16,Preços!$C$7:$F$498,4,FALSE)</f>
        <v>4134.83</v>
      </c>
      <c r="N16" s="646">
        <f>M16*L16</f>
        <v>4134.83</v>
      </c>
      <c r="O16" s="767" t="s">
        <v>2082</v>
      </c>
      <c r="P16" s="632" t="s">
        <v>333</v>
      </c>
      <c r="R16" s="742"/>
      <c r="S16" s="742"/>
    </row>
    <row r="17" spans="1:19" s="761" customFormat="1" hidden="1" outlineLevel="2" x14ac:dyDescent="0.2">
      <c r="A17" s="762"/>
      <c r="B17" s="762"/>
      <c r="C17" s="762"/>
      <c r="D17" s="763"/>
      <c r="E17" s="763"/>
      <c r="G17" s="628"/>
      <c r="H17" s="766" t="s">
        <v>367</v>
      </c>
      <c r="I17" s="629" t="s">
        <v>1716</v>
      </c>
      <c r="J17" s="654" t="s">
        <v>952</v>
      </c>
      <c r="K17" s="630"/>
      <c r="L17" s="631"/>
      <c r="M17" s="631"/>
      <c r="N17" s="646">
        <f>SUM(N18)</f>
        <v>1224.76</v>
      </c>
      <c r="O17" s="767"/>
      <c r="P17" s="632"/>
      <c r="R17" s="742"/>
      <c r="S17" s="742"/>
    </row>
    <row r="18" spans="1:19" s="761" customFormat="1" ht="22.5" hidden="1" outlineLevel="2" x14ac:dyDescent="0.2">
      <c r="A18" s="762"/>
      <c r="B18" s="762"/>
      <c r="C18" s="762"/>
      <c r="D18" s="763"/>
      <c r="E18" s="763"/>
      <c r="G18" s="628"/>
      <c r="H18" s="766" t="s">
        <v>368</v>
      </c>
      <c r="I18" s="629" t="s">
        <v>1717</v>
      </c>
      <c r="J18" s="654" t="s">
        <v>952</v>
      </c>
      <c r="K18" s="630" t="s">
        <v>250</v>
      </c>
      <c r="L18" s="631">
        <v>1</v>
      </c>
      <c r="M18" s="631">
        <f>VLOOKUP(J18,Preços!$C$7:$F$498,4,FALSE)</f>
        <v>1224.76</v>
      </c>
      <c r="N18" s="646">
        <f>M18*L18</f>
        <v>1224.76</v>
      </c>
      <c r="O18" s="767" t="s">
        <v>2082</v>
      </c>
      <c r="P18" s="632" t="s">
        <v>333</v>
      </c>
      <c r="R18" s="742"/>
      <c r="S18" s="742"/>
    </row>
    <row r="19" spans="1:19" s="761" customFormat="1" hidden="1" outlineLevel="2" x14ac:dyDescent="0.2">
      <c r="A19" s="762"/>
      <c r="B19" s="762"/>
      <c r="C19" s="762"/>
      <c r="D19" s="763"/>
      <c r="E19" s="763"/>
      <c r="G19" s="628"/>
      <c r="H19" s="766" t="s">
        <v>367</v>
      </c>
      <c r="I19" s="629" t="s">
        <v>1718</v>
      </c>
      <c r="J19" s="654" t="s">
        <v>1026</v>
      </c>
      <c r="K19" s="630"/>
      <c r="L19" s="631"/>
      <c r="M19" s="631"/>
      <c r="N19" s="646">
        <f>SUM(N20)</f>
        <v>4318.4399999999996</v>
      </c>
      <c r="O19" s="767"/>
      <c r="P19" s="632"/>
      <c r="R19" s="742"/>
      <c r="S19" s="742"/>
    </row>
    <row r="20" spans="1:19" s="761" customFormat="1" ht="22.5" hidden="1" outlineLevel="2" x14ac:dyDescent="0.2">
      <c r="A20" s="762"/>
      <c r="B20" s="762"/>
      <c r="C20" s="762"/>
      <c r="D20" s="763"/>
      <c r="E20" s="763"/>
      <c r="G20" s="628"/>
      <c r="H20" s="766" t="s">
        <v>368</v>
      </c>
      <c r="I20" s="629" t="s">
        <v>1719</v>
      </c>
      <c r="J20" s="654" t="s">
        <v>1026</v>
      </c>
      <c r="K20" s="630" t="s">
        <v>250</v>
      </c>
      <c r="L20" s="631">
        <v>1</v>
      </c>
      <c r="M20" s="631">
        <f>VLOOKUP(J20,Preços!$C$7:$F$498,4,FALSE)</f>
        <v>4318.4399999999996</v>
      </c>
      <c r="N20" s="646">
        <f>M20*L20</f>
        <v>4318.4399999999996</v>
      </c>
      <c r="O20" s="767" t="s">
        <v>2082</v>
      </c>
      <c r="P20" s="632" t="s">
        <v>333</v>
      </c>
      <c r="R20" s="742"/>
      <c r="S20" s="742"/>
    </row>
    <row r="21" spans="1:19" s="761" customFormat="1" hidden="1" outlineLevel="2" x14ac:dyDescent="0.2">
      <c r="A21" s="762"/>
      <c r="B21" s="762"/>
      <c r="C21" s="762"/>
      <c r="D21" s="763"/>
      <c r="E21" s="763"/>
      <c r="G21" s="628"/>
      <c r="H21" s="766" t="s">
        <v>367</v>
      </c>
      <c r="I21" s="629" t="s">
        <v>1720</v>
      </c>
      <c r="J21" s="654" t="s">
        <v>1063</v>
      </c>
      <c r="K21" s="630"/>
      <c r="L21" s="631"/>
      <c r="M21" s="631"/>
      <c r="N21" s="646">
        <f>SUM(N22)</f>
        <v>9500</v>
      </c>
      <c r="O21" s="767"/>
      <c r="P21" s="632"/>
      <c r="R21" s="742"/>
      <c r="S21" s="742"/>
    </row>
    <row r="22" spans="1:19" s="761" customFormat="1" ht="22.5" hidden="1" outlineLevel="2" x14ac:dyDescent="0.2">
      <c r="A22" s="762"/>
      <c r="B22" s="762"/>
      <c r="C22" s="762"/>
      <c r="D22" s="763"/>
      <c r="E22" s="763"/>
      <c r="G22" s="628"/>
      <c r="H22" s="766" t="s">
        <v>368</v>
      </c>
      <c r="I22" s="629" t="s">
        <v>1721</v>
      </c>
      <c r="J22" s="654" t="s">
        <v>1063</v>
      </c>
      <c r="K22" s="630" t="s">
        <v>250</v>
      </c>
      <c r="L22" s="631">
        <v>1</v>
      </c>
      <c r="M22" s="631">
        <f>VLOOKUP(J22,Preços!$C$7:$F$498,4,FALSE)</f>
        <v>9500</v>
      </c>
      <c r="N22" s="646">
        <f>M22*L22</f>
        <v>9500</v>
      </c>
      <c r="O22" s="767" t="s">
        <v>2082</v>
      </c>
      <c r="P22" s="632" t="s">
        <v>333</v>
      </c>
      <c r="R22" s="742"/>
      <c r="S22" s="742"/>
    </row>
    <row r="23" spans="1:19" s="761" customFormat="1" hidden="1" outlineLevel="2" x14ac:dyDescent="0.2">
      <c r="A23" s="762"/>
      <c r="B23" s="762"/>
      <c r="C23" s="762"/>
      <c r="D23" s="763"/>
      <c r="E23" s="763"/>
      <c r="G23" s="628"/>
      <c r="H23" s="766" t="s">
        <v>367</v>
      </c>
      <c r="I23" s="629" t="s">
        <v>1722</v>
      </c>
      <c r="J23" s="654" t="s">
        <v>1064</v>
      </c>
      <c r="K23" s="630"/>
      <c r="L23" s="631"/>
      <c r="M23" s="631"/>
      <c r="N23" s="646">
        <f>SUM(N24)</f>
        <v>4000</v>
      </c>
      <c r="O23" s="767"/>
      <c r="P23" s="632"/>
      <c r="R23" s="742"/>
      <c r="S23" s="742"/>
    </row>
    <row r="24" spans="1:19" s="761" customFormat="1" ht="22.5" hidden="1" outlineLevel="2" x14ac:dyDescent="0.2">
      <c r="A24" s="762"/>
      <c r="B24" s="762"/>
      <c r="C24" s="762"/>
      <c r="D24" s="763"/>
      <c r="E24" s="763"/>
      <c r="G24" s="628"/>
      <c r="H24" s="766" t="s">
        <v>368</v>
      </c>
      <c r="I24" s="629" t="s">
        <v>1723</v>
      </c>
      <c r="J24" s="654" t="s">
        <v>1064</v>
      </c>
      <c r="K24" s="630" t="s">
        <v>250</v>
      </c>
      <c r="L24" s="631">
        <v>1</v>
      </c>
      <c r="M24" s="631">
        <f>VLOOKUP(J24,Preços!$C$7:$F$498,4,FALSE)</f>
        <v>4000</v>
      </c>
      <c r="N24" s="646">
        <f>M24*L24</f>
        <v>4000</v>
      </c>
      <c r="O24" s="767" t="s">
        <v>2082</v>
      </c>
      <c r="P24" s="632" t="s">
        <v>333</v>
      </c>
      <c r="R24" s="742"/>
      <c r="S24" s="742"/>
    </row>
    <row r="25" spans="1:19" s="761" customFormat="1" hidden="1" outlineLevel="1" x14ac:dyDescent="0.2">
      <c r="A25" s="762"/>
      <c r="B25" s="762"/>
      <c r="C25" s="762"/>
      <c r="D25" s="763"/>
      <c r="E25" s="763"/>
      <c r="G25" s="628"/>
      <c r="H25" s="766" t="s">
        <v>366</v>
      </c>
      <c r="I25" s="629" t="s">
        <v>1724</v>
      </c>
      <c r="J25" s="654" t="s">
        <v>1725</v>
      </c>
      <c r="K25" s="630"/>
      <c r="L25" s="631"/>
      <c r="M25" s="631"/>
      <c r="N25" s="646">
        <f>SUM(N26,N28,N30,N32)</f>
        <v>348000</v>
      </c>
      <c r="O25" s="767"/>
      <c r="P25" s="632"/>
      <c r="R25" s="742"/>
      <c r="S25" s="742"/>
    </row>
    <row r="26" spans="1:19" s="761" customFormat="1" hidden="1" outlineLevel="2" x14ac:dyDescent="0.2">
      <c r="A26" s="762"/>
      <c r="B26" s="762"/>
      <c r="C26" s="762"/>
      <c r="D26" s="763"/>
      <c r="E26" s="763"/>
      <c r="G26" s="628"/>
      <c r="H26" s="766" t="s">
        <v>367</v>
      </c>
      <c r="I26" s="629" t="s">
        <v>1727</v>
      </c>
      <c r="J26" s="654" t="s">
        <v>1055</v>
      </c>
      <c r="K26" s="630"/>
      <c r="L26" s="631"/>
      <c r="M26" s="631"/>
      <c r="N26" s="646">
        <f>SUM(N27)</f>
        <v>33000</v>
      </c>
      <c r="O26" s="767"/>
      <c r="P26" s="632"/>
      <c r="R26" s="742"/>
      <c r="S26" s="742"/>
    </row>
    <row r="27" spans="1:19" s="761" customFormat="1" ht="22.5" hidden="1" outlineLevel="2" x14ac:dyDescent="0.2">
      <c r="A27" s="762"/>
      <c r="B27" s="762"/>
      <c r="C27" s="762"/>
      <c r="D27" s="763"/>
      <c r="E27" s="763"/>
      <c r="G27" s="628"/>
      <c r="H27" s="766" t="s">
        <v>368</v>
      </c>
      <c r="I27" s="629" t="s">
        <v>1726</v>
      </c>
      <c r="J27" s="654" t="s">
        <v>1055</v>
      </c>
      <c r="K27" s="630" t="s">
        <v>250</v>
      </c>
      <c r="L27" s="631">
        <v>1</v>
      </c>
      <c r="M27" s="631">
        <f>VLOOKUP(J27,Preços!$C$7:$F$498,4,FALSE)</f>
        <v>33000</v>
      </c>
      <c r="N27" s="646">
        <f>M27*L27</f>
        <v>33000</v>
      </c>
      <c r="O27" s="767" t="s">
        <v>2082</v>
      </c>
      <c r="P27" s="632" t="s">
        <v>333</v>
      </c>
      <c r="R27" s="742"/>
      <c r="S27" s="742"/>
    </row>
    <row r="28" spans="1:19" s="761" customFormat="1" hidden="1" outlineLevel="2" x14ac:dyDescent="0.2">
      <c r="A28" s="762"/>
      <c r="B28" s="762"/>
      <c r="C28" s="762"/>
      <c r="D28" s="763"/>
      <c r="E28" s="763"/>
      <c r="G28" s="628"/>
      <c r="H28" s="766" t="s">
        <v>367</v>
      </c>
      <c r="I28" s="629" t="s">
        <v>1727</v>
      </c>
      <c r="J28" s="654" t="s">
        <v>1728</v>
      </c>
      <c r="K28" s="630"/>
      <c r="L28" s="631"/>
      <c r="M28" s="631"/>
      <c r="N28" s="646">
        <f>SUM(N29)</f>
        <v>230000</v>
      </c>
      <c r="O28" s="767"/>
      <c r="P28" s="632"/>
      <c r="R28" s="742"/>
      <c r="S28" s="742"/>
    </row>
    <row r="29" spans="1:19" s="761" customFormat="1" ht="22.5" hidden="1" outlineLevel="2" x14ac:dyDescent="0.2">
      <c r="A29" s="762"/>
      <c r="B29" s="762"/>
      <c r="C29" s="762"/>
      <c r="D29" s="763"/>
      <c r="E29" s="763"/>
      <c r="G29" s="628"/>
      <c r="H29" s="766" t="s">
        <v>368</v>
      </c>
      <c r="I29" s="629" t="s">
        <v>1729</v>
      </c>
      <c r="J29" s="654" t="s">
        <v>953</v>
      </c>
      <c r="K29" s="630" t="s">
        <v>250</v>
      </c>
      <c r="L29" s="631">
        <v>1</v>
      </c>
      <c r="M29" s="631">
        <v>230000</v>
      </c>
      <c r="N29" s="646">
        <f>M29*L29</f>
        <v>230000</v>
      </c>
      <c r="O29" s="1228" t="s">
        <v>2084</v>
      </c>
      <c r="P29" s="632" t="s">
        <v>333</v>
      </c>
      <c r="R29" s="742"/>
      <c r="S29" s="742"/>
    </row>
    <row r="30" spans="1:19" s="761" customFormat="1" hidden="1" outlineLevel="2" x14ac:dyDescent="0.2">
      <c r="A30" s="762"/>
      <c r="B30" s="762"/>
      <c r="C30" s="762"/>
      <c r="D30" s="763"/>
      <c r="E30" s="763"/>
      <c r="G30" s="628"/>
      <c r="H30" s="766" t="s">
        <v>367</v>
      </c>
      <c r="I30" s="629" t="s">
        <v>1730</v>
      </c>
      <c r="J30" s="654" t="s">
        <v>1731</v>
      </c>
      <c r="K30" s="630"/>
      <c r="L30" s="631"/>
      <c r="M30" s="631"/>
      <c r="N30" s="646">
        <f>SUM(N31)</f>
        <v>25000</v>
      </c>
      <c r="O30" s="767"/>
      <c r="P30" s="632"/>
      <c r="R30" s="742"/>
      <c r="S30" s="742"/>
    </row>
    <row r="31" spans="1:19" s="761" customFormat="1" ht="22.5" hidden="1" outlineLevel="2" x14ac:dyDescent="0.2">
      <c r="A31" s="762"/>
      <c r="B31" s="762"/>
      <c r="C31" s="762"/>
      <c r="D31" s="763"/>
      <c r="E31" s="763"/>
      <c r="G31" s="628"/>
      <c r="H31" s="766" t="s">
        <v>368</v>
      </c>
      <c r="I31" s="629" t="s">
        <v>1732</v>
      </c>
      <c r="J31" s="654" t="s">
        <v>1032</v>
      </c>
      <c r="K31" s="630" t="s">
        <v>250</v>
      </c>
      <c r="L31" s="631">
        <v>1</v>
      </c>
      <c r="M31" s="631">
        <f>VLOOKUP(J31,Preços!$C$7:$F$498,4,FALSE)</f>
        <v>25000</v>
      </c>
      <c r="N31" s="646">
        <f>M31*L31</f>
        <v>25000</v>
      </c>
      <c r="O31" s="767" t="s">
        <v>2082</v>
      </c>
      <c r="P31" s="632" t="s">
        <v>333</v>
      </c>
      <c r="R31" s="742"/>
      <c r="S31" s="742"/>
    </row>
    <row r="32" spans="1:19" s="761" customFormat="1" hidden="1" outlineLevel="2" x14ac:dyDescent="0.2">
      <c r="A32" s="762"/>
      <c r="B32" s="762"/>
      <c r="C32" s="762"/>
      <c r="D32" s="763"/>
      <c r="E32" s="763"/>
      <c r="G32" s="628"/>
      <c r="H32" s="766" t="s">
        <v>367</v>
      </c>
      <c r="I32" s="629" t="s">
        <v>1733</v>
      </c>
      <c r="J32" s="654" t="s">
        <v>1734</v>
      </c>
      <c r="K32" s="630"/>
      <c r="L32" s="631"/>
      <c r="M32" s="631"/>
      <c r="N32" s="646">
        <f>SUM(N33:N34)</f>
        <v>60000</v>
      </c>
      <c r="O32" s="767"/>
      <c r="P32" s="632"/>
      <c r="R32" s="742"/>
      <c r="S32" s="742"/>
    </row>
    <row r="33" spans="1:19" s="761" customFormat="1" ht="22.5" hidden="1" outlineLevel="2" x14ac:dyDescent="0.2">
      <c r="A33" s="762"/>
      <c r="B33" s="762"/>
      <c r="C33" s="762"/>
      <c r="D33" s="763"/>
      <c r="E33" s="763"/>
      <c r="G33" s="628"/>
      <c r="H33" s="766" t="s">
        <v>368</v>
      </c>
      <c r="I33" s="629" t="s">
        <v>1735</v>
      </c>
      <c r="J33" s="654" t="s">
        <v>955</v>
      </c>
      <c r="K33" s="630" t="s">
        <v>250</v>
      </c>
      <c r="L33" s="631">
        <v>1</v>
      </c>
      <c r="M33" s="631">
        <f>VLOOKUP(J33,Preços!$C$7:$F$498,4,FALSE)</f>
        <v>8000</v>
      </c>
      <c r="N33" s="646">
        <f>M33*L33</f>
        <v>8000</v>
      </c>
      <c r="O33" s="767" t="s">
        <v>2082</v>
      </c>
      <c r="P33" s="632" t="s">
        <v>333</v>
      </c>
      <c r="R33" s="742"/>
      <c r="S33" s="742"/>
    </row>
    <row r="34" spans="1:19" s="761" customFormat="1" ht="22.5" hidden="1" outlineLevel="2" x14ac:dyDescent="0.2">
      <c r="A34" s="762"/>
      <c r="B34" s="762"/>
      <c r="C34" s="762"/>
      <c r="D34" s="763"/>
      <c r="E34" s="763"/>
      <c r="G34" s="628"/>
      <c r="H34" s="766" t="s">
        <v>368</v>
      </c>
      <c r="I34" s="629" t="s">
        <v>1736</v>
      </c>
      <c r="J34" s="654" t="s">
        <v>954</v>
      </c>
      <c r="K34" s="630" t="s">
        <v>250</v>
      </c>
      <c r="L34" s="631">
        <v>1</v>
      </c>
      <c r="M34" s="631">
        <f>VLOOKUP(J34,Preços!$C$7:$F$498,4,FALSE)</f>
        <v>52000</v>
      </c>
      <c r="N34" s="646">
        <f>M34*L34</f>
        <v>52000</v>
      </c>
      <c r="O34" s="767" t="s">
        <v>2082</v>
      </c>
      <c r="P34" s="632" t="s">
        <v>333</v>
      </c>
      <c r="R34" s="742"/>
      <c r="S34" s="742"/>
    </row>
    <row r="35" spans="1:19" s="761" customFormat="1" hidden="1" outlineLevel="1" x14ac:dyDescent="0.2">
      <c r="A35" s="762"/>
      <c r="B35" s="762"/>
      <c r="C35" s="762"/>
      <c r="D35" s="763"/>
      <c r="E35" s="763"/>
      <c r="G35" s="628"/>
      <c r="H35" s="766" t="s">
        <v>366</v>
      </c>
      <c r="I35" s="629" t="s">
        <v>1737</v>
      </c>
      <c r="J35" s="654" t="s">
        <v>1738</v>
      </c>
      <c r="K35" s="630"/>
      <c r="L35" s="631"/>
      <c r="M35" s="631"/>
      <c r="N35" s="646">
        <f>SUM(N36,N38)</f>
        <v>160000</v>
      </c>
      <c r="O35" s="767"/>
      <c r="P35" s="632"/>
      <c r="R35" s="742"/>
      <c r="S35" s="742"/>
    </row>
    <row r="36" spans="1:19" s="761" customFormat="1" hidden="1" outlineLevel="2" x14ac:dyDescent="0.2">
      <c r="A36" s="762"/>
      <c r="B36" s="762"/>
      <c r="C36" s="762"/>
      <c r="D36" s="763"/>
      <c r="E36" s="763"/>
      <c r="G36" s="628"/>
      <c r="H36" s="766" t="s">
        <v>367</v>
      </c>
      <c r="I36" s="629" t="s">
        <v>1739</v>
      </c>
      <c r="J36" s="654" t="s">
        <v>1029</v>
      </c>
      <c r="K36" s="630"/>
      <c r="L36" s="631"/>
      <c r="M36" s="631"/>
      <c r="N36" s="646">
        <f>SUM(N37)</f>
        <v>40000</v>
      </c>
      <c r="O36" s="767"/>
      <c r="P36" s="632"/>
      <c r="R36" s="742"/>
      <c r="S36" s="742"/>
    </row>
    <row r="37" spans="1:19" s="761" customFormat="1" ht="22.5" hidden="1" outlineLevel="2" x14ac:dyDescent="0.2">
      <c r="A37" s="762"/>
      <c r="B37" s="762"/>
      <c r="C37" s="762"/>
      <c r="D37" s="763"/>
      <c r="E37" s="763"/>
      <c r="G37" s="628"/>
      <c r="H37" s="766" t="s">
        <v>368</v>
      </c>
      <c r="I37" s="629" t="s">
        <v>1740</v>
      </c>
      <c r="J37" s="654" t="s">
        <v>1029</v>
      </c>
      <c r="K37" s="630" t="s">
        <v>250</v>
      </c>
      <c r="L37" s="631">
        <v>1</v>
      </c>
      <c r="M37" s="631">
        <f>VLOOKUP(J37,Preços!$C$7:$F$498,4,FALSE)</f>
        <v>40000</v>
      </c>
      <c r="N37" s="646">
        <f>M37*L37</f>
        <v>40000</v>
      </c>
      <c r="O37" s="767" t="s">
        <v>2082</v>
      </c>
      <c r="P37" s="632" t="s">
        <v>333</v>
      </c>
      <c r="R37" s="742"/>
      <c r="S37" s="742"/>
    </row>
    <row r="38" spans="1:19" s="761" customFormat="1" hidden="1" outlineLevel="2" x14ac:dyDescent="0.2">
      <c r="A38" s="762"/>
      <c r="B38" s="762"/>
      <c r="C38" s="762"/>
      <c r="D38" s="763"/>
      <c r="E38" s="763"/>
      <c r="G38" s="628"/>
      <c r="H38" s="766" t="s">
        <v>367</v>
      </c>
      <c r="I38" s="629" t="s">
        <v>1741</v>
      </c>
      <c r="J38" s="654" t="s">
        <v>1742</v>
      </c>
      <c r="K38" s="630"/>
      <c r="L38" s="631"/>
      <c r="M38" s="631"/>
      <c r="N38" s="646">
        <f>SUM(N39:N41)</f>
        <v>120000</v>
      </c>
      <c r="O38" s="767"/>
      <c r="P38" s="632"/>
      <c r="R38" s="742"/>
      <c r="S38" s="742"/>
    </row>
    <row r="39" spans="1:19" s="761" customFormat="1" ht="22.5" hidden="1" outlineLevel="2" x14ac:dyDescent="0.2">
      <c r="A39" s="762"/>
      <c r="B39" s="762"/>
      <c r="C39" s="762"/>
      <c r="D39" s="763"/>
      <c r="E39" s="763"/>
      <c r="G39" s="628"/>
      <c r="H39" s="766" t="s">
        <v>368</v>
      </c>
      <c r="I39" s="629" t="s">
        <v>1743</v>
      </c>
      <c r="J39" s="654" t="s">
        <v>1033</v>
      </c>
      <c r="K39" s="630" t="s">
        <v>250</v>
      </c>
      <c r="L39" s="631">
        <v>1</v>
      </c>
      <c r="M39" s="631">
        <v>33887.040000000001</v>
      </c>
      <c r="N39" s="646">
        <f>M39*L39</f>
        <v>33887.040000000001</v>
      </c>
      <c r="O39" s="1228" t="s">
        <v>2084</v>
      </c>
      <c r="P39" s="632" t="s">
        <v>333</v>
      </c>
      <c r="R39" s="742"/>
      <c r="S39" s="742"/>
    </row>
    <row r="40" spans="1:19" s="761" customFormat="1" ht="22.5" hidden="1" outlineLevel="2" x14ac:dyDescent="0.2">
      <c r="A40" s="762"/>
      <c r="B40" s="762"/>
      <c r="C40" s="762"/>
      <c r="D40" s="763"/>
      <c r="E40" s="763"/>
      <c r="G40" s="628"/>
      <c r="H40" s="766" t="s">
        <v>368</v>
      </c>
      <c r="I40" s="629" t="s">
        <v>1744</v>
      </c>
      <c r="J40" s="654" t="s">
        <v>1034</v>
      </c>
      <c r="K40" s="630" t="s">
        <v>250</v>
      </c>
      <c r="L40" s="631">
        <v>1</v>
      </c>
      <c r="M40" s="631">
        <v>71760.800000000003</v>
      </c>
      <c r="N40" s="646">
        <f>M40*L40</f>
        <v>71760.800000000003</v>
      </c>
      <c r="O40" s="1228" t="s">
        <v>2084</v>
      </c>
      <c r="P40" s="632" t="s">
        <v>333</v>
      </c>
      <c r="R40" s="742"/>
      <c r="S40" s="742"/>
    </row>
    <row r="41" spans="1:19" s="761" customFormat="1" ht="22.5" hidden="1" outlineLevel="2" x14ac:dyDescent="0.2">
      <c r="A41" s="762"/>
      <c r="B41" s="762"/>
      <c r="C41" s="762"/>
      <c r="D41" s="763"/>
      <c r="E41" s="763"/>
      <c r="G41" s="628"/>
      <c r="H41" s="766" t="s">
        <v>368</v>
      </c>
      <c r="I41" s="629" t="s">
        <v>1745</v>
      </c>
      <c r="J41" s="654" t="s">
        <v>1035</v>
      </c>
      <c r="K41" s="630" t="s">
        <v>250</v>
      </c>
      <c r="L41" s="631">
        <v>1</v>
      </c>
      <c r="M41" s="631">
        <v>14352.16</v>
      </c>
      <c r="N41" s="646">
        <f>M41*L41</f>
        <v>14352.16</v>
      </c>
      <c r="O41" s="1228" t="s">
        <v>2084</v>
      </c>
      <c r="P41" s="632" t="s">
        <v>333</v>
      </c>
      <c r="R41" s="742"/>
      <c r="S41" s="742"/>
    </row>
    <row r="42" spans="1:19" s="761" customFormat="1" hidden="1" outlineLevel="1" x14ac:dyDescent="0.2">
      <c r="A42" s="762"/>
      <c r="B42" s="762"/>
      <c r="C42" s="762"/>
      <c r="D42" s="763"/>
      <c r="E42" s="763"/>
      <c r="G42" s="628"/>
      <c r="H42" s="766" t="s">
        <v>366</v>
      </c>
      <c r="I42" s="629" t="s">
        <v>1746</v>
      </c>
      <c r="J42" s="654" t="s">
        <v>1747</v>
      </c>
      <c r="K42" s="630"/>
      <c r="L42" s="631"/>
      <c r="M42" s="631"/>
      <c r="N42" s="646">
        <f>SUM(N43,N45)</f>
        <v>67220</v>
      </c>
      <c r="O42" s="767"/>
      <c r="P42" s="632"/>
      <c r="R42" s="742"/>
      <c r="S42" s="742"/>
    </row>
    <row r="43" spans="1:19" s="761" customFormat="1" hidden="1" outlineLevel="2" x14ac:dyDescent="0.2">
      <c r="A43" s="762"/>
      <c r="B43" s="762"/>
      <c r="C43" s="762"/>
      <c r="D43" s="763"/>
      <c r="E43" s="763"/>
      <c r="G43" s="628"/>
      <c r="H43" s="766" t="s">
        <v>367</v>
      </c>
      <c r="I43" s="629" t="s">
        <v>1748</v>
      </c>
      <c r="J43" s="654" t="s">
        <v>957</v>
      </c>
      <c r="K43" s="630"/>
      <c r="L43" s="631"/>
      <c r="M43" s="631"/>
      <c r="N43" s="646">
        <f>SUM(N44)</f>
        <v>64460</v>
      </c>
      <c r="O43" s="767"/>
      <c r="P43" s="632"/>
      <c r="R43" s="742"/>
      <c r="S43" s="742"/>
    </row>
    <row r="44" spans="1:19" s="761" customFormat="1" ht="22.5" hidden="1" outlineLevel="2" x14ac:dyDescent="0.2">
      <c r="A44" s="762"/>
      <c r="B44" s="762"/>
      <c r="C44" s="762"/>
      <c r="D44" s="763"/>
      <c r="E44" s="763"/>
      <c r="G44" s="628"/>
      <c r="H44" s="766" t="s">
        <v>368</v>
      </c>
      <c r="I44" s="629" t="s">
        <v>1749</v>
      </c>
      <c r="J44" s="654" t="s">
        <v>957</v>
      </c>
      <c r="K44" s="630" t="s">
        <v>250</v>
      </c>
      <c r="L44" s="631">
        <v>1</v>
      </c>
      <c r="M44" s="631">
        <f>CONTROLE_TEC!F18</f>
        <v>64460</v>
      </c>
      <c r="N44" s="646">
        <f>M44*L44</f>
        <v>64460</v>
      </c>
      <c r="O44" s="1228" t="s">
        <v>2099</v>
      </c>
      <c r="P44" s="632" t="s">
        <v>333</v>
      </c>
      <c r="R44" s="742"/>
      <c r="S44" s="742"/>
    </row>
    <row r="45" spans="1:19" s="761" customFormat="1" hidden="1" outlineLevel="2" x14ac:dyDescent="0.2">
      <c r="A45" s="762"/>
      <c r="B45" s="762"/>
      <c r="C45" s="762"/>
      <c r="D45" s="763"/>
      <c r="E45" s="763"/>
      <c r="G45" s="628"/>
      <c r="H45" s="766" t="s">
        <v>367</v>
      </c>
      <c r="I45" s="629" t="s">
        <v>1750</v>
      </c>
      <c r="J45" s="654" t="s">
        <v>1751</v>
      </c>
      <c r="K45" s="630"/>
      <c r="L45" s="631"/>
      <c r="M45" s="631"/>
      <c r="N45" s="646">
        <f>SUM(N46)</f>
        <v>2760</v>
      </c>
      <c r="O45" s="767"/>
      <c r="P45" s="632"/>
      <c r="R45" s="742"/>
      <c r="S45" s="742"/>
    </row>
    <row r="46" spans="1:19" s="761" customFormat="1" ht="22.5" hidden="1" outlineLevel="2" x14ac:dyDescent="0.2">
      <c r="A46" s="762"/>
      <c r="B46" s="762"/>
      <c r="C46" s="762"/>
      <c r="D46" s="763"/>
      <c r="E46" s="763"/>
      <c r="G46" s="628"/>
      <c r="H46" s="766" t="s">
        <v>368</v>
      </c>
      <c r="I46" s="629" t="s">
        <v>1752</v>
      </c>
      <c r="J46" s="654" t="s">
        <v>1036</v>
      </c>
      <c r="K46" s="630" t="s">
        <v>250</v>
      </c>
      <c r="L46" s="631">
        <v>1</v>
      </c>
      <c r="M46" s="631">
        <f>VLOOKUP(J46,Preços!$C$7:$F$498,4,FALSE)</f>
        <v>2760</v>
      </c>
      <c r="N46" s="646">
        <f>M46*L46</f>
        <v>2760</v>
      </c>
      <c r="O46" s="767" t="s">
        <v>2082</v>
      </c>
      <c r="P46" s="632" t="s">
        <v>333</v>
      </c>
      <c r="R46" s="742"/>
      <c r="S46" s="742"/>
    </row>
    <row r="47" spans="1:19" s="761" customFormat="1" collapsed="1" x14ac:dyDescent="0.2">
      <c r="A47" s="762"/>
      <c r="B47" s="762"/>
      <c r="C47" s="762"/>
      <c r="D47" s="763"/>
      <c r="E47" s="763"/>
      <c r="G47" s="628"/>
      <c r="H47" s="766" t="s">
        <v>365</v>
      </c>
      <c r="I47" s="629" t="s">
        <v>1753</v>
      </c>
      <c r="J47" s="654" t="s">
        <v>1754</v>
      </c>
      <c r="K47" s="630"/>
      <c r="L47" s="631"/>
      <c r="M47" s="631"/>
      <c r="N47" s="646">
        <f>N48</f>
        <v>1106676.99</v>
      </c>
      <c r="O47" s="767"/>
      <c r="P47" s="632"/>
      <c r="R47" s="742"/>
      <c r="S47" s="742"/>
    </row>
    <row r="48" spans="1:19" s="761" customFormat="1" hidden="1" outlineLevel="1" x14ac:dyDescent="0.2">
      <c r="A48" s="762"/>
      <c r="B48" s="762"/>
      <c r="C48" s="762"/>
      <c r="D48" s="763"/>
      <c r="E48" s="763"/>
      <c r="G48" s="628"/>
      <c r="H48" s="766" t="s">
        <v>366</v>
      </c>
      <c r="I48" s="629" t="s">
        <v>1755</v>
      </c>
      <c r="J48" s="654" t="s">
        <v>1754</v>
      </c>
      <c r="K48" s="630"/>
      <c r="L48" s="631"/>
      <c r="M48" s="631"/>
      <c r="N48" s="646">
        <f>SUM(N49,N51,N57,N60,N62,N64,N66,N68,N70,N72,N74,N76)</f>
        <v>1106676.99</v>
      </c>
      <c r="O48" s="767"/>
      <c r="P48" s="632"/>
      <c r="R48" s="742"/>
      <c r="S48" s="742"/>
    </row>
    <row r="49" spans="1:19" s="761" customFormat="1" hidden="1" outlineLevel="2" x14ac:dyDescent="0.2">
      <c r="A49" s="762"/>
      <c r="B49" s="762"/>
      <c r="C49" s="762"/>
      <c r="D49" s="763"/>
      <c r="E49" s="763"/>
      <c r="G49" s="628"/>
      <c r="H49" s="766" t="s">
        <v>367</v>
      </c>
      <c r="I49" s="629" t="s">
        <v>1756</v>
      </c>
      <c r="J49" s="654" t="s">
        <v>967</v>
      </c>
      <c r="K49" s="630"/>
      <c r="L49" s="631"/>
      <c r="M49" s="631"/>
      <c r="N49" s="646">
        <f>SUM(N50)</f>
        <v>17000</v>
      </c>
      <c r="O49" s="767"/>
      <c r="P49" s="632"/>
      <c r="R49" s="742"/>
      <c r="S49" s="742"/>
    </row>
    <row r="50" spans="1:19" s="761" customFormat="1" ht="22.5" hidden="1" outlineLevel="2" x14ac:dyDescent="0.2">
      <c r="A50" s="762"/>
      <c r="B50" s="762"/>
      <c r="C50" s="762"/>
      <c r="D50" s="763"/>
      <c r="E50" s="763"/>
      <c r="G50" s="628"/>
      <c r="H50" s="766" t="s">
        <v>368</v>
      </c>
      <c r="I50" s="629" t="s">
        <v>1757</v>
      </c>
      <c r="J50" s="654" t="s">
        <v>967</v>
      </c>
      <c r="K50" s="630" t="s">
        <v>250</v>
      </c>
      <c r="L50" s="631">
        <v>1</v>
      </c>
      <c r="M50" s="631">
        <v>17000</v>
      </c>
      <c r="N50" s="646">
        <f>M50*L50</f>
        <v>17000</v>
      </c>
      <c r="O50" s="1228" t="s">
        <v>2084</v>
      </c>
      <c r="P50" s="632" t="s">
        <v>333</v>
      </c>
      <c r="R50" s="742"/>
      <c r="S50" s="742"/>
    </row>
    <row r="51" spans="1:19" s="761" customFormat="1" hidden="1" outlineLevel="2" x14ac:dyDescent="0.2">
      <c r="A51" s="762"/>
      <c r="B51" s="762"/>
      <c r="C51" s="762"/>
      <c r="D51" s="763"/>
      <c r="E51" s="763"/>
      <c r="G51" s="628"/>
      <c r="H51" s="766" t="s">
        <v>367</v>
      </c>
      <c r="I51" s="629" t="s">
        <v>1758</v>
      </c>
      <c r="J51" s="654" t="s">
        <v>1759</v>
      </c>
      <c r="K51" s="630"/>
      <c r="L51" s="631"/>
      <c r="M51" s="631"/>
      <c r="N51" s="646">
        <f>SUM(N52:N56)</f>
        <v>80000</v>
      </c>
      <c r="O51" s="767"/>
      <c r="P51" s="632"/>
      <c r="R51" s="742"/>
      <c r="S51" s="742"/>
    </row>
    <row r="52" spans="1:19" s="761" customFormat="1" ht="22.5" hidden="1" outlineLevel="2" x14ac:dyDescent="0.2">
      <c r="A52" s="762"/>
      <c r="B52" s="762"/>
      <c r="C52" s="762"/>
      <c r="D52" s="763"/>
      <c r="E52" s="763"/>
      <c r="G52" s="628"/>
      <c r="H52" s="766" t="s">
        <v>368</v>
      </c>
      <c r="I52" s="629" t="s">
        <v>1760</v>
      </c>
      <c r="J52" s="654" t="s">
        <v>1068</v>
      </c>
      <c r="K52" s="630" t="s">
        <v>250</v>
      </c>
      <c r="L52" s="631">
        <v>1</v>
      </c>
      <c r="M52" s="631">
        <v>11428.57</v>
      </c>
      <c r="N52" s="646">
        <f>M52*L52</f>
        <v>11428.57</v>
      </c>
      <c r="O52" s="1228" t="s">
        <v>2084</v>
      </c>
      <c r="P52" s="632" t="s">
        <v>333</v>
      </c>
      <c r="R52" s="742"/>
      <c r="S52" s="742"/>
    </row>
    <row r="53" spans="1:19" s="761" customFormat="1" ht="22.5" hidden="1" outlineLevel="2" x14ac:dyDescent="0.2">
      <c r="A53" s="762"/>
      <c r="B53" s="762"/>
      <c r="C53" s="762"/>
      <c r="D53" s="763"/>
      <c r="E53" s="763"/>
      <c r="G53" s="628"/>
      <c r="H53" s="766" t="s">
        <v>368</v>
      </c>
      <c r="I53" s="629" t="s">
        <v>1761</v>
      </c>
      <c r="J53" s="654" t="s">
        <v>1069</v>
      </c>
      <c r="K53" s="630" t="s">
        <v>250</v>
      </c>
      <c r="L53" s="631">
        <v>1</v>
      </c>
      <c r="M53" s="631">
        <v>36571.43</v>
      </c>
      <c r="N53" s="646">
        <f>M53*L53</f>
        <v>36571.43</v>
      </c>
      <c r="O53" s="1228" t="s">
        <v>2084</v>
      </c>
      <c r="P53" s="632" t="s">
        <v>333</v>
      </c>
      <c r="R53" s="742"/>
      <c r="S53" s="742"/>
    </row>
    <row r="54" spans="1:19" s="761" customFormat="1" ht="22.5" hidden="1" outlineLevel="2" x14ac:dyDescent="0.2">
      <c r="A54" s="762"/>
      <c r="B54" s="762"/>
      <c r="C54" s="762"/>
      <c r="D54" s="763"/>
      <c r="E54" s="763"/>
      <c r="G54" s="628"/>
      <c r="H54" s="766" t="s">
        <v>368</v>
      </c>
      <c r="I54" s="629" t="s">
        <v>1762</v>
      </c>
      <c r="J54" s="654" t="s">
        <v>1070</v>
      </c>
      <c r="K54" s="630" t="s">
        <v>250</v>
      </c>
      <c r="L54" s="631">
        <v>1</v>
      </c>
      <c r="M54" s="631">
        <v>11428.57</v>
      </c>
      <c r="N54" s="646">
        <f>M54*L54</f>
        <v>11428.57</v>
      </c>
      <c r="O54" s="1228" t="s">
        <v>2084</v>
      </c>
      <c r="P54" s="632" t="s">
        <v>333</v>
      </c>
      <c r="R54" s="742"/>
      <c r="S54" s="742"/>
    </row>
    <row r="55" spans="1:19" s="761" customFormat="1" ht="22.5" hidden="1" outlineLevel="2" x14ac:dyDescent="0.2">
      <c r="A55" s="762"/>
      <c r="B55" s="762"/>
      <c r="C55" s="762"/>
      <c r="D55" s="763"/>
      <c r="E55" s="763"/>
      <c r="G55" s="628"/>
      <c r="H55" s="766" t="s">
        <v>368</v>
      </c>
      <c r="I55" s="629" t="s">
        <v>1763</v>
      </c>
      <c r="J55" s="654" t="s">
        <v>1071</v>
      </c>
      <c r="K55" s="630" t="s">
        <v>250</v>
      </c>
      <c r="L55" s="631">
        <v>1</v>
      </c>
      <c r="M55" s="631">
        <v>11428.57</v>
      </c>
      <c r="N55" s="646">
        <f>M55*L55</f>
        <v>11428.57</v>
      </c>
      <c r="O55" s="1228" t="s">
        <v>2084</v>
      </c>
      <c r="P55" s="632" t="s">
        <v>333</v>
      </c>
      <c r="R55" s="742"/>
      <c r="S55" s="742"/>
    </row>
    <row r="56" spans="1:19" s="761" customFormat="1" ht="22.5" hidden="1" outlineLevel="2" x14ac:dyDescent="0.2">
      <c r="A56" s="762"/>
      <c r="B56" s="762"/>
      <c r="C56" s="762"/>
      <c r="D56" s="763"/>
      <c r="E56" s="763"/>
      <c r="G56" s="628"/>
      <c r="H56" s="766" t="s">
        <v>368</v>
      </c>
      <c r="I56" s="629" t="s">
        <v>1764</v>
      </c>
      <c r="J56" s="654" t="s">
        <v>1072</v>
      </c>
      <c r="K56" s="630" t="s">
        <v>250</v>
      </c>
      <c r="L56" s="631">
        <v>1</v>
      </c>
      <c r="M56" s="631">
        <v>9142.86</v>
      </c>
      <c r="N56" s="646">
        <f>M56*L56</f>
        <v>9142.86</v>
      </c>
      <c r="O56" s="1228" t="s">
        <v>2084</v>
      </c>
      <c r="P56" s="632" t="s">
        <v>333</v>
      </c>
      <c r="R56" s="742"/>
      <c r="S56" s="742"/>
    </row>
    <row r="57" spans="1:19" s="761" customFormat="1" hidden="1" outlineLevel="2" x14ac:dyDescent="0.2">
      <c r="A57" s="762"/>
      <c r="B57" s="762"/>
      <c r="C57" s="762"/>
      <c r="D57" s="763"/>
      <c r="E57" s="763"/>
      <c r="G57" s="628"/>
      <c r="H57" s="766" t="s">
        <v>367</v>
      </c>
      <c r="I57" s="629" t="s">
        <v>1765</v>
      </c>
      <c r="J57" s="654" t="s">
        <v>1766</v>
      </c>
      <c r="K57" s="630"/>
      <c r="L57" s="631"/>
      <c r="M57" s="631"/>
      <c r="N57" s="646">
        <f>SUM(N58:N59)</f>
        <v>40000</v>
      </c>
      <c r="O57" s="767"/>
      <c r="P57" s="632"/>
      <c r="R57" s="742"/>
      <c r="S57" s="742"/>
    </row>
    <row r="58" spans="1:19" s="761" customFormat="1" ht="22.5" hidden="1" outlineLevel="2" x14ac:dyDescent="0.2">
      <c r="A58" s="762"/>
      <c r="B58" s="762"/>
      <c r="C58" s="762"/>
      <c r="D58" s="763"/>
      <c r="E58" s="763"/>
      <c r="G58" s="628"/>
      <c r="H58" s="766" t="s">
        <v>368</v>
      </c>
      <c r="I58" s="629" t="s">
        <v>1767</v>
      </c>
      <c r="J58" s="654" t="s">
        <v>1073</v>
      </c>
      <c r="K58" s="630" t="s">
        <v>250</v>
      </c>
      <c r="L58" s="631">
        <v>1</v>
      </c>
      <c r="M58" s="631">
        <f>VLOOKUP(J58,Preços!$C$7:$F$498,4,FALSE)</f>
        <v>5000</v>
      </c>
      <c r="N58" s="646">
        <f>M58*L58</f>
        <v>5000</v>
      </c>
      <c r="O58" s="767" t="s">
        <v>2082</v>
      </c>
      <c r="P58" s="632" t="s">
        <v>333</v>
      </c>
      <c r="R58" s="742"/>
      <c r="S58" s="742"/>
    </row>
    <row r="59" spans="1:19" s="761" customFormat="1" ht="22.5" hidden="1" outlineLevel="2" x14ac:dyDescent="0.2">
      <c r="A59" s="762"/>
      <c r="B59" s="762"/>
      <c r="C59" s="762"/>
      <c r="D59" s="763"/>
      <c r="E59" s="763"/>
      <c r="G59" s="628"/>
      <c r="H59" s="766" t="s">
        <v>368</v>
      </c>
      <c r="I59" s="629" t="s">
        <v>1768</v>
      </c>
      <c r="J59" s="654" t="s">
        <v>1030</v>
      </c>
      <c r="K59" s="630" t="s">
        <v>250</v>
      </c>
      <c r="L59" s="631">
        <v>1</v>
      </c>
      <c r="M59" s="631">
        <f>VLOOKUP(J59,Preços!$C$7:$F$498,4,FALSE)</f>
        <v>35000</v>
      </c>
      <c r="N59" s="646">
        <f>M59*L59</f>
        <v>35000</v>
      </c>
      <c r="O59" s="767" t="s">
        <v>2082</v>
      </c>
      <c r="P59" s="632" t="s">
        <v>333</v>
      </c>
      <c r="R59" s="742"/>
      <c r="S59" s="742"/>
    </row>
    <row r="60" spans="1:19" s="761" customFormat="1" hidden="1" outlineLevel="2" x14ac:dyDescent="0.2">
      <c r="A60" s="762"/>
      <c r="B60" s="762"/>
      <c r="C60" s="762"/>
      <c r="D60" s="763"/>
      <c r="E60" s="763"/>
      <c r="G60" s="628"/>
      <c r="H60" s="766" t="s">
        <v>367</v>
      </c>
      <c r="I60" s="629" t="s">
        <v>1769</v>
      </c>
      <c r="J60" s="654" t="s">
        <v>1074</v>
      </c>
      <c r="K60" s="630"/>
      <c r="L60" s="631"/>
      <c r="M60" s="631"/>
      <c r="N60" s="646">
        <f>SUM(N61)</f>
        <v>88000</v>
      </c>
      <c r="O60" s="767"/>
      <c r="P60" s="632"/>
      <c r="R60" s="742"/>
      <c r="S60" s="742"/>
    </row>
    <row r="61" spans="1:19" s="761" customFormat="1" ht="22.5" hidden="1" outlineLevel="2" x14ac:dyDescent="0.2">
      <c r="A61" s="762"/>
      <c r="B61" s="762"/>
      <c r="C61" s="762"/>
      <c r="D61" s="763"/>
      <c r="E61" s="763"/>
      <c r="G61" s="628"/>
      <c r="H61" s="766" t="s">
        <v>368</v>
      </c>
      <c r="I61" s="629" t="s">
        <v>1770</v>
      </c>
      <c r="J61" s="654" t="s">
        <v>1074</v>
      </c>
      <c r="K61" s="630" t="s">
        <v>250</v>
      </c>
      <c r="L61" s="631">
        <v>1</v>
      </c>
      <c r="M61" s="631">
        <f>VLOOKUP(J61,Preços!$C$7:$F$498,4,FALSE)</f>
        <v>88000</v>
      </c>
      <c r="N61" s="646">
        <f>M61*L61</f>
        <v>88000</v>
      </c>
      <c r="O61" s="767" t="s">
        <v>2082</v>
      </c>
      <c r="P61" s="632" t="s">
        <v>333</v>
      </c>
      <c r="R61" s="742"/>
      <c r="S61" s="742"/>
    </row>
    <row r="62" spans="1:19" s="761" customFormat="1" hidden="1" outlineLevel="2" x14ac:dyDescent="0.2">
      <c r="A62" s="762"/>
      <c r="B62" s="762"/>
      <c r="C62" s="762"/>
      <c r="D62" s="763"/>
      <c r="E62" s="763"/>
      <c r="G62" s="628"/>
      <c r="H62" s="766" t="s">
        <v>367</v>
      </c>
      <c r="I62" s="629" t="s">
        <v>1771</v>
      </c>
      <c r="J62" s="654" t="s">
        <v>1075</v>
      </c>
      <c r="K62" s="630"/>
      <c r="L62" s="631"/>
      <c r="M62" s="631"/>
      <c r="N62" s="646">
        <f>SUM(N63)</f>
        <v>800905.22</v>
      </c>
      <c r="O62" s="767"/>
      <c r="P62" s="632"/>
      <c r="R62" s="742"/>
      <c r="S62" s="742"/>
    </row>
    <row r="63" spans="1:19" s="761" customFormat="1" ht="22.5" hidden="1" outlineLevel="2" x14ac:dyDescent="0.2">
      <c r="A63" s="762"/>
      <c r="B63" s="762"/>
      <c r="C63" s="762"/>
      <c r="D63" s="763"/>
      <c r="E63" s="763"/>
      <c r="G63" s="628"/>
      <c r="H63" s="766" t="s">
        <v>368</v>
      </c>
      <c r="I63" s="629" t="s">
        <v>1772</v>
      </c>
      <c r="J63" s="654" t="s">
        <v>1075</v>
      </c>
      <c r="K63" s="630" t="s">
        <v>250</v>
      </c>
      <c r="L63" s="631">
        <v>1</v>
      </c>
      <c r="M63" s="631">
        <f>VLOOKUP(J63,Preços!$C$7:$F$498,4,FALSE)</f>
        <v>800905.22</v>
      </c>
      <c r="N63" s="646">
        <f>M63*L63</f>
        <v>800905.22</v>
      </c>
      <c r="O63" s="767" t="s">
        <v>2082</v>
      </c>
      <c r="P63" s="632" t="s">
        <v>333</v>
      </c>
      <c r="R63" s="742"/>
      <c r="S63" s="742"/>
    </row>
    <row r="64" spans="1:19" s="761" customFormat="1" hidden="1" outlineLevel="2" x14ac:dyDescent="0.2">
      <c r="A64" s="762"/>
      <c r="B64" s="762"/>
      <c r="C64" s="762"/>
      <c r="D64" s="763"/>
      <c r="E64" s="763"/>
      <c r="G64" s="628"/>
      <c r="H64" s="766" t="s">
        <v>367</v>
      </c>
      <c r="I64" s="629" t="s">
        <v>1773</v>
      </c>
      <c r="J64" s="654" t="s">
        <v>1774</v>
      </c>
      <c r="K64" s="630"/>
      <c r="L64" s="631"/>
      <c r="M64" s="631"/>
      <c r="N64" s="646">
        <f>SUM(N65)</f>
        <v>10000</v>
      </c>
      <c r="O64" s="767"/>
      <c r="P64" s="632"/>
      <c r="R64" s="742"/>
      <c r="S64" s="742"/>
    </row>
    <row r="65" spans="1:19" s="761" customFormat="1" ht="22.5" hidden="1" outlineLevel="2" x14ac:dyDescent="0.2">
      <c r="A65" s="762"/>
      <c r="B65" s="762"/>
      <c r="C65" s="762"/>
      <c r="D65" s="763"/>
      <c r="E65" s="763"/>
      <c r="G65" s="628"/>
      <c r="H65" s="766" t="s">
        <v>368</v>
      </c>
      <c r="I65" s="629" t="s">
        <v>1775</v>
      </c>
      <c r="J65" s="654" t="s">
        <v>1037</v>
      </c>
      <c r="K65" s="630" t="s">
        <v>250</v>
      </c>
      <c r="L65" s="631">
        <v>1</v>
      </c>
      <c r="M65" s="631">
        <f>VLOOKUP(J65,Preços!$C$7:$F$498,4,FALSE)</f>
        <v>10000</v>
      </c>
      <c r="N65" s="646">
        <f>M65*L65</f>
        <v>10000</v>
      </c>
      <c r="O65" s="767" t="s">
        <v>2082</v>
      </c>
      <c r="P65" s="632" t="s">
        <v>333</v>
      </c>
      <c r="R65" s="742"/>
      <c r="S65" s="742"/>
    </row>
    <row r="66" spans="1:19" s="761" customFormat="1" hidden="1" outlineLevel="2" x14ac:dyDescent="0.2">
      <c r="A66" s="762"/>
      <c r="B66" s="762"/>
      <c r="C66" s="762"/>
      <c r="D66" s="763"/>
      <c r="E66" s="763"/>
      <c r="G66" s="628"/>
      <c r="H66" s="766" t="s">
        <v>367</v>
      </c>
      <c r="I66" s="629" t="s">
        <v>1776</v>
      </c>
      <c r="J66" s="654" t="s">
        <v>1777</v>
      </c>
      <c r="K66" s="630"/>
      <c r="L66" s="631"/>
      <c r="M66" s="631"/>
      <c r="N66" s="646">
        <f>SUM(N67)</f>
        <v>15000</v>
      </c>
      <c r="O66" s="767"/>
      <c r="P66" s="632"/>
      <c r="R66" s="742"/>
      <c r="S66" s="742"/>
    </row>
    <row r="67" spans="1:19" s="761" customFormat="1" ht="22.5" hidden="1" outlineLevel="2" x14ac:dyDescent="0.2">
      <c r="A67" s="762"/>
      <c r="B67" s="762"/>
      <c r="C67" s="762"/>
      <c r="D67" s="763"/>
      <c r="E67" s="763"/>
      <c r="G67" s="628"/>
      <c r="H67" s="766" t="s">
        <v>368</v>
      </c>
      <c r="I67" s="629" t="s">
        <v>1778</v>
      </c>
      <c r="J67" s="654" t="s">
        <v>964</v>
      </c>
      <c r="K67" s="630" t="s">
        <v>250</v>
      </c>
      <c r="L67" s="631">
        <v>1</v>
      </c>
      <c r="M67" s="631">
        <f>VLOOKUP(J67,Preços!$C$7:$F$498,4,FALSE)</f>
        <v>15000</v>
      </c>
      <c r="N67" s="646">
        <f>M67*L67</f>
        <v>15000</v>
      </c>
      <c r="O67" s="767" t="s">
        <v>2082</v>
      </c>
      <c r="P67" s="632" t="s">
        <v>333</v>
      </c>
      <c r="R67" s="742"/>
      <c r="S67" s="742"/>
    </row>
    <row r="68" spans="1:19" s="761" customFormat="1" hidden="1" outlineLevel="2" x14ac:dyDescent="0.2">
      <c r="A68" s="762"/>
      <c r="B68" s="762"/>
      <c r="C68" s="762"/>
      <c r="D68" s="763"/>
      <c r="E68" s="763"/>
      <c r="G68" s="628"/>
      <c r="H68" s="766" t="s">
        <v>367</v>
      </c>
      <c r="I68" s="629" t="s">
        <v>1779</v>
      </c>
      <c r="J68" s="654" t="s">
        <v>1780</v>
      </c>
      <c r="K68" s="630"/>
      <c r="L68" s="631"/>
      <c r="M68" s="631"/>
      <c r="N68" s="646">
        <f>SUM(N69)</f>
        <v>11319.43</v>
      </c>
      <c r="O68" s="767"/>
      <c r="P68" s="632"/>
      <c r="R68" s="742"/>
      <c r="S68" s="742"/>
    </row>
    <row r="69" spans="1:19" s="761" customFormat="1" ht="22.5" hidden="1" outlineLevel="2" x14ac:dyDescent="0.2">
      <c r="A69" s="762"/>
      <c r="B69" s="762"/>
      <c r="C69" s="762"/>
      <c r="D69" s="763"/>
      <c r="E69" s="763"/>
      <c r="G69" s="628"/>
      <c r="H69" s="766" t="s">
        <v>368</v>
      </c>
      <c r="I69" s="629" t="s">
        <v>1781</v>
      </c>
      <c r="J69" s="654" t="s">
        <v>965</v>
      </c>
      <c r="K69" s="630" t="s">
        <v>250</v>
      </c>
      <c r="L69" s="631">
        <v>1</v>
      </c>
      <c r="M69" s="631">
        <f>VLOOKUP(J69,Preços!$C$7:$F$498,4,FALSE)</f>
        <v>11319.43</v>
      </c>
      <c r="N69" s="646">
        <f>M69*L69</f>
        <v>11319.43</v>
      </c>
      <c r="O69" s="767" t="s">
        <v>2082</v>
      </c>
      <c r="P69" s="632" t="s">
        <v>333</v>
      </c>
      <c r="R69" s="742"/>
      <c r="S69" s="742"/>
    </row>
    <row r="70" spans="1:19" s="761" customFormat="1" hidden="1" outlineLevel="2" x14ac:dyDescent="0.2">
      <c r="A70" s="762"/>
      <c r="B70" s="762"/>
      <c r="C70" s="762"/>
      <c r="D70" s="763"/>
      <c r="E70" s="763"/>
      <c r="G70" s="628"/>
      <c r="H70" s="766" t="s">
        <v>367</v>
      </c>
      <c r="I70" s="629" t="s">
        <v>1782</v>
      </c>
      <c r="J70" s="654" t="s">
        <v>1038</v>
      </c>
      <c r="K70" s="630"/>
      <c r="L70" s="631"/>
      <c r="M70" s="631"/>
      <c r="N70" s="646">
        <f>SUM(N71)</f>
        <v>10000</v>
      </c>
      <c r="O70" s="767"/>
      <c r="P70" s="632"/>
      <c r="R70" s="742"/>
      <c r="S70" s="742"/>
    </row>
    <row r="71" spans="1:19" s="761" customFormat="1" ht="22.5" hidden="1" outlineLevel="2" x14ac:dyDescent="0.2">
      <c r="A71" s="762"/>
      <c r="B71" s="762"/>
      <c r="C71" s="762"/>
      <c r="D71" s="763"/>
      <c r="E71" s="763"/>
      <c r="G71" s="628"/>
      <c r="H71" s="766" t="s">
        <v>368</v>
      </c>
      <c r="I71" s="629" t="s">
        <v>1783</v>
      </c>
      <c r="J71" s="654" t="s">
        <v>1038</v>
      </c>
      <c r="K71" s="630" t="s">
        <v>250</v>
      </c>
      <c r="L71" s="631">
        <v>1</v>
      </c>
      <c r="M71" s="631">
        <f>VLOOKUP(J71,Preços!$C$7:$F$498,4,FALSE)</f>
        <v>10000</v>
      </c>
      <c r="N71" s="646">
        <f>M71*L71</f>
        <v>10000</v>
      </c>
      <c r="O71" s="767" t="s">
        <v>2082</v>
      </c>
      <c r="P71" s="632" t="s">
        <v>333</v>
      </c>
      <c r="R71" s="742"/>
      <c r="S71" s="742"/>
    </row>
    <row r="72" spans="1:19" s="761" customFormat="1" hidden="1" outlineLevel="2" x14ac:dyDescent="0.2">
      <c r="A72" s="762"/>
      <c r="B72" s="762"/>
      <c r="C72" s="762"/>
      <c r="D72" s="763"/>
      <c r="E72" s="763"/>
      <c r="G72" s="628"/>
      <c r="H72" s="766" t="s">
        <v>367</v>
      </c>
      <c r="I72" s="629" t="s">
        <v>1784</v>
      </c>
      <c r="J72" s="654" t="s">
        <v>1039</v>
      </c>
      <c r="K72" s="630"/>
      <c r="L72" s="631"/>
      <c r="M72" s="631"/>
      <c r="N72" s="646">
        <f>SUM(N73)</f>
        <v>10000</v>
      </c>
      <c r="O72" s="767"/>
      <c r="P72" s="632"/>
      <c r="R72" s="742"/>
      <c r="S72" s="742"/>
    </row>
    <row r="73" spans="1:19" s="761" customFormat="1" ht="22.5" hidden="1" outlineLevel="2" x14ac:dyDescent="0.2">
      <c r="A73" s="762"/>
      <c r="B73" s="762"/>
      <c r="C73" s="762"/>
      <c r="D73" s="763"/>
      <c r="E73" s="763"/>
      <c r="G73" s="628"/>
      <c r="H73" s="766" t="s">
        <v>368</v>
      </c>
      <c r="I73" s="629" t="s">
        <v>1785</v>
      </c>
      <c r="J73" s="654" t="s">
        <v>1039</v>
      </c>
      <c r="K73" s="630" t="s">
        <v>250</v>
      </c>
      <c r="L73" s="631">
        <v>1</v>
      </c>
      <c r="M73" s="631">
        <f>VLOOKUP(J73,Preços!$C$7:$F$498,4,FALSE)</f>
        <v>10000</v>
      </c>
      <c r="N73" s="646">
        <f>M73*L73</f>
        <v>10000</v>
      </c>
      <c r="O73" s="767" t="s">
        <v>2082</v>
      </c>
      <c r="P73" s="632" t="s">
        <v>333</v>
      </c>
      <c r="R73" s="742"/>
      <c r="S73" s="742"/>
    </row>
    <row r="74" spans="1:19" s="761" customFormat="1" hidden="1" outlineLevel="2" x14ac:dyDescent="0.2">
      <c r="A74" s="762"/>
      <c r="B74" s="762"/>
      <c r="C74" s="762"/>
      <c r="D74" s="763"/>
      <c r="E74" s="763"/>
      <c r="G74" s="628"/>
      <c r="H74" s="766" t="s">
        <v>367</v>
      </c>
      <c r="I74" s="629" t="s">
        <v>1786</v>
      </c>
      <c r="J74" s="654" t="s">
        <v>1040</v>
      </c>
      <c r="K74" s="630"/>
      <c r="L74" s="631"/>
      <c r="M74" s="631"/>
      <c r="N74" s="646">
        <f>SUM(N75)</f>
        <v>15000</v>
      </c>
      <c r="O74" s="767"/>
      <c r="P74" s="632"/>
      <c r="R74" s="742"/>
      <c r="S74" s="742"/>
    </row>
    <row r="75" spans="1:19" s="761" customFormat="1" ht="22.5" hidden="1" outlineLevel="2" x14ac:dyDescent="0.2">
      <c r="A75" s="762"/>
      <c r="B75" s="762"/>
      <c r="C75" s="762"/>
      <c r="D75" s="763"/>
      <c r="E75" s="763"/>
      <c r="G75" s="628"/>
      <c r="H75" s="766" t="s">
        <v>368</v>
      </c>
      <c r="I75" s="629" t="s">
        <v>1787</v>
      </c>
      <c r="J75" s="654" t="s">
        <v>1040</v>
      </c>
      <c r="K75" s="630" t="s">
        <v>250</v>
      </c>
      <c r="L75" s="631">
        <v>1</v>
      </c>
      <c r="M75" s="631">
        <f>VLOOKUP(J75,Preços!$C$7:$F$498,4,FALSE)</f>
        <v>15000</v>
      </c>
      <c r="N75" s="646">
        <f>M75*L75</f>
        <v>15000</v>
      </c>
      <c r="O75" s="767" t="s">
        <v>2082</v>
      </c>
      <c r="P75" s="632" t="s">
        <v>333</v>
      </c>
      <c r="R75" s="742"/>
      <c r="S75" s="742"/>
    </row>
    <row r="76" spans="1:19" s="761" customFormat="1" hidden="1" outlineLevel="2" x14ac:dyDescent="0.2">
      <c r="A76" s="762"/>
      <c r="B76" s="762"/>
      <c r="C76" s="762"/>
      <c r="D76" s="763"/>
      <c r="E76" s="763"/>
      <c r="G76" s="628"/>
      <c r="H76" s="766" t="s">
        <v>367</v>
      </c>
      <c r="I76" s="629" t="s">
        <v>1788</v>
      </c>
      <c r="J76" s="654" t="s">
        <v>1041</v>
      </c>
      <c r="K76" s="630"/>
      <c r="L76" s="631"/>
      <c r="M76" s="631"/>
      <c r="N76" s="646">
        <f>SUM(N77)</f>
        <v>9452.34</v>
      </c>
      <c r="O76" s="767"/>
      <c r="P76" s="632"/>
      <c r="R76" s="742"/>
      <c r="S76" s="742"/>
    </row>
    <row r="77" spans="1:19" s="761" customFormat="1" ht="22.5" hidden="1" outlineLevel="2" x14ac:dyDescent="0.2">
      <c r="A77" s="762"/>
      <c r="B77" s="762"/>
      <c r="C77" s="762"/>
      <c r="D77" s="763"/>
      <c r="E77" s="763"/>
      <c r="G77" s="628"/>
      <c r="H77" s="766" t="s">
        <v>368</v>
      </c>
      <c r="I77" s="629" t="s">
        <v>1789</v>
      </c>
      <c r="J77" s="654" t="s">
        <v>1041</v>
      </c>
      <c r="K77" s="630" t="s">
        <v>250</v>
      </c>
      <c r="L77" s="631">
        <v>1</v>
      </c>
      <c r="M77" s="631">
        <f>VLOOKUP(J77,Preços!$C$7:$F$498,4,FALSE)</f>
        <v>9452.34</v>
      </c>
      <c r="N77" s="646">
        <f>M77*L77</f>
        <v>9452.34</v>
      </c>
      <c r="O77" s="767" t="s">
        <v>2082</v>
      </c>
      <c r="P77" s="632" t="s">
        <v>333</v>
      </c>
      <c r="R77" s="742"/>
      <c r="S77" s="742"/>
    </row>
    <row r="78" spans="1:19" s="761" customFormat="1" collapsed="1" x14ac:dyDescent="0.2">
      <c r="A78" s="762"/>
      <c r="B78" s="762"/>
      <c r="C78" s="762"/>
      <c r="D78" s="763"/>
      <c r="E78" s="763"/>
      <c r="G78" s="628"/>
      <c r="H78" s="766" t="s">
        <v>365</v>
      </c>
      <c r="I78" s="629" t="s">
        <v>1790</v>
      </c>
      <c r="J78" s="654" t="s">
        <v>1791</v>
      </c>
      <c r="K78" s="630"/>
      <c r="L78" s="631"/>
      <c r="M78" s="631"/>
      <c r="N78" s="646">
        <f>SUM(N79,N82)</f>
        <v>479062.27739100001</v>
      </c>
      <c r="O78" s="767"/>
      <c r="P78" s="632"/>
      <c r="R78" s="742"/>
      <c r="S78" s="742"/>
    </row>
    <row r="79" spans="1:19" s="761" customFormat="1" hidden="1" outlineLevel="1" collapsed="1" x14ac:dyDescent="0.2">
      <c r="A79" s="762"/>
      <c r="B79" s="762"/>
      <c r="C79" s="762"/>
      <c r="D79" s="763"/>
      <c r="E79" s="763"/>
      <c r="G79" s="628"/>
      <c r="H79" s="766" t="s">
        <v>366</v>
      </c>
      <c r="I79" s="629" t="s">
        <v>1792</v>
      </c>
      <c r="J79" s="654" t="s">
        <v>1791</v>
      </c>
      <c r="K79" s="630"/>
      <c r="L79" s="631"/>
      <c r="M79" s="631"/>
      <c r="N79" s="646">
        <f>N80</f>
        <v>35000</v>
      </c>
      <c r="O79" s="767"/>
      <c r="P79" s="632"/>
      <c r="R79" s="742"/>
      <c r="S79" s="742"/>
    </row>
    <row r="80" spans="1:19" s="761" customFormat="1" hidden="1" outlineLevel="2" x14ac:dyDescent="0.2">
      <c r="A80" s="762"/>
      <c r="B80" s="762"/>
      <c r="C80" s="762"/>
      <c r="D80" s="763"/>
      <c r="E80" s="763"/>
      <c r="G80" s="628"/>
      <c r="H80" s="766" t="s">
        <v>367</v>
      </c>
      <c r="I80" s="629" t="s">
        <v>1793</v>
      </c>
      <c r="J80" s="654" t="s">
        <v>1794</v>
      </c>
      <c r="K80" s="630"/>
      <c r="L80" s="631"/>
      <c r="M80" s="631"/>
      <c r="N80" s="646">
        <f>SUM(N81)</f>
        <v>35000</v>
      </c>
      <c r="O80" s="767"/>
      <c r="P80" s="632"/>
      <c r="R80" s="742"/>
      <c r="S80" s="742"/>
    </row>
    <row r="81" spans="1:19" s="761" customFormat="1" ht="22.5" hidden="1" outlineLevel="2" x14ac:dyDescent="0.2">
      <c r="A81" s="762"/>
      <c r="B81" s="762"/>
      <c r="C81" s="762"/>
      <c r="D81" s="763"/>
      <c r="E81" s="763"/>
      <c r="G81" s="628"/>
      <c r="H81" s="766" t="s">
        <v>368</v>
      </c>
      <c r="I81" s="629" t="s">
        <v>1795</v>
      </c>
      <c r="J81" s="654" t="s">
        <v>1076</v>
      </c>
      <c r="K81" s="630" t="s">
        <v>250</v>
      </c>
      <c r="L81" s="631">
        <v>1</v>
      </c>
      <c r="M81" s="631">
        <v>35000</v>
      </c>
      <c r="N81" s="646">
        <f>M81*L81</f>
        <v>35000</v>
      </c>
      <c r="O81" s="1228" t="s">
        <v>2084</v>
      </c>
      <c r="P81" s="632" t="s">
        <v>333</v>
      </c>
      <c r="R81" s="742"/>
      <c r="S81" s="742"/>
    </row>
    <row r="82" spans="1:19" s="761" customFormat="1" hidden="1" outlineLevel="1" collapsed="1" x14ac:dyDescent="0.2">
      <c r="A82" s="762"/>
      <c r="B82" s="762"/>
      <c r="C82" s="762"/>
      <c r="D82" s="763"/>
      <c r="E82" s="763"/>
      <c r="G82" s="628"/>
      <c r="H82" s="766" t="s">
        <v>366</v>
      </c>
      <c r="I82" s="629" t="s">
        <v>1796</v>
      </c>
      <c r="J82" s="654" t="s">
        <v>1797</v>
      </c>
      <c r="K82" s="630"/>
      <c r="L82" s="631"/>
      <c r="M82" s="631"/>
      <c r="N82" s="646">
        <f>SUM(N83,N85,N88,N94,N97,N99,N104,N106,N109)</f>
        <v>444062.27739100001</v>
      </c>
      <c r="O82" s="767"/>
      <c r="P82" s="632"/>
      <c r="R82" s="742"/>
      <c r="S82" s="742"/>
    </row>
    <row r="83" spans="1:19" s="761" customFormat="1" hidden="1" outlineLevel="2" x14ac:dyDescent="0.2">
      <c r="A83" s="762"/>
      <c r="B83" s="762"/>
      <c r="C83" s="762"/>
      <c r="D83" s="763"/>
      <c r="E83" s="763"/>
      <c r="G83" s="628"/>
      <c r="H83" s="766" t="s">
        <v>367</v>
      </c>
      <c r="I83" s="629" t="s">
        <v>1798</v>
      </c>
      <c r="J83" s="654" t="s">
        <v>1799</v>
      </c>
      <c r="K83" s="630"/>
      <c r="L83" s="631"/>
      <c r="M83" s="631"/>
      <c r="N83" s="646">
        <f>SUM(N84)</f>
        <v>27500</v>
      </c>
      <c r="O83" s="767"/>
      <c r="P83" s="632"/>
      <c r="R83" s="742"/>
      <c r="S83" s="742"/>
    </row>
    <row r="84" spans="1:19" s="761" customFormat="1" ht="22.5" hidden="1" outlineLevel="2" x14ac:dyDescent="0.2">
      <c r="A84" s="762"/>
      <c r="B84" s="762"/>
      <c r="C84" s="762"/>
      <c r="D84" s="763"/>
      <c r="E84" s="763"/>
      <c r="G84" s="628"/>
      <c r="H84" s="766" t="s">
        <v>368</v>
      </c>
      <c r="I84" s="629" t="s">
        <v>1800</v>
      </c>
      <c r="J84" s="654" t="s">
        <v>1077</v>
      </c>
      <c r="K84" s="630" t="s">
        <v>250</v>
      </c>
      <c r="L84" s="631">
        <v>1</v>
      </c>
      <c r="M84" s="631">
        <f>VLOOKUP(J84,Preços!$C$7:$F$498,4,FALSE)</f>
        <v>27500</v>
      </c>
      <c r="N84" s="646">
        <f t="shared" ref="N84:N143" si="0">M84*L84</f>
        <v>27500</v>
      </c>
      <c r="O84" s="767" t="s">
        <v>2082</v>
      </c>
      <c r="P84" s="632" t="s">
        <v>333</v>
      </c>
      <c r="R84" s="742"/>
      <c r="S84" s="742"/>
    </row>
    <row r="85" spans="1:19" s="761" customFormat="1" hidden="1" outlineLevel="2" x14ac:dyDescent="0.2">
      <c r="A85" s="762"/>
      <c r="B85" s="762"/>
      <c r="C85" s="762"/>
      <c r="D85" s="763"/>
      <c r="E85" s="763"/>
      <c r="G85" s="628"/>
      <c r="H85" s="766" t="s">
        <v>367</v>
      </c>
      <c r="I85" s="629" t="s">
        <v>1801</v>
      </c>
      <c r="J85" s="654" t="s">
        <v>1802</v>
      </c>
      <c r="K85" s="630"/>
      <c r="L85" s="631"/>
      <c r="M85" s="631"/>
      <c r="N85" s="646">
        <f>SUM(N86:N87)</f>
        <v>85000</v>
      </c>
      <c r="O85" s="767"/>
      <c r="P85" s="632"/>
      <c r="R85" s="742"/>
      <c r="S85" s="742"/>
    </row>
    <row r="86" spans="1:19" s="761" customFormat="1" ht="22.5" hidden="1" outlineLevel="2" x14ac:dyDescent="0.2">
      <c r="A86" s="762"/>
      <c r="B86" s="762"/>
      <c r="C86" s="762"/>
      <c r="D86" s="763"/>
      <c r="E86" s="763"/>
      <c r="G86" s="628"/>
      <c r="H86" s="766" t="s">
        <v>368</v>
      </c>
      <c r="I86" s="629" t="s">
        <v>1803</v>
      </c>
      <c r="J86" s="654" t="s">
        <v>1027</v>
      </c>
      <c r="K86" s="630" t="s">
        <v>250</v>
      </c>
      <c r="L86" s="631">
        <v>1</v>
      </c>
      <c r="M86" s="631">
        <v>68095.67</v>
      </c>
      <c r="N86" s="646">
        <f t="shared" si="0"/>
        <v>68095.67</v>
      </c>
      <c r="O86" s="1228" t="s">
        <v>2084</v>
      </c>
      <c r="P86" s="632" t="s">
        <v>333</v>
      </c>
      <c r="R86" s="742"/>
      <c r="S86" s="742"/>
    </row>
    <row r="87" spans="1:19" s="761" customFormat="1" ht="22.5" hidden="1" outlineLevel="2" x14ac:dyDescent="0.2">
      <c r="A87" s="762"/>
      <c r="B87" s="762"/>
      <c r="C87" s="762"/>
      <c r="D87" s="763"/>
      <c r="E87" s="763"/>
      <c r="G87" s="628"/>
      <c r="H87" s="766" t="s">
        <v>368</v>
      </c>
      <c r="I87" s="629" t="s">
        <v>1804</v>
      </c>
      <c r="J87" s="654" t="s">
        <v>1028</v>
      </c>
      <c r="K87" s="630" t="s">
        <v>250</v>
      </c>
      <c r="L87" s="631">
        <v>1</v>
      </c>
      <c r="M87" s="631">
        <v>16904.330000000002</v>
      </c>
      <c r="N87" s="646">
        <f t="shared" si="0"/>
        <v>16904.330000000002</v>
      </c>
      <c r="O87" s="1228" t="s">
        <v>2084</v>
      </c>
      <c r="P87" s="632" t="s">
        <v>333</v>
      </c>
      <c r="R87" s="742"/>
      <c r="S87" s="742"/>
    </row>
    <row r="88" spans="1:19" s="761" customFormat="1" hidden="1" outlineLevel="2" x14ac:dyDescent="0.2">
      <c r="A88" s="762"/>
      <c r="B88" s="762"/>
      <c r="C88" s="762"/>
      <c r="D88" s="763"/>
      <c r="E88" s="763"/>
      <c r="G88" s="628"/>
      <c r="H88" s="766" t="s">
        <v>367</v>
      </c>
      <c r="I88" s="629" t="s">
        <v>1805</v>
      </c>
      <c r="J88" s="654" t="s">
        <v>1806</v>
      </c>
      <c r="K88" s="630"/>
      <c r="L88" s="631"/>
      <c r="M88" s="631"/>
      <c r="N88" s="646">
        <f>SUM(N89:N93)</f>
        <v>54182.739735999996</v>
      </c>
      <c r="O88" s="767"/>
      <c r="P88" s="632"/>
      <c r="R88" s="742"/>
      <c r="S88" s="742"/>
    </row>
    <row r="89" spans="1:19" s="761" customFormat="1" ht="22.5" hidden="1" outlineLevel="2" x14ac:dyDescent="0.2">
      <c r="A89" s="762"/>
      <c r="B89" s="762"/>
      <c r="C89" s="762"/>
      <c r="D89" s="763"/>
      <c r="E89" s="763"/>
      <c r="G89" s="628"/>
      <c r="H89" s="766" t="s">
        <v>368</v>
      </c>
      <c r="I89" s="629" t="s">
        <v>1807</v>
      </c>
      <c r="J89" s="654" t="s">
        <v>1078</v>
      </c>
      <c r="K89" s="630" t="s">
        <v>3</v>
      </c>
      <c r="L89" s="631">
        <v>316.06</v>
      </c>
      <c r="M89" s="631">
        <f>VLOOKUP(J89,Preços!$C$7:$F$498,4,FALSE)</f>
        <v>18.672799999999999</v>
      </c>
      <c r="N89" s="646">
        <f t="shared" si="0"/>
        <v>5901.7251679999999</v>
      </c>
      <c r="O89" s="767" t="s">
        <v>2082</v>
      </c>
      <c r="P89" s="632" t="s">
        <v>333</v>
      </c>
      <c r="R89" s="742"/>
      <c r="S89" s="742"/>
    </row>
    <row r="90" spans="1:19" s="761" customFormat="1" ht="22.5" hidden="1" outlineLevel="2" x14ac:dyDescent="0.2">
      <c r="A90" s="762"/>
      <c r="B90" s="762"/>
      <c r="C90" s="762"/>
      <c r="D90" s="763"/>
      <c r="E90" s="763"/>
      <c r="G90" s="628"/>
      <c r="H90" s="766" t="s">
        <v>368</v>
      </c>
      <c r="I90" s="629" t="s">
        <v>1808</v>
      </c>
      <c r="J90" s="654" t="s">
        <v>1079</v>
      </c>
      <c r="K90" s="630" t="s">
        <v>1</v>
      </c>
      <c r="L90" s="631">
        <v>108</v>
      </c>
      <c r="M90" s="631">
        <f>VLOOKUP(J90,Preços!$C$7:$F$498,4,FALSE)</f>
        <v>99.338999999999999</v>
      </c>
      <c r="N90" s="646">
        <f t="shared" si="0"/>
        <v>10728.611999999999</v>
      </c>
      <c r="O90" s="767" t="s">
        <v>2082</v>
      </c>
      <c r="P90" s="632" t="s">
        <v>333</v>
      </c>
      <c r="R90" s="742"/>
      <c r="S90" s="742"/>
    </row>
    <row r="91" spans="1:19" s="761" customFormat="1" ht="22.5" hidden="1" outlineLevel="2" x14ac:dyDescent="0.2">
      <c r="A91" s="762"/>
      <c r="B91" s="762"/>
      <c r="C91" s="762"/>
      <c r="D91" s="763"/>
      <c r="E91" s="763"/>
      <c r="G91" s="628"/>
      <c r="H91" s="766" t="s">
        <v>368</v>
      </c>
      <c r="I91" s="629" t="s">
        <v>1809</v>
      </c>
      <c r="J91" s="654" t="s">
        <v>1081</v>
      </c>
      <c r="K91" s="630" t="s">
        <v>3</v>
      </c>
      <c r="L91" s="631">
        <v>277.95999999999998</v>
      </c>
      <c r="M91" s="631">
        <f>VLOOKUP(J91,Preços!$C$7:$F$498,4,FALSE)</f>
        <v>11.7464</v>
      </c>
      <c r="N91" s="646">
        <f t="shared" si="0"/>
        <v>3265.0293439999996</v>
      </c>
      <c r="O91" s="767" t="s">
        <v>2082</v>
      </c>
      <c r="P91" s="632" t="s">
        <v>333</v>
      </c>
      <c r="R91" s="742"/>
      <c r="S91" s="742"/>
    </row>
    <row r="92" spans="1:19" s="761" customFormat="1" ht="22.5" hidden="1" outlineLevel="2" x14ac:dyDescent="0.2">
      <c r="A92" s="762"/>
      <c r="B92" s="762"/>
      <c r="C92" s="762"/>
      <c r="D92" s="763"/>
      <c r="E92" s="763"/>
      <c r="G92" s="628"/>
      <c r="H92" s="766" t="s">
        <v>368</v>
      </c>
      <c r="I92" s="629" t="s">
        <v>1810</v>
      </c>
      <c r="J92" s="654" t="s">
        <v>1056</v>
      </c>
      <c r="K92" s="630" t="s">
        <v>1</v>
      </c>
      <c r="L92" s="631">
        <v>327.78</v>
      </c>
      <c r="M92" s="631">
        <f>VLOOKUP(J92,Preços!$C$7:$F$498,4,FALSE)</f>
        <v>93.723200000000006</v>
      </c>
      <c r="N92" s="646">
        <f t="shared" si="0"/>
        <v>30720.590496000001</v>
      </c>
      <c r="O92" s="767" t="s">
        <v>2082</v>
      </c>
      <c r="P92" s="632" t="s">
        <v>333</v>
      </c>
      <c r="R92" s="742"/>
      <c r="S92" s="742"/>
    </row>
    <row r="93" spans="1:19" s="761" customFormat="1" ht="22.5" hidden="1" outlineLevel="2" x14ac:dyDescent="0.2">
      <c r="A93" s="762"/>
      <c r="B93" s="762"/>
      <c r="C93" s="762"/>
      <c r="D93" s="763"/>
      <c r="E93" s="763"/>
      <c r="G93" s="628"/>
      <c r="H93" s="766" t="s">
        <v>368</v>
      </c>
      <c r="I93" s="629" t="s">
        <v>1811</v>
      </c>
      <c r="J93" s="654" t="s">
        <v>1057</v>
      </c>
      <c r="K93" s="630" t="s">
        <v>3</v>
      </c>
      <c r="L93" s="631">
        <v>25.72</v>
      </c>
      <c r="M93" s="631">
        <f>VLOOKUP(J93,Preços!$C$7:$F$498,4,FALSE)</f>
        <v>138.67740000000001</v>
      </c>
      <c r="N93" s="646">
        <f t="shared" si="0"/>
        <v>3566.7827280000001</v>
      </c>
      <c r="O93" s="767" t="s">
        <v>2082</v>
      </c>
      <c r="P93" s="632" t="s">
        <v>333</v>
      </c>
      <c r="R93" s="742"/>
      <c r="S93" s="742"/>
    </row>
    <row r="94" spans="1:19" s="761" customFormat="1" hidden="1" outlineLevel="2" x14ac:dyDescent="0.2">
      <c r="A94" s="762"/>
      <c r="B94" s="762"/>
      <c r="C94" s="762"/>
      <c r="D94" s="763"/>
      <c r="E94" s="763"/>
      <c r="G94" s="628"/>
      <c r="H94" s="766" t="s">
        <v>367</v>
      </c>
      <c r="I94" s="629" t="s">
        <v>1812</v>
      </c>
      <c r="J94" s="654" t="s">
        <v>1813</v>
      </c>
      <c r="K94" s="630"/>
      <c r="L94" s="631"/>
      <c r="M94" s="631"/>
      <c r="N94" s="646">
        <f>SUM(N95:N96)</f>
        <v>123871.334775</v>
      </c>
      <c r="O94" s="767"/>
      <c r="P94" s="632"/>
      <c r="R94" s="742"/>
      <c r="S94" s="742"/>
    </row>
    <row r="95" spans="1:19" s="761" customFormat="1" ht="22.5" hidden="1" outlineLevel="2" x14ac:dyDescent="0.2">
      <c r="A95" s="762"/>
      <c r="B95" s="762"/>
      <c r="C95" s="762"/>
      <c r="D95" s="763"/>
      <c r="E95" s="763"/>
      <c r="G95" s="628"/>
      <c r="H95" s="766" t="s">
        <v>368</v>
      </c>
      <c r="I95" s="629" t="s">
        <v>1814</v>
      </c>
      <c r="J95" s="654" t="s">
        <v>1082</v>
      </c>
      <c r="K95" s="630" t="s">
        <v>1</v>
      </c>
      <c r="L95" s="631">
        <v>6032.75</v>
      </c>
      <c r="M95" s="631">
        <f>VLOOKUP(J95,Preços!$C$7:$F$498,4,FALSE)</f>
        <v>9.9460999999999995</v>
      </c>
      <c r="N95" s="646">
        <f t="shared" si="0"/>
        <v>60002.334774999996</v>
      </c>
      <c r="O95" s="767" t="s">
        <v>2082</v>
      </c>
      <c r="P95" s="632" t="s">
        <v>333</v>
      </c>
      <c r="R95" s="742"/>
      <c r="S95" s="742"/>
    </row>
    <row r="96" spans="1:19" s="761" customFormat="1" ht="22.5" hidden="1" outlineLevel="2" x14ac:dyDescent="0.2">
      <c r="A96" s="762"/>
      <c r="B96" s="762"/>
      <c r="C96" s="762"/>
      <c r="D96" s="763"/>
      <c r="E96" s="763"/>
      <c r="G96" s="628"/>
      <c r="H96" s="766" t="s">
        <v>368</v>
      </c>
      <c r="I96" s="629" t="s">
        <v>1815</v>
      </c>
      <c r="J96" s="654" t="s">
        <v>1043</v>
      </c>
      <c r="K96" s="630" t="s">
        <v>250</v>
      </c>
      <c r="L96" s="631">
        <v>1</v>
      </c>
      <c r="M96" s="631">
        <f>VLOOKUP(J96,Preços!$C$7:$F$498,4,FALSE)</f>
        <v>63869</v>
      </c>
      <c r="N96" s="646">
        <f t="shared" si="0"/>
        <v>63869</v>
      </c>
      <c r="O96" s="767" t="s">
        <v>2082</v>
      </c>
      <c r="P96" s="632" t="s">
        <v>333</v>
      </c>
      <c r="R96" s="742"/>
      <c r="S96" s="742"/>
    </row>
    <row r="97" spans="1:19" s="761" customFormat="1" hidden="1" outlineLevel="2" x14ac:dyDescent="0.2">
      <c r="A97" s="762"/>
      <c r="B97" s="762"/>
      <c r="C97" s="762"/>
      <c r="D97" s="763"/>
      <c r="E97" s="763"/>
      <c r="G97" s="628"/>
      <c r="H97" s="766" t="s">
        <v>367</v>
      </c>
      <c r="I97" s="629" t="s">
        <v>1816</v>
      </c>
      <c r="J97" s="654" t="s">
        <v>1083</v>
      </c>
      <c r="K97" s="630"/>
      <c r="L97" s="631"/>
      <c r="M97" s="631"/>
      <c r="N97" s="646">
        <f>SUM(N98)</f>
        <v>43508.522879999997</v>
      </c>
      <c r="O97" s="767"/>
      <c r="P97" s="632"/>
      <c r="R97" s="742"/>
      <c r="S97" s="742"/>
    </row>
    <row r="98" spans="1:19" s="761" customFormat="1" ht="22.5" hidden="1" outlineLevel="2" x14ac:dyDescent="0.2">
      <c r="A98" s="762"/>
      <c r="B98" s="762"/>
      <c r="C98" s="762"/>
      <c r="D98" s="763"/>
      <c r="E98" s="763"/>
      <c r="G98" s="628"/>
      <c r="H98" s="766" t="s">
        <v>368</v>
      </c>
      <c r="I98" s="629" t="s">
        <v>1817</v>
      </c>
      <c r="J98" s="654" t="s">
        <v>1083</v>
      </c>
      <c r="K98" s="630" t="s">
        <v>3</v>
      </c>
      <c r="L98" s="631">
        <v>277.95999999999998</v>
      </c>
      <c r="M98" s="631">
        <f>VLOOKUP(J98,Preços!$C$7:$F$498,4,FALSE)</f>
        <v>156.52799999999999</v>
      </c>
      <c r="N98" s="646">
        <f t="shared" si="0"/>
        <v>43508.522879999997</v>
      </c>
      <c r="O98" s="767" t="s">
        <v>2082</v>
      </c>
      <c r="P98" s="632" t="s">
        <v>333</v>
      </c>
      <c r="R98" s="742"/>
      <c r="S98" s="742"/>
    </row>
    <row r="99" spans="1:19" s="761" customFormat="1" ht="22.5" hidden="1" outlineLevel="2" x14ac:dyDescent="0.2">
      <c r="A99" s="762"/>
      <c r="B99" s="762"/>
      <c r="C99" s="762"/>
      <c r="D99" s="763"/>
      <c r="E99" s="763"/>
      <c r="G99" s="628"/>
      <c r="H99" s="766" t="s">
        <v>367</v>
      </c>
      <c r="I99" s="629" t="s">
        <v>1818</v>
      </c>
      <c r="J99" s="654" t="s">
        <v>1819</v>
      </c>
      <c r="K99" s="630"/>
      <c r="L99" s="631"/>
      <c r="M99" s="631"/>
      <c r="N99" s="646">
        <f>SUM(N100:N103)</f>
        <v>20500</v>
      </c>
      <c r="O99" s="767"/>
      <c r="P99" s="632"/>
      <c r="R99" s="742"/>
      <c r="S99" s="742"/>
    </row>
    <row r="100" spans="1:19" s="761" customFormat="1" ht="22.5" hidden="1" outlineLevel="2" x14ac:dyDescent="0.2">
      <c r="A100" s="762"/>
      <c r="B100" s="762"/>
      <c r="C100" s="762"/>
      <c r="D100" s="763"/>
      <c r="E100" s="763"/>
      <c r="G100" s="628"/>
      <c r="H100" s="766" t="s">
        <v>368</v>
      </c>
      <c r="I100" s="629" t="s">
        <v>1820</v>
      </c>
      <c r="J100" s="654" t="s">
        <v>1084</v>
      </c>
      <c r="K100" s="630" t="s">
        <v>250</v>
      </c>
      <c r="L100" s="631">
        <v>1</v>
      </c>
      <c r="M100" s="631">
        <f>VLOOKUP(J100,Preços!$C$7:$F$498,4,FALSE)</f>
        <v>5000</v>
      </c>
      <c r="N100" s="646">
        <f t="shared" si="0"/>
        <v>5000</v>
      </c>
      <c r="O100" s="767" t="s">
        <v>2082</v>
      </c>
      <c r="P100" s="632" t="s">
        <v>333</v>
      </c>
      <c r="R100" s="742"/>
      <c r="S100" s="742"/>
    </row>
    <row r="101" spans="1:19" s="761" customFormat="1" ht="22.5" hidden="1" outlineLevel="2" x14ac:dyDescent="0.2">
      <c r="A101" s="762"/>
      <c r="B101" s="762"/>
      <c r="C101" s="762"/>
      <c r="D101" s="763"/>
      <c r="E101" s="763"/>
      <c r="G101" s="628"/>
      <c r="H101" s="766" t="s">
        <v>368</v>
      </c>
      <c r="I101" s="629" t="s">
        <v>1821</v>
      </c>
      <c r="J101" s="654" t="s">
        <v>1085</v>
      </c>
      <c r="K101" s="630" t="s">
        <v>250</v>
      </c>
      <c r="L101" s="631">
        <v>1</v>
      </c>
      <c r="M101" s="631">
        <f>VLOOKUP(J101,Preços!$C$7:$F$498,4,FALSE)</f>
        <v>5500</v>
      </c>
      <c r="N101" s="646">
        <f t="shared" si="0"/>
        <v>5500</v>
      </c>
      <c r="O101" s="767" t="s">
        <v>2082</v>
      </c>
      <c r="P101" s="632" t="s">
        <v>333</v>
      </c>
      <c r="R101" s="742"/>
      <c r="S101" s="742"/>
    </row>
    <row r="102" spans="1:19" s="761" customFormat="1" ht="33.75" hidden="1" outlineLevel="2" x14ac:dyDescent="0.2">
      <c r="A102" s="762"/>
      <c r="B102" s="762"/>
      <c r="C102" s="762"/>
      <c r="D102" s="763"/>
      <c r="E102" s="763"/>
      <c r="G102" s="628"/>
      <c r="H102" s="766" t="s">
        <v>368</v>
      </c>
      <c r="I102" s="629" t="s">
        <v>1822</v>
      </c>
      <c r="J102" s="654" t="s">
        <v>1086</v>
      </c>
      <c r="K102" s="630" t="s">
        <v>250</v>
      </c>
      <c r="L102" s="631">
        <v>1</v>
      </c>
      <c r="M102" s="631">
        <f>VLOOKUP(J102,Preços!$C$7:$F$498,4,FALSE)</f>
        <v>5000</v>
      </c>
      <c r="N102" s="646">
        <f t="shared" si="0"/>
        <v>5000</v>
      </c>
      <c r="O102" s="767" t="s">
        <v>2082</v>
      </c>
      <c r="P102" s="632" t="s">
        <v>333</v>
      </c>
      <c r="R102" s="742"/>
      <c r="S102" s="742"/>
    </row>
    <row r="103" spans="1:19" s="761" customFormat="1" ht="22.5" hidden="1" outlineLevel="2" x14ac:dyDescent="0.2">
      <c r="A103" s="762"/>
      <c r="B103" s="762"/>
      <c r="C103" s="762"/>
      <c r="D103" s="763"/>
      <c r="E103" s="763"/>
      <c r="G103" s="628"/>
      <c r="H103" s="766" t="s">
        <v>368</v>
      </c>
      <c r="I103" s="629" t="s">
        <v>1823</v>
      </c>
      <c r="J103" s="654" t="s">
        <v>1087</v>
      </c>
      <c r="K103" s="630" t="s">
        <v>250</v>
      </c>
      <c r="L103" s="631">
        <v>1</v>
      </c>
      <c r="M103" s="631">
        <f>VLOOKUP(J103,Preços!$C$7:$F$498,4,FALSE)</f>
        <v>5000</v>
      </c>
      <c r="N103" s="646">
        <f t="shared" si="0"/>
        <v>5000</v>
      </c>
      <c r="O103" s="767" t="s">
        <v>2082</v>
      </c>
      <c r="P103" s="632" t="s">
        <v>333</v>
      </c>
      <c r="R103" s="742"/>
      <c r="S103" s="742"/>
    </row>
    <row r="104" spans="1:19" s="761" customFormat="1" hidden="1" outlineLevel="2" x14ac:dyDescent="0.2">
      <c r="A104" s="762"/>
      <c r="B104" s="762"/>
      <c r="C104" s="762"/>
      <c r="D104" s="763"/>
      <c r="E104" s="763"/>
      <c r="G104" s="628"/>
      <c r="H104" s="766" t="s">
        <v>367</v>
      </c>
      <c r="I104" s="629" t="s">
        <v>1824</v>
      </c>
      <c r="J104" s="654" t="s">
        <v>1088</v>
      </c>
      <c r="K104" s="630"/>
      <c r="L104" s="631"/>
      <c r="M104" s="631"/>
      <c r="N104" s="646">
        <f>SUM(N105)</f>
        <v>69999.839999999997</v>
      </c>
      <c r="O104" s="767"/>
      <c r="P104" s="632"/>
      <c r="R104" s="742"/>
      <c r="S104" s="742"/>
    </row>
    <row r="105" spans="1:19" s="761" customFormat="1" ht="22.5" hidden="1" outlineLevel="2" x14ac:dyDescent="0.2">
      <c r="A105" s="762"/>
      <c r="B105" s="762"/>
      <c r="C105" s="762"/>
      <c r="D105" s="763"/>
      <c r="E105" s="763"/>
      <c r="G105" s="628"/>
      <c r="H105" s="766" t="s">
        <v>368</v>
      </c>
      <c r="I105" s="629" t="s">
        <v>1825</v>
      </c>
      <c r="J105" s="654" t="s">
        <v>1088</v>
      </c>
      <c r="K105" s="630" t="s">
        <v>961</v>
      </c>
      <c r="L105" s="631">
        <v>48</v>
      </c>
      <c r="M105" s="631">
        <f>VLOOKUP(J105,Preços!$C$7:$F$498,4,FALSE)</f>
        <v>1458.33</v>
      </c>
      <c r="N105" s="646">
        <f t="shared" si="0"/>
        <v>69999.839999999997</v>
      </c>
      <c r="O105" s="767" t="s">
        <v>2082</v>
      </c>
      <c r="P105" s="632" t="s">
        <v>333</v>
      </c>
      <c r="R105" s="742"/>
      <c r="S105" s="742"/>
    </row>
    <row r="106" spans="1:19" s="761" customFormat="1" hidden="1" outlineLevel="2" x14ac:dyDescent="0.2">
      <c r="A106" s="762"/>
      <c r="B106" s="762"/>
      <c r="C106" s="762"/>
      <c r="D106" s="763"/>
      <c r="E106" s="763"/>
      <c r="G106" s="628"/>
      <c r="H106" s="766" t="s">
        <v>367</v>
      </c>
      <c r="I106" s="629" t="s">
        <v>1826</v>
      </c>
      <c r="J106" s="654" t="s">
        <v>1827</v>
      </c>
      <c r="K106" s="630"/>
      <c r="L106" s="631"/>
      <c r="M106" s="631"/>
      <c r="N106" s="646">
        <f>SUM(N107:N108)</f>
        <v>4499.84</v>
      </c>
      <c r="O106" s="767"/>
      <c r="P106" s="632"/>
      <c r="R106" s="742"/>
      <c r="S106" s="742"/>
    </row>
    <row r="107" spans="1:19" s="761" customFormat="1" ht="22.5" hidden="1" outlineLevel="2" x14ac:dyDescent="0.2">
      <c r="A107" s="762"/>
      <c r="B107" s="762"/>
      <c r="C107" s="762"/>
      <c r="D107" s="763"/>
      <c r="E107" s="763"/>
      <c r="G107" s="628"/>
      <c r="H107" s="766" t="s">
        <v>368</v>
      </c>
      <c r="I107" s="629" t="s">
        <v>1828</v>
      </c>
      <c r="J107" s="654" t="s">
        <v>1089</v>
      </c>
      <c r="K107" s="630" t="s">
        <v>961</v>
      </c>
      <c r="L107" s="631">
        <v>48</v>
      </c>
      <c r="M107" s="631">
        <f>VLOOKUP(J107,Preços!$C$7:$F$498,4,FALSE)</f>
        <v>20.83</v>
      </c>
      <c r="N107" s="646">
        <f t="shared" si="0"/>
        <v>999.83999999999992</v>
      </c>
      <c r="O107" s="767" t="s">
        <v>2082</v>
      </c>
      <c r="P107" s="632" t="s">
        <v>333</v>
      </c>
      <c r="R107" s="742"/>
      <c r="S107" s="742"/>
    </row>
    <row r="108" spans="1:19" s="761" customFormat="1" ht="22.5" hidden="1" outlineLevel="2" x14ac:dyDescent="0.2">
      <c r="A108" s="762"/>
      <c r="B108" s="762"/>
      <c r="C108" s="762"/>
      <c r="D108" s="763"/>
      <c r="E108" s="763"/>
      <c r="G108" s="628"/>
      <c r="H108" s="766" t="s">
        <v>368</v>
      </c>
      <c r="I108" s="629" t="s">
        <v>1829</v>
      </c>
      <c r="J108" s="654" t="s">
        <v>1090</v>
      </c>
      <c r="K108" s="630" t="s">
        <v>250</v>
      </c>
      <c r="L108" s="631">
        <v>1</v>
      </c>
      <c r="M108" s="631">
        <f>VLOOKUP(J108,Preços!$C$7:$F$498,4,FALSE)</f>
        <v>3500</v>
      </c>
      <c r="N108" s="646">
        <f t="shared" si="0"/>
        <v>3500</v>
      </c>
      <c r="O108" s="767" t="s">
        <v>2082</v>
      </c>
      <c r="P108" s="632" t="s">
        <v>333</v>
      </c>
      <c r="R108" s="742"/>
      <c r="S108" s="742"/>
    </row>
    <row r="109" spans="1:19" s="761" customFormat="1" hidden="1" outlineLevel="2" x14ac:dyDescent="0.2">
      <c r="A109" s="762"/>
      <c r="B109" s="762"/>
      <c r="C109" s="762"/>
      <c r="D109" s="763"/>
      <c r="E109" s="763"/>
      <c r="G109" s="628"/>
      <c r="H109" s="766" t="s">
        <v>367</v>
      </c>
      <c r="I109" s="629" t="s">
        <v>1830</v>
      </c>
      <c r="J109" s="654" t="s">
        <v>1831</v>
      </c>
      <c r="K109" s="630"/>
      <c r="L109" s="631"/>
      <c r="M109" s="631"/>
      <c r="N109" s="646">
        <f>SUM(N110)</f>
        <v>15000</v>
      </c>
      <c r="O109" s="767"/>
      <c r="P109" s="632"/>
      <c r="R109" s="742"/>
      <c r="S109" s="742"/>
    </row>
    <row r="110" spans="1:19" s="761" customFormat="1" ht="22.5" hidden="1" outlineLevel="2" x14ac:dyDescent="0.2">
      <c r="A110" s="762"/>
      <c r="B110" s="762"/>
      <c r="C110" s="762"/>
      <c r="D110" s="763"/>
      <c r="E110" s="763"/>
      <c r="G110" s="628"/>
      <c r="H110" s="766" t="s">
        <v>368</v>
      </c>
      <c r="I110" s="629" t="s">
        <v>1832</v>
      </c>
      <c r="J110" s="654" t="s">
        <v>1091</v>
      </c>
      <c r="K110" s="630" t="s">
        <v>250</v>
      </c>
      <c r="L110" s="631">
        <v>1</v>
      </c>
      <c r="M110" s="631">
        <f>VLOOKUP(J110,Preços!$C$7:$F$498,4,FALSE)</f>
        <v>15000</v>
      </c>
      <c r="N110" s="646">
        <f t="shared" si="0"/>
        <v>15000</v>
      </c>
      <c r="O110" s="767" t="s">
        <v>2082</v>
      </c>
      <c r="P110" s="632" t="s">
        <v>333</v>
      </c>
      <c r="R110" s="742"/>
      <c r="S110" s="742"/>
    </row>
    <row r="111" spans="1:19" s="761" customFormat="1" collapsed="1" x14ac:dyDescent="0.2">
      <c r="A111" s="762"/>
      <c r="B111" s="762"/>
      <c r="C111" s="762"/>
      <c r="D111" s="763"/>
      <c r="E111" s="763"/>
      <c r="G111" s="628"/>
      <c r="H111" s="766" t="s">
        <v>365</v>
      </c>
      <c r="I111" s="629" t="s">
        <v>1833</v>
      </c>
      <c r="J111" s="654" t="s">
        <v>1834</v>
      </c>
      <c r="K111" s="630"/>
      <c r="L111" s="631"/>
      <c r="M111" s="631"/>
      <c r="N111" s="646">
        <f>SUM(N112,N131,N152)</f>
        <v>2174994.6779999998</v>
      </c>
      <c r="O111" s="767"/>
      <c r="P111" s="632"/>
      <c r="R111" s="742"/>
      <c r="S111" s="742"/>
    </row>
    <row r="112" spans="1:19" s="761" customFormat="1" hidden="1" outlineLevel="1" collapsed="1" x14ac:dyDescent="0.2">
      <c r="A112" s="762"/>
      <c r="B112" s="762"/>
      <c r="C112" s="762"/>
      <c r="D112" s="763"/>
      <c r="E112" s="763"/>
      <c r="G112" s="628"/>
      <c r="H112" s="766" t="s">
        <v>366</v>
      </c>
      <c r="I112" s="629" t="s">
        <v>1835</v>
      </c>
      <c r="J112" s="654" t="s">
        <v>1834</v>
      </c>
      <c r="K112" s="630"/>
      <c r="L112" s="631"/>
      <c r="M112" s="631"/>
      <c r="N112" s="646">
        <f>SUM(N113,N115,N117,N119,N121,N123,N125,N127,N129)</f>
        <v>1551971.76</v>
      </c>
      <c r="O112" s="767"/>
      <c r="P112" s="632"/>
      <c r="R112" s="742"/>
      <c r="S112" s="742"/>
    </row>
    <row r="113" spans="1:19" s="761" customFormat="1" hidden="1" outlineLevel="2" x14ac:dyDescent="0.2">
      <c r="A113" s="762"/>
      <c r="B113" s="762"/>
      <c r="C113" s="762"/>
      <c r="D113" s="763"/>
      <c r="E113" s="763"/>
      <c r="G113" s="628"/>
      <c r="H113" s="766" t="s">
        <v>367</v>
      </c>
      <c r="I113" s="629" t="s">
        <v>1836</v>
      </c>
      <c r="J113" s="654" t="s">
        <v>962</v>
      </c>
      <c r="K113" s="630"/>
      <c r="L113" s="631"/>
      <c r="M113" s="631"/>
      <c r="N113" s="646">
        <f>SUM(N114)</f>
        <v>400000</v>
      </c>
      <c r="O113" s="767"/>
      <c r="P113" s="632"/>
      <c r="R113" s="742"/>
      <c r="S113" s="742"/>
    </row>
    <row r="114" spans="1:19" s="761" customFormat="1" ht="22.5" hidden="1" outlineLevel="2" x14ac:dyDescent="0.2">
      <c r="A114" s="762"/>
      <c r="B114" s="762"/>
      <c r="C114" s="762"/>
      <c r="D114" s="763"/>
      <c r="E114" s="763"/>
      <c r="G114" s="628"/>
      <c r="H114" s="766" t="s">
        <v>368</v>
      </c>
      <c r="I114" s="629" t="s">
        <v>1837</v>
      </c>
      <c r="J114" s="654" t="s">
        <v>962</v>
      </c>
      <c r="K114" s="630" t="s">
        <v>250</v>
      </c>
      <c r="L114" s="631">
        <v>1</v>
      </c>
      <c r="M114" s="631">
        <v>400000</v>
      </c>
      <c r="N114" s="646">
        <f t="shared" si="0"/>
        <v>400000</v>
      </c>
      <c r="O114" s="1228" t="s">
        <v>2084</v>
      </c>
      <c r="P114" s="632" t="s">
        <v>333</v>
      </c>
      <c r="R114" s="742"/>
      <c r="S114" s="742"/>
    </row>
    <row r="115" spans="1:19" s="761" customFormat="1" hidden="1" outlineLevel="2" x14ac:dyDescent="0.2">
      <c r="A115" s="762"/>
      <c r="B115" s="762"/>
      <c r="C115" s="762"/>
      <c r="D115" s="763"/>
      <c r="E115" s="763"/>
      <c r="G115" s="628"/>
      <c r="H115" s="766" t="s">
        <v>367</v>
      </c>
      <c r="I115" s="629" t="s">
        <v>1838</v>
      </c>
      <c r="J115" s="654" t="s">
        <v>1839</v>
      </c>
      <c r="K115" s="630"/>
      <c r="L115" s="631"/>
      <c r="M115" s="631"/>
      <c r="N115" s="646">
        <f>SUM(N116)</f>
        <v>300000</v>
      </c>
      <c r="O115" s="767"/>
      <c r="P115" s="632"/>
      <c r="R115" s="742"/>
      <c r="S115" s="742"/>
    </row>
    <row r="116" spans="1:19" s="761" customFormat="1" ht="22.5" hidden="1" outlineLevel="2" x14ac:dyDescent="0.2">
      <c r="A116" s="762"/>
      <c r="B116" s="762"/>
      <c r="C116" s="762"/>
      <c r="D116" s="763"/>
      <c r="E116" s="763"/>
      <c r="G116" s="628"/>
      <c r="H116" s="766" t="s">
        <v>368</v>
      </c>
      <c r="I116" s="629" t="s">
        <v>1840</v>
      </c>
      <c r="J116" s="654" t="s">
        <v>963</v>
      </c>
      <c r="K116" s="630" t="s">
        <v>250</v>
      </c>
      <c r="L116" s="631">
        <v>1</v>
      </c>
      <c r="M116" s="631">
        <v>300000</v>
      </c>
      <c r="N116" s="646">
        <f t="shared" si="0"/>
        <v>300000</v>
      </c>
      <c r="O116" s="1228" t="s">
        <v>2084</v>
      </c>
      <c r="P116" s="632" t="s">
        <v>333</v>
      </c>
      <c r="R116" s="742"/>
      <c r="S116" s="742"/>
    </row>
    <row r="117" spans="1:19" s="761" customFormat="1" hidden="1" outlineLevel="2" x14ac:dyDescent="0.2">
      <c r="A117" s="762"/>
      <c r="B117" s="762"/>
      <c r="C117" s="762"/>
      <c r="D117" s="763"/>
      <c r="E117" s="763"/>
      <c r="G117" s="628"/>
      <c r="H117" s="766" t="s">
        <v>367</v>
      </c>
      <c r="I117" s="629" t="s">
        <v>1841</v>
      </c>
      <c r="J117" s="654" t="s">
        <v>1092</v>
      </c>
      <c r="K117" s="630"/>
      <c r="L117" s="631"/>
      <c r="M117" s="631"/>
      <c r="N117" s="646">
        <f>SUM(N118)</f>
        <v>108000</v>
      </c>
      <c r="O117" s="767"/>
      <c r="P117" s="632"/>
      <c r="R117" s="742"/>
      <c r="S117" s="742"/>
    </row>
    <row r="118" spans="1:19" s="761" customFormat="1" ht="22.5" hidden="1" outlineLevel="2" x14ac:dyDescent="0.2">
      <c r="A118" s="762"/>
      <c r="B118" s="762"/>
      <c r="C118" s="762"/>
      <c r="D118" s="763"/>
      <c r="E118" s="763"/>
      <c r="G118" s="628"/>
      <c r="H118" s="766" t="s">
        <v>368</v>
      </c>
      <c r="I118" s="629" t="s">
        <v>1842</v>
      </c>
      <c r="J118" s="654" t="s">
        <v>1092</v>
      </c>
      <c r="K118" s="630" t="s">
        <v>961</v>
      </c>
      <c r="L118" s="631">
        <v>36</v>
      </c>
      <c r="M118" s="631">
        <f>VLOOKUP(J118,Preços!$C$7:$F$498,4,FALSE)</f>
        <v>3000</v>
      </c>
      <c r="N118" s="646">
        <f t="shared" si="0"/>
        <v>108000</v>
      </c>
      <c r="O118" s="767" t="s">
        <v>2082</v>
      </c>
      <c r="P118" s="632" t="s">
        <v>333</v>
      </c>
      <c r="R118" s="742"/>
      <c r="S118" s="742"/>
    </row>
    <row r="119" spans="1:19" s="761" customFormat="1" hidden="1" outlineLevel="2" x14ac:dyDescent="0.2">
      <c r="A119" s="762"/>
      <c r="B119" s="762"/>
      <c r="C119" s="762"/>
      <c r="D119" s="763"/>
      <c r="E119" s="763"/>
      <c r="G119" s="628"/>
      <c r="H119" s="766" t="s">
        <v>367</v>
      </c>
      <c r="I119" s="629" t="s">
        <v>1843</v>
      </c>
      <c r="J119" s="654" t="s">
        <v>1844</v>
      </c>
      <c r="K119" s="630"/>
      <c r="L119" s="631"/>
      <c r="M119" s="631"/>
      <c r="N119" s="646">
        <f>SUM(N120)</f>
        <v>108000</v>
      </c>
      <c r="O119" s="767"/>
      <c r="P119" s="632"/>
      <c r="R119" s="742"/>
      <c r="S119" s="742"/>
    </row>
    <row r="120" spans="1:19" s="761" customFormat="1" ht="22.5" hidden="1" outlineLevel="2" x14ac:dyDescent="0.2">
      <c r="A120" s="762"/>
      <c r="B120" s="762"/>
      <c r="C120" s="762"/>
      <c r="D120" s="763"/>
      <c r="E120" s="763"/>
      <c r="G120" s="628"/>
      <c r="H120" s="766" t="s">
        <v>368</v>
      </c>
      <c r="I120" s="629" t="s">
        <v>1845</v>
      </c>
      <c r="J120" s="654" t="s">
        <v>1044</v>
      </c>
      <c r="K120" s="630" t="s">
        <v>961</v>
      </c>
      <c r="L120" s="631">
        <v>36</v>
      </c>
      <c r="M120" s="631">
        <f>VLOOKUP(J120,Preços!$C$7:$F$498,4,FALSE)</f>
        <v>3000</v>
      </c>
      <c r="N120" s="646">
        <f t="shared" si="0"/>
        <v>108000</v>
      </c>
      <c r="O120" s="767" t="s">
        <v>2082</v>
      </c>
      <c r="P120" s="632" t="s">
        <v>333</v>
      </c>
      <c r="R120" s="742"/>
      <c r="S120" s="742"/>
    </row>
    <row r="121" spans="1:19" s="761" customFormat="1" hidden="1" outlineLevel="2" x14ac:dyDescent="0.2">
      <c r="A121" s="762"/>
      <c r="B121" s="762"/>
      <c r="C121" s="762"/>
      <c r="D121" s="763"/>
      <c r="E121" s="763"/>
      <c r="G121" s="628"/>
      <c r="H121" s="766" t="s">
        <v>367</v>
      </c>
      <c r="I121" s="629" t="s">
        <v>1846</v>
      </c>
      <c r="J121" s="654" t="s">
        <v>1847</v>
      </c>
      <c r="K121" s="630"/>
      <c r="L121" s="631"/>
      <c r="M121" s="631"/>
      <c r="N121" s="646">
        <f>SUM(N122)</f>
        <v>150000</v>
      </c>
      <c r="O121" s="767"/>
      <c r="P121" s="632"/>
      <c r="R121" s="742"/>
      <c r="S121" s="742"/>
    </row>
    <row r="122" spans="1:19" s="761" customFormat="1" ht="22.5" hidden="1" outlineLevel="2" x14ac:dyDescent="0.2">
      <c r="A122" s="762"/>
      <c r="B122" s="762"/>
      <c r="C122" s="762"/>
      <c r="D122" s="763"/>
      <c r="E122" s="763"/>
      <c r="G122" s="628"/>
      <c r="H122" s="766" t="s">
        <v>368</v>
      </c>
      <c r="I122" s="629" t="s">
        <v>1848</v>
      </c>
      <c r="J122" s="654" t="s">
        <v>1045</v>
      </c>
      <c r="K122" s="630" t="s">
        <v>250</v>
      </c>
      <c r="L122" s="631">
        <v>1</v>
      </c>
      <c r="M122" s="631">
        <v>150000</v>
      </c>
      <c r="N122" s="646">
        <f t="shared" si="0"/>
        <v>150000</v>
      </c>
      <c r="O122" s="1228" t="s">
        <v>2084</v>
      </c>
      <c r="P122" s="632" t="s">
        <v>333</v>
      </c>
      <c r="R122" s="742"/>
      <c r="S122" s="742"/>
    </row>
    <row r="123" spans="1:19" s="761" customFormat="1" hidden="1" outlineLevel="2" x14ac:dyDescent="0.2">
      <c r="A123" s="762"/>
      <c r="B123" s="762"/>
      <c r="C123" s="762"/>
      <c r="D123" s="763"/>
      <c r="E123" s="763"/>
      <c r="G123" s="628"/>
      <c r="H123" s="766" t="s">
        <v>367</v>
      </c>
      <c r="I123" s="629" t="s">
        <v>1849</v>
      </c>
      <c r="J123" s="654" t="s">
        <v>1094</v>
      </c>
      <c r="K123" s="630"/>
      <c r="L123" s="631"/>
      <c r="M123" s="631"/>
      <c r="N123" s="646">
        <f>SUM(N124)</f>
        <v>150000</v>
      </c>
      <c r="O123" s="767"/>
      <c r="P123" s="632"/>
      <c r="R123" s="742"/>
      <c r="S123" s="742"/>
    </row>
    <row r="124" spans="1:19" s="761" customFormat="1" ht="22.5" hidden="1" outlineLevel="2" x14ac:dyDescent="0.2">
      <c r="A124" s="762"/>
      <c r="B124" s="762"/>
      <c r="C124" s="762"/>
      <c r="D124" s="763"/>
      <c r="E124" s="763"/>
      <c r="G124" s="628"/>
      <c r="H124" s="766" t="s">
        <v>368</v>
      </c>
      <c r="I124" s="629" t="s">
        <v>1850</v>
      </c>
      <c r="J124" s="654" t="s">
        <v>1094</v>
      </c>
      <c r="K124" s="630" t="s">
        <v>250</v>
      </c>
      <c r="L124" s="631">
        <v>1</v>
      </c>
      <c r="M124" s="631">
        <v>150000</v>
      </c>
      <c r="N124" s="646">
        <f t="shared" si="0"/>
        <v>150000</v>
      </c>
      <c r="O124" s="1228" t="s">
        <v>2084</v>
      </c>
      <c r="P124" s="632" t="s">
        <v>333</v>
      </c>
      <c r="R124" s="742"/>
      <c r="S124" s="742"/>
    </row>
    <row r="125" spans="1:19" s="761" customFormat="1" hidden="1" outlineLevel="2" x14ac:dyDescent="0.2">
      <c r="A125" s="762"/>
      <c r="B125" s="762"/>
      <c r="C125" s="762"/>
      <c r="D125" s="763"/>
      <c r="E125" s="763"/>
      <c r="G125" s="628"/>
      <c r="H125" s="766" t="s">
        <v>367</v>
      </c>
      <c r="I125" s="629" t="s">
        <v>1851</v>
      </c>
      <c r="J125" s="654" t="s">
        <v>1095</v>
      </c>
      <c r="K125" s="630"/>
      <c r="L125" s="631"/>
      <c r="M125" s="631"/>
      <c r="N125" s="646">
        <f>SUM(N126)</f>
        <v>125000</v>
      </c>
      <c r="O125" s="767"/>
      <c r="P125" s="632"/>
      <c r="R125" s="742"/>
      <c r="S125" s="742"/>
    </row>
    <row r="126" spans="1:19" s="761" customFormat="1" ht="22.5" hidden="1" outlineLevel="2" x14ac:dyDescent="0.2">
      <c r="A126" s="762"/>
      <c r="B126" s="762"/>
      <c r="C126" s="762"/>
      <c r="D126" s="763"/>
      <c r="E126" s="763"/>
      <c r="G126" s="628"/>
      <c r="H126" s="766" t="s">
        <v>368</v>
      </c>
      <c r="I126" s="629" t="s">
        <v>1852</v>
      </c>
      <c r="J126" s="654" t="s">
        <v>1095</v>
      </c>
      <c r="K126" s="630" t="s">
        <v>250</v>
      </c>
      <c r="L126" s="631">
        <v>1</v>
      </c>
      <c r="M126" s="631">
        <v>125000</v>
      </c>
      <c r="N126" s="646">
        <f t="shared" si="0"/>
        <v>125000</v>
      </c>
      <c r="O126" s="1228" t="s">
        <v>2084</v>
      </c>
      <c r="P126" s="632" t="s">
        <v>333</v>
      </c>
      <c r="R126" s="742"/>
      <c r="S126" s="742"/>
    </row>
    <row r="127" spans="1:19" s="761" customFormat="1" hidden="1" outlineLevel="2" x14ac:dyDescent="0.2">
      <c r="A127" s="762"/>
      <c r="B127" s="762"/>
      <c r="C127" s="762"/>
      <c r="D127" s="763"/>
      <c r="E127" s="763"/>
      <c r="G127" s="628"/>
      <c r="H127" s="766" t="s">
        <v>367</v>
      </c>
      <c r="I127" s="629" t="s">
        <v>1853</v>
      </c>
      <c r="J127" s="654" t="s">
        <v>1854</v>
      </c>
      <c r="K127" s="630"/>
      <c r="L127" s="631"/>
      <c r="M127" s="631"/>
      <c r="N127" s="646">
        <f>SUM(N128)</f>
        <v>60971.76</v>
      </c>
      <c r="O127" s="767"/>
      <c r="P127" s="632"/>
      <c r="R127" s="742"/>
      <c r="S127" s="742"/>
    </row>
    <row r="128" spans="1:19" s="761" customFormat="1" ht="22.5" hidden="1" outlineLevel="2" x14ac:dyDescent="0.2">
      <c r="A128" s="762"/>
      <c r="B128" s="762"/>
      <c r="C128" s="762"/>
      <c r="D128" s="763"/>
      <c r="E128" s="763"/>
      <c r="G128" s="628"/>
      <c r="H128" s="766" t="s">
        <v>368</v>
      </c>
      <c r="I128" s="629" t="s">
        <v>1855</v>
      </c>
      <c r="J128" s="654" t="s">
        <v>1096</v>
      </c>
      <c r="K128" s="630" t="s">
        <v>961</v>
      </c>
      <c r="L128" s="631">
        <v>36</v>
      </c>
      <c r="M128" s="631">
        <f>VLOOKUP(J128,Preços!$C$7:$F$498,4,FALSE)</f>
        <v>1693.66</v>
      </c>
      <c r="N128" s="646">
        <f t="shared" si="0"/>
        <v>60971.76</v>
      </c>
      <c r="O128" s="767" t="s">
        <v>2082</v>
      </c>
      <c r="P128" s="632" t="s">
        <v>333</v>
      </c>
      <c r="R128" s="742"/>
      <c r="S128" s="742"/>
    </row>
    <row r="129" spans="1:19" s="761" customFormat="1" ht="22.5" hidden="1" outlineLevel="2" x14ac:dyDescent="0.2">
      <c r="A129" s="762"/>
      <c r="B129" s="762"/>
      <c r="C129" s="762"/>
      <c r="D129" s="763"/>
      <c r="E129" s="763"/>
      <c r="G129" s="628"/>
      <c r="H129" s="766" t="s">
        <v>367</v>
      </c>
      <c r="I129" s="629" t="s">
        <v>1856</v>
      </c>
      <c r="J129" s="654" t="s">
        <v>1046</v>
      </c>
      <c r="K129" s="630"/>
      <c r="L129" s="631"/>
      <c r="M129" s="631"/>
      <c r="N129" s="646">
        <f>SUM(N130)</f>
        <v>150000</v>
      </c>
      <c r="O129" s="767"/>
      <c r="P129" s="632"/>
      <c r="R129" s="742"/>
      <c r="S129" s="742"/>
    </row>
    <row r="130" spans="1:19" s="761" customFormat="1" ht="22.5" hidden="1" outlineLevel="2" x14ac:dyDescent="0.2">
      <c r="A130" s="762"/>
      <c r="B130" s="762"/>
      <c r="C130" s="762"/>
      <c r="D130" s="763"/>
      <c r="E130" s="763"/>
      <c r="G130" s="628"/>
      <c r="H130" s="766" t="s">
        <v>368</v>
      </c>
      <c r="I130" s="629" t="s">
        <v>1857</v>
      </c>
      <c r="J130" s="654" t="s">
        <v>1046</v>
      </c>
      <c r="K130" s="630" t="s">
        <v>250</v>
      </c>
      <c r="L130" s="631">
        <v>1</v>
      </c>
      <c r="M130" s="631">
        <v>150000</v>
      </c>
      <c r="N130" s="646">
        <f>M130*L130</f>
        <v>150000</v>
      </c>
      <c r="O130" s="1228" t="s">
        <v>2084</v>
      </c>
      <c r="P130" s="632" t="s">
        <v>333</v>
      </c>
      <c r="R130" s="742"/>
      <c r="S130" s="742"/>
    </row>
    <row r="131" spans="1:19" s="761" customFormat="1" hidden="1" outlineLevel="1" collapsed="1" x14ac:dyDescent="0.2">
      <c r="A131" s="762"/>
      <c r="B131" s="762"/>
      <c r="C131" s="762"/>
      <c r="D131" s="763"/>
      <c r="E131" s="763"/>
      <c r="G131" s="628"/>
      <c r="H131" s="766" t="s">
        <v>366</v>
      </c>
      <c r="I131" s="629" t="s">
        <v>1858</v>
      </c>
      <c r="J131" s="654" t="s">
        <v>1859</v>
      </c>
      <c r="K131" s="630"/>
      <c r="L131" s="631"/>
      <c r="M131" s="631"/>
      <c r="N131" s="646">
        <f>SUM(N132,N134,N136,N138,N140,N142,N144,N146,N148,N150)</f>
        <v>246312.99799999999</v>
      </c>
      <c r="O131" s="767"/>
      <c r="P131" s="632"/>
      <c r="R131" s="742"/>
      <c r="S131" s="742"/>
    </row>
    <row r="132" spans="1:19" s="761" customFormat="1" hidden="1" outlineLevel="2" x14ac:dyDescent="0.2">
      <c r="A132" s="762"/>
      <c r="B132" s="762"/>
      <c r="C132" s="762"/>
      <c r="D132" s="763"/>
      <c r="E132" s="763"/>
      <c r="G132" s="628"/>
      <c r="H132" s="766" t="s">
        <v>367</v>
      </c>
      <c r="I132" s="629" t="s">
        <v>1860</v>
      </c>
      <c r="J132" s="654" t="s">
        <v>1097</v>
      </c>
      <c r="K132" s="630"/>
      <c r="L132" s="631"/>
      <c r="M132" s="631"/>
      <c r="N132" s="646">
        <f>SUM(N133)</f>
        <v>6337.4080000000004</v>
      </c>
      <c r="O132" s="767"/>
      <c r="P132" s="632"/>
      <c r="R132" s="742"/>
      <c r="S132" s="742"/>
    </row>
    <row r="133" spans="1:19" s="761" customFormat="1" ht="22.5" hidden="1" outlineLevel="2" x14ac:dyDescent="0.2">
      <c r="A133" s="762"/>
      <c r="B133" s="762"/>
      <c r="C133" s="762"/>
      <c r="D133" s="763"/>
      <c r="E133" s="763"/>
      <c r="G133" s="628"/>
      <c r="H133" s="766" t="s">
        <v>368</v>
      </c>
      <c r="I133" s="629" t="s">
        <v>1861</v>
      </c>
      <c r="J133" s="654" t="s">
        <v>1097</v>
      </c>
      <c r="K133" s="630" t="s">
        <v>1</v>
      </c>
      <c r="L133" s="631">
        <v>720.16</v>
      </c>
      <c r="M133" s="631">
        <f>VLOOKUP(J133,Preços!$C$7:$F$498,4,FALSE)</f>
        <v>8.8000000000000007</v>
      </c>
      <c r="N133" s="646">
        <f t="shared" si="0"/>
        <v>6337.4080000000004</v>
      </c>
      <c r="O133" s="767" t="s">
        <v>2082</v>
      </c>
      <c r="P133" s="632" t="s">
        <v>333</v>
      </c>
      <c r="R133" s="742"/>
      <c r="S133" s="742"/>
    </row>
    <row r="134" spans="1:19" s="761" customFormat="1" hidden="1" outlineLevel="2" x14ac:dyDescent="0.2">
      <c r="A134" s="762"/>
      <c r="B134" s="762"/>
      <c r="C134" s="762"/>
      <c r="D134" s="763"/>
      <c r="E134" s="763"/>
      <c r="G134" s="628"/>
      <c r="H134" s="766" t="s">
        <v>367</v>
      </c>
      <c r="I134" s="629" t="s">
        <v>1862</v>
      </c>
      <c r="J134" s="654" t="s">
        <v>1098</v>
      </c>
      <c r="K134" s="630"/>
      <c r="L134" s="631"/>
      <c r="M134" s="631"/>
      <c r="N134" s="646">
        <f>SUM(N135)</f>
        <v>18000</v>
      </c>
      <c r="O134" s="767"/>
      <c r="P134" s="632"/>
      <c r="R134" s="742"/>
      <c r="S134" s="742"/>
    </row>
    <row r="135" spans="1:19" s="761" customFormat="1" ht="22.5" hidden="1" outlineLevel="2" x14ac:dyDescent="0.2">
      <c r="A135" s="762"/>
      <c r="B135" s="762"/>
      <c r="C135" s="762"/>
      <c r="D135" s="763"/>
      <c r="E135" s="763"/>
      <c r="G135" s="628"/>
      <c r="H135" s="766" t="s">
        <v>368</v>
      </c>
      <c r="I135" s="629" t="s">
        <v>1863</v>
      </c>
      <c r="J135" s="654" t="s">
        <v>1098</v>
      </c>
      <c r="K135" s="630" t="s">
        <v>250</v>
      </c>
      <c r="L135" s="631">
        <v>1</v>
      </c>
      <c r="M135" s="631">
        <f>VLOOKUP(J135,Preços!$C$7:$F$498,4,FALSE)</f>
        <v>18000</v>
      </c>
      <c r="N135" s="646">
        <f t="shared" si="0"/>
        <v>18000</v>
      </c>
      <c r="O135" s="767" t="s">
        <v>2082</v>
      </c>
      <c r="P135" s="632" t="s">
        <v>333</v>
      </c>
      <c r="R135" s="742"/>
      <c r="S135" s="742"/>
    </row>
    <row r="136" spans="1:19" s="761" customFormat="1" hidden="1" outlineLevel="2" x14ac:dyDescent="0.2">
      <c r="A136" s="762"/>
      <c r="B136" s="762"/>
      <c r="C136" s="762"/>
      <c r="D136" s="763"/>
      <c r="E136" s="763"/>
      <c r="G136" s="628"/>
      <c r="H136" s="766" t="s">
        <v>367</v>
      </c>
      <c r="I136" s="629" t="s">
        <v>1864</v>
      </c>
      <c r="J136" s="654" t="s">
        <v>1865</v>
      </c>
      <c r="K136" s="630"/>
      <c r="L136" s="631"/>
      <c r="M136" s="631"/>
      <c r="N136" s="646">
        <f>SUM(N137)</f>
        <v>95974.23</v>
      </c>
      <c r="O136" s="767"/>
      <c r="P136" s="632"/>
      <c r="R136" s="742"/>
      <c r="S136" s="742"/>
    </row>
    <row r="137" spans="1:19" s="761" customFormat="1" ht="22.5" hidden="1" outlineLevel="2" x14ac:dyDescent="0.2">
      <c r="A137" s="762"/>
      <c r="B137" s="762"/>
      <c r="C137" s="762"/>
      <c r="D137" s="763"/>
      <c r="E137" s="763"/>
      <c r="G137" s="628"/>
      <c r="H137" s="766" t="s">
        <v>368</v>
      </c>
      <c r="I137" s="629" t="s">
        <v>1866</v>
      </c>
      <c r="J137" s="654" t="s">
        <v>1099</v>
      </c>
      <c r="K137" s="630" t="s">
        <v>250</v>
      </c>
      <c r="L137" s="631">
        <v>1</v>
      </c>
      <c r="M137" s="631">
        <f>VLOOKUP(J137,Preços!$C$7:$F$498,4,FALSE)</f>
        <v>95974.23</v>
      </c>
      <c r="N137" s="646">
        <f t="shared" si="0"/>
        <v>95974.23</v>
      </c>
      <c r="O137" s="767" t="s">
        <v>2082</v>
      </c>
      <c r="P137" s="632" t="s">
        <v>333</v>
      </c>
      <c r="R137" s="742"/>
      <c r="S137" s="742"/>
    </row>
    <row r="138" spans="1:19" s="761" customFormat="1" hidden="1" outlineLevel="2" x14ac:dyDescent="0.2">
      <c r="A138" s="762"/>
      <c r="B138" s="762"/>
      <c r="C138" s="762"/>
      <c r="D138" s="763"/>
      <c r="E138" s="763"/>
      <c r="G138" s="628"/>
      <c r="H138" s="766" t="s">
        <v>367</v>
      </c>
      <c r="I138" s="629" t="s">
        <v>1867</v>
      </c>
      <c r="J138" s="654" t="s">
        <v>1100</v>
      </c>
      <c r="K138" s="630"/>
      <c r="L138" s="631"/>
      <c r="M138" s="631"/>
      <c r="N138" s="646">
        <f>SUM(N139)</f>
        <v>4502.79</v>
      </c>
      <c r="O138" s="767"/>
      <c r="P138" s="632"/>
      <c r="R138" s="742"/>
      <c r="S138" s="742"/>
    </row>
    <row r="139" spans="1:19" s="761" customFormat="1" ht="22.5" hidden="1" outlineLevel="2" x14ac:dyDescent="0.2">
      <c r="A139" s="762"/>
      <c r="B139" s="762"/>
      <c r="C139" s="762"/>
      <c r="D139" s="763"/>
      <c r="E139" s="763"/>
      <c r="G139" s="628"/>
      <c r="H139" s="766" t="s">
        <v>368</v>
      </c>
      <c r="I139" s="629" t="s">
        <v>1868</v>
      </c>
      <c r="J139" s="654" t="s">
        <v>1100</v>
      </c>
      <c r="K139" s="630" t="s">
        <v>250</v>
      </c>
      <c r="L139" s="631">
        <v>1</v>
      </c>
      <c r="M139" s="631">
        <f>VLOOKUP(J139,Preços!$C$7:$F$498,4,FALSE)</f>
        <v>4502.79</v>
      </c>
      <c r="N139" s="646">
        <f t="shared" si="0"/>
        <v>4502.79</v>
      </c>
      <c r="O139" s="767" t="s">
        <v>2082</v>
      </c>
      <c r="P139" s="632" t="s">
        <v>333</v>
      </c>
      <c r="R139" s="742"/>
      <c r="S139" s="742"/>
    </row>
    <row r="140" spans="1:19" s="761" customFormat="1" hidden="1" outlineLevel="2" x14ac:dyDescent="0.2">
      <c r="A140" s="762"/>
      <c r="B140" s="762"/>
      <c r="C140" s="762"/>
      <c r="D140" s="763"/>
      <c r="E140" s="763"/>
      <c r="G140" s="628"/>
      <c r="H140" s="766" t="s">
        <v>367</v>
      </c>
      <c r="I140" s="629" t="s">
        <v>1869</v>
      </c>
      <c r="J140" s="654" t="s">
        <v>1101</v>
      </c>
      <c r="K140" s="630"/>
      <c r="L140" s="631"/>
      <c r="M140" s="631"/>
      <c r="N140" s="646">
        <f>SUM(N141)</f>
        <v>8298.57</v>
      </c>
      <c r="O140" s="767"/>
      <c r="P140" s="632"/>
      <c r="R140" s="742"/>
      <c r="S140" s="742"/>
    </row>
    <row r="141" spans="1:19" s="761" customFormat="1" ht="22.5" hidden="1" outlineLevel="2" x14ac:dyDescent="0.2">
      <c r="A141" s="762"/>
      <c r="B141" s="762"/>
      <c r="C141" s="762"/>
      <c r="D141" s="763"/>
      <c r="E141" s="763"/>
      <c r="G141" s="628"/>
      <c r="H141" s="766" t="s">
        <v>368</v>
      </c>
      <c r="I141" s="629" t="s">
        <v>1870</v>
      </c>
      <c r="J141" s="654" t="s">
        <v>1101</v>
      </c>
      <c r="K141" s="630" t="s">
        <v>250</v>
      </c>
      <c r="L141" s="631">
        <v>1</v>
      </c>
      <c r="M141" s="631">
        <f>VLOOKUP(J141,Preços!$C$7:$F$498,4,FALSE)</f>
        <v>8298.57</v>
      </c>
      <c r="N141" s="646">
        <f t="shared" si="0"/>
        <v>8298.57</v>
      </c>
      <c r="O141" s="767" t="s">
        <v>2082</v>
      </c>
      <c r="P141" s="632" t="s">
        <v>333</v>
      </c>
      <c r="R141" s="742"/>
      <c r="S141" s="742"/>
    </row>
    <row r="142" spans="1:19" s="761" customFormat="1" hidden="1" outlineLevel="2" x14ac:dyDescent="0.2">
      <c r="A142" s="762"/>
      <c r="B142" s="762"/>
      <c r="C142" s="762"/>
      <c r="D142" s="763"/>
      <c r="E142" s="763"/>
      <c r="G142" s="628"/>
      <c r="H142" s="766" t="s">
        <v>367</v>
      </c>
      <c r="I142" s="629" t="s">
        <v>1871</v>
      </c>
      <c r="J142" s="654" t="s">
        <v>1102</v>
      </c>
      <c r="K142" s="630"/>
      <c r="L142" s="631"/>
      <c r="M142" s="631"/>
      <c r="N142" s="646">
        <f>SUM(N143)</f>
        <v>43200</v>
      </c>
      <c r="O142" s="767"/>
      <c r="P142" s="632"/>
      <c r="R142" s="742"/>
      <c r="S142" s="742"/>
    </row>
    <row r="143" spans="1:19" s="761" customFormat="1" ht="22.5" hidden="1" outlineLevel="2" x14ac:dyDescent="0.2">
      <c r="A143" s="762"/>
      <c r="B143" s="762"/>
      <c r="C143" s="762"/>
      <c r="D143" s="763"/>
      <c r="E143" s="763"/>
      <c r="G143" s="628"/>
      <c r="H143" s="766" t="s">
        <v>368</v>
      </c>
      <c r="I143" s="629" t="s">
        <v>1872</v>
      </c>
      <c r="J143" s="654" t="s">
        <v>1102</v>
      </c>
      <c r="K143" s="630" t="s">
        <v>961</v>
      </c>
      <c r="L143" s="631">
        <v>48</v>
      </c>
      <c r="M143" s="631">
        <f>VLOOKUP(J143,Preços!$C$7:$F$498,4,FALSE)</f>
        <v>900</v>
      </c>
      <c r="N143" s="646">
        <f t="shared" si="0"/>
        <v>43200</v>
      </c>
      <c r="O143" s="767" t="s">
        <v>2082</v>
      </c>
      <c r="P143" s="632" t="s">
        <v>333</v>
      </c>
      <c r="R143" s="742"/>
      <c r="S143" s="742"/>
    </row>
    <row r="144" spans="1:19" s="761" customFormat="1" hidden="1" outlineLevel="2" x14ac:dyDescent="0.2">
      <c r="A144" s="762"/>
      <c r="B144" s="762"/>
      <c r="C144" s="762"/>
      <c r="D144" s="763"/>
      <c r="E144" s="763"/>
      <c r="G144" s="628"/>
      <c r="H144" s="766" t="s">
        <v>367</v>
      </c>
      <c r="I144" s="629" t="s">
        <v>1873</v>
      </c>
      <c r="J144" s="654" t="s">
        <v>1874</v>
      </c>
      <c r="K144" s="630"/>
      <c r="L144" s="631"/>
      <c r="M144" s="631"/>
      <c r="N144" s="646">
        <f>SUM(N145)</f>
        <v>15000</v>
      </c>
      <c r="O144" s="767"/>
      <c r="P144" s="632"/>
      <c r="R144" s="742"/>
      <c r="S144" s="742"/>
    </row>
    <row r="145" spans="1:19" s="761" customFormat="1" ht="22.5" hidden="1" outlineLevel="2" x14ac:dyDescent="0.2">
      <c r="A145" s="762"/>
      <c r="B145" s="762"/>
      <c r="C145" s="762"/>
      <c r="D145" s="763"/>
      <c r="E145" s="763"/>
      <c r="G145" s="628"/>
      <c r="H145" s="766" t="s">
        <v>368</v>
      </c>
      <c r="I145" s="629" t="s">
        <v>1875</v>
      </c>
      <c r="J145" s="654" t="s">
        <v>1103</v>
      </c>
      <c r="K145" s="630" t="s">
        <v>250</v>
      </c>
      <c r="L145" s="631">
        <v>1</v>
      </c>
      <c r="M145" s="631">
        <f>VLOOKUP(J145,Preços!$C$7:$F$498,4,FALSE)</f>
        <v>15000</v>
      </c>
      <c r="N145" s="646">
        <f t="shared" ref="N145:N201" si="1">M145*L145</f>
        <v>15000</v>
      </c>
      <c r="O145" s="767" t="s">
        <v>2082</v>
      </c>
      <c r="P145" s="632" t="s">
        <v>333</v>
      </c>
      <c r="R145" s="742"/>
      <c r="S145" s="742"/>
    </row>
    <row r="146" spans="1:19" s="761" customFormat="1" hidden="1" outlineLevel="2" x14ac:dyDescent="0.2">
      <c r="A146" s="762"/>
      <c r="B146" s="762"/>
      <c r="C146" s="762"/>
      <c r="D146" s="763"/>
      <c r="E146" s="763"/>
      <c r="G146" s="628"/>
      <c r="H146" s="766" t="s">
        <v>367</v>
      </c>
      <c r="I146" s="629" t="s">
        <v>1876</v>
      </c>
      <c r="J146" s="654" t="s">
        <v>1104</v>
      </c>
      <c r="K146" s="630"/>
      <c r="L146" s="631"/>
      <c r="M146" s="631"/>
      <c r="N146" s="646">
        <f>SUM(N147)</f>
        <v>25000</v>
      </c>
      <c r="O146" s="767"/>
      <c r="P146" s="632"/>
      <c r="R146" s="742"/>
      <c r="S146" s="742"/>
    </row>
    <row r="147" spans="1:19" s="761" customFormat="1" ht="22.5" hidden="1" outlineLevel="2" x14ac:dyDescent="0.2">
      <c r="A147" s="762"/>
      <c r="B147" s="762"/>
      <c r="C147" s="762"/>
      <c r="D147" s="763"/>
      <c r="E147" s="763"/>
      <c r="G147" s="628"/>
      <c r="H147" s="766" t="s">
        <v>368</v>
      </c>
      <c r="I147" s="629" t="s">
        <v>1877</v>
      </c>
      <c r="J147" s="654" t="s">
        <v>1104</v>
      </c>
      <c r="K147" s="630" t="s">
        <v>250</v>
      </c>
      <c r="L147" s="631">
        <v>1</v>
      </c>
      <c r="M147" s="631">
        <f>VLOOKUP(J147,Preços!$C$7:$F$498,4,FALSE)</f>
        <v>25000</v>
      </c>
      <c r="N147" s="646">
        <f t="shared" si="1"/>
        <v>25000</v>
      </c>
      <c r="O147" s="767" t="s">
        <v>2082</v>
      </c>
      <c r="P147" s="632" t="s">
        <v>333</v>
      </c>
      <c r="R147" s="742"/>
      <c r="S147" s="742"/>
    </row>
    <row r="148" spans="1:19" s="761" customFormat="1" hidden="1" outlineLevel="2" x14ac:dyDescent="0.2">
      <c r="A148" s="762"/>
      <c r="B148" s="762"/>
      <c r="C148" s="762"/>
      <c r="D148" s="763"/>
      <c r="E148" s="763"/>
      <c r="G148" s="628"/>
      <c r="H148" s="766" t="s">
        <v>367</v>
      </c>
      <c r="I148" s="629" t="s">
        <v>1878</v>
      </c>
      <c r="J148" s="654" t="s">
        <v>1105</v>
      </c>
      <c r="K148" s="630"/>
      <c r="L148" s="631"/>
      <c r="M148" s="631"/>
      <c r="N148" s="646">
        <f>SUM(N149)</f>
        <v>10000</v>
      </c>
      <c r="O148" s="767"/>
      <c r="P148" s="632"/>
      <c r="R148" s="742"/>
      <c r="S148" s="742"/>
    </row>
    <row r="149" spans="1:19" s="761" customFormat="1" ht="22.5" hidden="1" outlineLevel="2" x14ac:dyDescent="0.2">
      <c r="A149" s="762"/>
      <c r="B149" s="762"/>
      <c r="C149" s="762"/>
      <c r="D149" s="763"/>
      <c r="E149" s="763"/>
      <c r="G149" s="628"/>
      <c r="H149" s="766" t="s">
        <v>368</v>
      </c>
      <c r="I149" s="629" t="s">
        <v>1879</v>
      </c>
      <c r="J149" s="654" t="s">
        <v>1105</v>
      </c>
      <c r="K149" s="630" t="s">
        <v>250</v>
      </c>
      <c r="L149" s="631">
        <v>1</v>
      </c>
      <c r="M149" s="631">
        <f>VLOOKUP(J149,Preços!$C$7:$F$498,4,FALSE)</f>
        <v>10000</v>
      </c>
      <c r="N149" s="646">
        <f t="shared" si="1"/>
        <v>10000</v>
      </c>
      <c r="O149" s="767" t="s">
        <v>2082</v>
      </c>
      <c r="P149" s="632" t="s">
        <v>333</v>
      </c>
      <c r="R149" s="742"/>
      <c r="S149" s="742"/>
    </row>
    <row r="150" spans="1:19" s="761" customFormat="1" hidden="1" outlineLevel="2" x14ac:dyDescent="0.2">
      <c r="A150" s="762"/>
      <c r="B150" s="762"/>
      <c r="C150" s="762"/>
      <c r="D150" s="763"/>
      <c r="E150" s="763"/>
      <c r="G150" s="628"/>
      <c r="H150" s="766" t="s">
        <v>367</v>
      </c>
      <c r="I150" s="629" t="s">
        <v>1880</v>
      </c>
      <c r="J150" s="654" t="s">
        <v>1106</v>
      </c>
      <c r="K150" s="630"/>
      <c r="L150" s="631"/>
      <c r="M150" s="631"/>
      <c r="N150" s="646">
        <f>SUM(N151)</f>
        <v>20000</v>
      </c>
      <c r="O150" s="767"/>
      <c r="P150" s="632"/>
      <c r="R150" s="742"/>
      <c r="S150" s="742"/>
    </row>
    <row r="151" spans="1:19" s="761" customFormat="1" ht="22.5" hidden="1" outlineLevel="2" x14ac:dyDescent="0.2">
      <c r="A151" s="762"/>
      <c r="B151" s="762"/>
      <c r="C151" s="762"/>
      <c r="D151" s="763"/>
      <c r="E151" s="763"/>
      <c r="G151" s="628"/>
      <c r="H151" s="766" t="s">
        <v>368</v>
      </c>
      <c r="I151" s="629" t="s">
        <v>1881</v>
      </c>
      <c r="J151" s="654" t="s">
        <v>1106</v>
      </c>
      <c r="K151" s="630" t="s">
        <v>250</v>
      </c>
      <c r="L151" s="631">
        <v>1</v>
      </c>
      <c r="M151" s="631">
        <v>20000</v>
      </c>
      <c r="N151" s="646">
        <f t="shared" si="1"/>
        <v>20000</v>
      </c>
      <c r="O151" s="1228" t="s">
        <v>2084</v>
      </c>
      <c r="P151" s="632" t="s">
        <v>333</v>
      </c>
      <c r="R151" s="742"/>
      <c r="S151" s="742"/>
    </row>
    <row r="152" spans="1:19" s="761" customFormat="1" hidden="1" outlineLevel="1" collapsed="1" x14ac:dyDescent="0.2">
      <c r="A152" s="762"/>
      <c r="B152" s="762"/>
      <c r="C152" s="762"/>
      <c r="D152" s="763"/>
      <c r="E152" s="763"/>
      <c r="G152" s="628"/>
      <c r="H152" s="766" t="s">
        <v>366</v>
      </c>
      <c r="I152" s="629" t="s">
        <v>1882</v>
      </c>
      <c r="J152" s="654" t="s">
        <v>1883</v>
      </c>
      <c r="K152" s="630"/>
      <c r="L152" s="631"/>
      <c r="M152" s="631"/>
      <c r="N152" s="646">
        <f>SUM(N153,N155,N160,N163,N165,N167,N172)</f>
        <v>376709.92</v>
      </c>
      <c r="O152" s="767"/>
      <c r="P152" s="632"/>
      <c r="R152" s="742"/>
      <c r="S152" s="742"/>
    </row>
    <row r="153" spans="1:19" s="761" customFormat="1" hidden="1" outlineLevel="2" x14ac:dyDescent="0.2">
      <c r="A153" s="762"/>
      <c r="B153" s="762"/>
      <c r="C153" s="762"/>
      <c r="D153" s="763"/>
      <c r="E153" s="763"/>
      <c r="G153" s="628"/>
      <c r="H153" s="766" t="s">
        <v>367</v>
      </c>
      <c r="I153" s="629" t="s">
        <v>1884</v>
      </c>
      <c r="J153" s="654" t="s">
        <v>1885</v>
      </c>
      <c r="K153" s="630"/>
      <c r="L153" s="631"/>
      <c r="M153" s="631"/>
      <c r="N153" s="646">
        <f>SUM(N154)</f>
        <v>12000</v>
      </c>
      <c r="O153" s="767"/>
      <c r="P153" s="632"/>
      <c r="R153" s="742"/>
      <c r="S153" s="742"/>
    </row>
    <row r="154" spans="1:19" s="761" customFormat="1" ht="22.5" hidden="1" outlineLevel="2" x14ac:dyDescent="0.2">
      <c r="A154" s="762"/>
      <c r="B154" s="762"/>
      <c r="C154" s="762"/>
      <c r="D154" s="763"/>
      <c r="E154" s="763"/>
      <c r="G154" s="628"/>
      <c r="H154" s="766" t="s">
        <v>368</v>
      </c>
      <c r="I154" s="629" t="s">
        <v>1886</v>
      </c>
      <c r="J154" s="654" t="s">
        <v>960</v>
      </c>
      <c r="K154" s="630" t="s">
        <v>961</v>
      </c>
      <c r="L154" s="631">
        <v>6</v>
      </c>
      <c r="M154" s="631">
        <f>VLOOKUP(J154,Preços!$C$7:$F$498,4,FALSE)</f>
        <v>2000</v>
      </c>
      <c r="N154" s="646">
        <f t="shared" si="1"/>
        <v>12000</v>
      </c>
      <c r="O154" s="767" t="s">
        <v>2082</v>
      </c>
      <c r="P154" s="632" t="s">
        <v>333</v>
      </c>
      <c r="R154" s="742"/>
      <c r="S154" s="742"/>
    </row>
    <row r="155" spans="1:19" s="761" customFormat="1" ht="22.5" hidden="1" outlineLevel="2" x14ac:dyDescent="0.2">
      <c r="A155" s="762"/>
      <c r="B155" s="762"/>
      <c r="C155" s="762"/>
      <c r="D155" s="763"/>
      <c r="E155" s="763"/>
      <c r="G155" s="628"/>
      <c r="H155" s="766" t="s">
        <v>367</v>
      </c>
      <c r="I155" s="629" t="s">
        <v>1887</v>
      </c>
      <c r="J155" s="654" t="s">
        <v>1888</v>
      </c>
      <c r="K155" s="630"/>
      <c r="L155" s="631"/>
      <c r="M155" s="631"/>
      <c r="N155" s="646">
        <f>SUM(N156:N159)</f>
        <v>112633.92</v>
      </c>
      <c r="O155" s="767"/>
      <c r="P155" s="632"/>
      <c r="R155" s="742"/>
      <c r="S155" s="742"/>
    </row>
    <row r="156" spans="1:19" s="761" customFormat="1" ht="22.5" hidden="1" outlineLevel="2" x14ac:dyDescent="0.2">
      <c r="A156" s="762"/>
      <c r="B156" s="762"/>
      <c r="C156" s="762"/>
      <c r="D156" s="763"/>
      <c r="E156" s="763"/>
      <c r="G156" s="628"/>
      <c r="H156" s="766" t="s">
        <v>368</v>
      </c>
      <c r="I156" s="629" t="s">
        <v>1889</v>
      </c>
      <c r="J156" s="654" t="s">
        <v>1107</v>
      </c>
      <c r="K156" s="630" t="s">
        <v>961</v>
      </c>
      <c r="L156" s="631">
        <v>48</v>
      </c>
      <c r="M156" s="631">
        <f>VLOOKUP(J156,Preços!$C$7:$F$498,4,FALSE)</f>
        <v>914.87</v>
      </c>
      <c r="N156" s="646">
        <f t="shared" si="1"/>
        <v>43913.760000000002</v>
      </c>
      <c r="O156" s="767" t="s">
        <v>2082</v>
      </c>
      <c r="P156" s="632" t="s">
        <v>333</v>
      </c>
      <c r="R156" s="742"/>
      <c r="S156" s="742"/>
    </row>
    <row r="157" spans="1:19" s="761" customFormat="1" ht="22.5" hidden="1" outlineLevel="2" x14ac:dyDescent="0.2">
      <c r="A157" s="762"/>
      <c r="B157" s="762"/>
      <c r="C157" s="762"/>
      <c r="D157" s="763"/>
      <c r="E157" s="763"/>
      <c r="G157" s="628"/>
      <c r="H157" s="766" t="s">
        <v>368</v>
      </c>
      <c r="I157" s="629" t="s">
        <v>1890</v>
      </c>
      <c r="J157" s="654" t="s">
        <v>1108</v>
      </c>
      <c r="K157" s="630" t="s">
        <v>961</v>
      </c>
      <c r="L157" s="631">
        <v>48</v>
      </c>
      <c r="M157" s="631">
        <f>VLOOKUP(J157,Preços!$C$7:$F$498,4,FALSE)</f>
        <v>1189.33</v>
      </c>
      <c r="N157" s="646">
        <f t="shared" si="1"/>
        <v>57087.839999999997</v>
      </c>
      <c r="O157" s="767" t="s">
        <v>2082</v>
      </c>
      <c r="P157" s="632" t="s">
        <v>333</v>
      </c>
      <c r="R157" s="742"/>
      <c r="S157" s="742"/>
    </row>
    <row r="158" spans="1:19" s="761" customFormat="1" ht="22.5" hidden="1" outlineLevel="2" x14ac:dyDescent="0.2">
      <c r="A158" s="762"/>
      <c r="B158" s="762"/>
      <c r="C158" s="762"/>
      <c r="D158" s="763"/>
      <c r="E158" s="763"/>
      <c r="G158" s="628"/>
      <c r="H158" s="766" t="s">
        <v>368</v>
      </c>
      <c r="I158" s="629" t="s">
        <v>1891</v>
      </c>
      <c r="J158" s="654" t="s">
        <v>1109</v>
      </c>
      <c r="K158" s="630" t="s">
        <v>961</v>
      </c>
      <c r="L158" s="631">
        <v>48</v>
      </c>
      <c r="M158" s="631">
        <f>VLOOKUP(J158,Preços!$C$7:$F$498,4,FALSE)</f>
        <v>217.83</v>
      </c>
      <c r="N158" s="646">
        <f t="shared" si="1"/>
        <v>10455.84</v>
      </c>
      <c r="O158" s="767" t="s">
        <v>2082</v>
      </c>
      <c r="P158" s="632" t="s">
        <v>333</v>
      </c>
      <c r="R158" s="742"/>
      <c r="S158" s="742"/>
    </row>
    <row r="159" spans="1:19" s="761" customFormat="1" ht="22.5" hidden="1" outlineLevel="2" x14ac:dyDescent="0.2">
      <c r="A159" s="762"/>
      <c r="B159" s="762"/>
      <c r="C159" s="762"/>
      <c r="D159" s="763"/>
      <c r="E159" s="763"/>
      <c r="G159" s="628"/>
      <c r="H159" s="766" t="s">
        <v>368</v>
      </c>
      <c r="I159" s="629" t="s">
        <v>1892</v>
      </c>
      <c r="J159" s="654" t="s">
        <v>1110</v>
      </c>
      <c r="K159" s="630" t="s">
        <v>961</v>
      </c>
      <c r="L159" s="631">
        <v>48</v>
      </c>
      <c r="M159" s="631">
        <f>VLOOKUP(J159,Preços!$C$7:$F$498,4,FALSE)</f>
        <v>24.51</v>
      </c>
      <c r="N159" s="646">
        <f t="shared" si="1"/>
        <v>1176.48</v>
      </c>
      <c r="O159" s="767" t="s">
        <v>2082</v>
      </c>
      <c r="P159" s="632" t="s">
        <v>333</v>
      </c>
      <c r="R159" s="742"/>
      <c r="S159" s="742"/>
    </row>
    <row r="160" spans="1:19" s="761" customFormat="1" ht="22.5" hidden="1" outlineLevel="2" x14ac:dyDescent="0.2">
      <c r="A160" s="762"/>
      <c r="B160" s="762"/>
      <c r="C160" s="762"/>
      <c r="D160" s="763"/>
      <c r="E160" s="763"/>
      <c r="G160" s="628"/>
      <c r="H160" s="766" t="s">
        <v>367</v>
      </c>
      <c r="I160" s="629" t="s">
        <v>1893</v>
      </c>
      <c r="J160" s="654" t="s">
        <v>1894</v>
      </c>
      <c r="K160" s="630"/>
      <c r="L160" s="631"/>
      <c r="M160" s="631"/>
      <c r="N160" s="646">
        <f>SUM(N161:N162)</f>
        <v>96000</v>
      </c>
      <c r="O160" s="767"/>
      <c r="P160" s="632"/>
      <c r="R160" s="742"/>
      <c r="S160" s="742"/>
    </row>
    <row r="161" spans="1:19" s="761" customFormat="1" ht="22.5" hidden="1" outlineLevel="2" x14ac:dyDescent="0.2">
      <c r="A161" s="762"/>
      <c r="B161" s="762"/>
      <c r="C161" s="762"/>
      <c r="D161" s="763"/>
      <c r="E161" s="763"/>
      <c r="G161" s="628"/>
      <c r="H161" s="766" t="s">
        <v>368</v>
      </c>
      <c r="I161" s="629" t="s">
        <v>1895</v>
      </c>
      <c r="J161" s="654" t="s">
        <v>1111</v>
      </c>
      <c r="K161" s="630" t="s">
        <v>961</v>
      </c>
      <c r="L161" s="631">
        <v>48</v>
      </c>
      <c r="M161" s="631">
        <f>VLOOKUP(J161,Preços!$C$7:$F$498,4,FALSE)</f>
        <v>1500</v>
      </c>
      <c r="N161" s="646">
        <f t="shared" si="1"/>
        <v>72000</v>
      </c>
      <c r="O161" s="767" t="s">
        <v>2082</v>
      </c>
      <c r="P161" s="632" t="s">
        <v>333</v>
      </c>
      <c r="R161" s="742"/>
      <c r="S161" s="742"/>
    </row>
    <row r="162" spans="1:19" s="761" customFormat="1" ht="22.5" hidden="1" outlineLevel="2" x14ac:dyDescent="0.2">
      <c r="A162" s="762"/>
      <c r="B162" s="762"/>
      <c r="C162" s="762"/>
      <c r="D162" s="763"/>
      <c r="E162" s="763"/>
      <c r="G162" s="628"/>
      <c r="H162" s="766" t="s">
        <v>368</v>
      </c>
      <c r="I162" s="629" t="s">
        <v>1896</v>
      </c>
      <c r="J162" s="654" t="s">
        <v>1112</v>
      </c>
      <c r="K162" s="630" t="s">
        <v>961</v>
      </c>
      <c r="L162" s="631">
        <v>48</v>
      </c>
      <c r="M162" s="631">
        <f>VLOOKUP(J162,Preços!$C$7:$F$498,4,FALSE)</f>
        <v>500</v>
      </c>
      <c r="N162" s="646">
        <f t="shared" si="1"/>
        <v>24000</v>
      </c>
      <c r="O162" s="767" t="s">
        <v>2082</v>
      </c>
      <c r="P162" s="632" t="s">
        <v>333</v>
      </c>
      <c r="R162" s="742"/>
      <c r="S162" s="742"/>
    </row>
    <row r="163" spans="1:19" s="761" customFormat="1" hidden="1" outlineLevel="2" x14ac:dyDescent="0.2">
      <c r="A163" s="762"/>
      <c r="B163" s="762"/>
      <c r="C163" s="762"/>
      <c r="D163" s="763"/>
      <c r="E163" s="763"/>
      <c r="G163" s="628"/>
      <c r="H163" s="766" t="s">
        <v>367</v>
      </c>
      <c r="I163" s="629" t="s">
        <v>1897</v>
      </c>
      <c r="J163" s="654" t="s">
        <v>1898</v>
      </c>
      <c r="K163" s="630"/>
      <c r="L163" s="631"/>
      <c r="M163" s="631"/>
      <c r="N163" s="646">
        <f>SUM(N164)</f>
        <v>24000</v>
      </c>
      <c r="O163" s="767"/>
      <c r="P163" s="632"/>
      <c r="R163" s="742"/>
      <c r="S163" s="742"/>
    </row>
    <row r="164" spans="1:19" s="761" customFormat="1" ht="22.5" hidden="1" outlineLevel="2" x14ac:dyDescent="0.2">
      <c r="A164" s="762"/>
      <c r="B164" s="762"/>
      <c r="C164" s="762"/>
      <c r="D164" s="763"/>
      <c r="E164" s="763"/>
      <c r="G164" s="628"/>
      <c r="H164" s="766" t="s">
        <v>368</v>
      </c>
      <c r="I164" s="629" t="s">
        <v>1899</v>
      </c>
      <c r="J164" s="654" t="s">
        <v>1047</v>
      </c>
      <c r="K164" s="630" t="s">
        <v>961</v>
      </c>
      <c r="L164" s="631">
        <v>48</v>
      </c>
      <c r="M164" s="631">
        <f>VLOOKUP(J164,Preços!$C$7:$F$498,4,FALSE)</f>
        <v>500</v>
      </c>
      <c r="N164" s="646">
        <f t="shared" si="1"/>
        <v>24000</v>
      </c>
      <c r="O164" s="767" t="s">
        <v>2082</v>
      </c>
      <c r="P164" s="632" t="s">
        <v>333</v>
      </c>
      <c r="R164" s="742"/>
      <c r="S164" s="742"/>
    </row>
    <row r="165" spans="1:19" s="761" customFormat="1" hidden="1" outlineLevel="2" x14ac:dyDescent="0.2">
      <c r="A165" s="762"/>
      <c r="B165" s="762"/>
      <c r="C165" s="762"/>
      <c r="D165" s="763"/>
      <c r="E165" s="763"/>
      <c r="G165" s="628"/>
      <c r="H165" s="766" t="s">
        <v>367</v>
      </c>
      <c r="I165" s="629" t="s">
        <v>1900</v>
      </c>
      <c r="J165" s="654" t="s">
        <v>1116</v>
      </c>
      <c r="K165" s="630"/>
      <c r="L165" s="631"/>
      <c r="M165" s="631"/>
      <c r="N165" s="646">
        <f>SUM(N166)</f>
        <v>15000</v>
      </c>
      <c r="O165" s="767"/>
      <c r="P165" s="632"/>
      <c r="R165" s="742"/>
      <c r="S165" s="742"/>
    </row>
    <row r="166" spans="1:19" s="761" customFormat="1" ht="22.5" hidden="1" outlineLevel="2" x14ac:dyDescent="0.2">
      <c r="A166" s="762"/>
      <c r="B166" s="762"/>
      <c r="C166" s="762"/>
      <c r="D166" s="763"/>
      <c r="E166" s="763"/>
      <c r="G166" s="628"/>
      <c r="H166" s="766" t="s">
        <v>368</v>
      </c>
      <c r="I166" s="629" t="s">
        <v>1901</v>
      </c>
      <c r="J166" s="654" t="s">
        <v>1116</v>
      </c>
      <c r="K166" s="630" t="s">
        <v>961</v>
      </c>
      <c r="L166" s="631">
        <v>48</v>
      </c>
      <c r="M166" s="631">
        <f>VLOOKUP(J166,Preços!$C$7:$F$498,4,FALSE)</f>
        <v>312.5</v>
      </c>
      <c r="N166" s="646">
        <f t="shared" si="1"/>
        <v>15000</v>
      </c>
      <c r="O166" s="767" t="s">
        <v>2082</v>
      </c>
      <c r="P166" s="632" t="s">
        <v>333</v>
      </c>
      <c r="R166" s="742"/>
      <c r="S166" s="742"/>
    </row>
    <row r="167" spans="1:19" s="761" customFormat="1" ht="22.5" hidden="1" outlineLevel="2" x14ac:dyDescent="0.2">
      <c r="A167" s="762"/>
      <c r="B167" s="762"/>
      <c r="C167" s="762"/>
      <c r="D167" s="763"/>
      <c r="E167" s="763"/>
      <c r="G167" s="628"/>
      <c r="H167" s="766" t="s">
        <v>367</v>
      </c>
      <c r="I167" s="629" t="s">
        <v>1902</v>
      </c>
      <c r="J167" s="654" t="s">
        <v>1903</v>
      </c>
      <c r="K167" s="630"/>
      <c r="L167" s="631"/>
      <c r="M167" s="631"/>
      <c r="N167" s="646">
        <f>SUM(N168:N171)</f>
        <v>66991.199999999997</v>
      </c>
      <c r="O167" s="767"/>
      <c r="P167" s="632"/>
      <c r="R167" s="742"/>
      <c r="S167" s="742"/>
    </row>
    <row r="168" spans="1:19" s="761" customFormat="1" ht="22.5" hidden="1" outlineLevel="2" x14ac:dyDescent="0.2">
      <c r="A168" s="762"/>
      <c r="B168" s="762"/>
      <c r="C168" s="762"/>
      <c r="D168" s="763"/>
      <c r="E168" s="763"/>
      <c r="G168" s="628"/>
      <c r="H168" s="766" t="s">
        <v>368</v>
      </c>
      <c r="I168" s="629" t="s">
        <v>1904</v>
      </c>
      <c r="J168" s="654" t="s">
        <v>1117</v>
      </c>
      <c r="K168" s="630" t="s">
        <v>961</v>
      </c>
      <c r="L168" s="631">
        <v>48</v>
      </c>
      <c r="M168" s="631">
        <f>VLOOKUP(J168,Preços!$C$7:$F$498,4,FALSE)</f>
        <v>490.36</v>
      </c>
      <c r="N168" s="646">
        <f t="shared" si="1"/>
        <v>23537.279999999999</v>
      </c>
      <c r="O168" s="767" t="s">
        <v>2082</v>
      </c>
      <c r="P168" s="632" t="s">
        <v>333</v>
      </c>
      <c r="R168" s="742"/>
      <c r="S168" s="742"/>
    </row>
    <row r="169" spans="1:19" s="761" customFormat="1" ht="22.5" hidden="1" outlineLevel="2" x14ac:dyDescent="0.2">
      <c r="A169" s="762"/>
      <c r="B169" s="762"/>
      <c r="C169" s="762"/>
      <c r="D169" s="763"/>
      <c r="E169" s="763"/>
      <c r="G169" s="628"/>
      <c r="H169" s="766" t="s">
        <v>368</v>
      </c>
      <c r="I169" s="629" t="s">
        <v>1905</v>
      </c>
      <c r="J169" s="654" t="s">
        <v>1118</v>
      </c>
      <c r="K169" s="630" t="s">
        <v>961</v>
      </c>
      <c r="L169" s="631">
        <v>48</v>
      </c>
      <c r="M169" s="631">
        <f>VLOOKUP(J169,Preços!$C$7:$F$498,4,FALSE)</f>
        <v>414.93</v>
      </c>
      <c r="N169" s="646">
        <f t="shared" si="1"/>
        <v>19916.64</v>
      </c>
      <c r="O169" s="767" t="s">
        <v>2082</v>
      </c>
      <c r="P169" s="632" t="s">
        <v>333</v>
      </c>
      <c r="R169" s="742"/>
      <c r="S169" s="742"/>
    </row>
    <row r="170" spans="1:19" s="761" customFormat="1" ht="22.5" hidden="1" outlineLevel="2" x14ac:dyDescent="0.2">
      <c r="A170" s="762"/>
      <c r="B170" s="762"/>
      <c r="C170" s="762"/>
      <c r="D170" s="763"/>
      <c r="E170" s="763"/>
      <c r="G170" s="628"/>
      <c r="H170" s="766" t="s">
        <v>368</v>
      </c>
      <c r="I170" s="629" t="s">
        <v>1906</v>
      </c>
      <c r="J170" s="654" t="s">
        <v>1119</v>
      </c>
      <c r="K170" s="630" t="s">
        <v>961</v>
      </c>
      <c r="L170" s="631">
        <v>48</v>
      </c>
      <c r="M170" s="631">
        <f>VLOOKUP(J170,Preços!$C$7:$F$498,4,FALSE)</f>
        <v>226.32</v>
      </c>
      <c r="N170" s="646">
        <f t="shared" si="1"/>
        <v>10863.36</v>
      </c>
      <c r="O170" s="767" t="s">
        <v>2082</v>
      </c>
      <c r="P170" s="632" t="s">
        <v>333</v>
      </c>
      <c r="R170" s="742"/>
      <c r="S170" s="742"/>
    </row>
    <row r="171" spans="1:19" s="761" customFormat="1" ht="22.5" hidden="1" outlineLevel="2" x14ac:dyDescent="0.2">
      <c r="A171" s="762"/>
      <c r="B171" s="762"/>
      <c r="C171" s="762"/>
      <c r="D171" s="763"/>
      <c r="E171" s="763"/>
      <c r="G171" s="628"/>
      <c r="H171" s="766" t="s">
        <v>368</v>
      </c>
      <c r="I171" s="629" t="s">
        <v>1907</v>
      </c>
      <c r="J171" s="654" t="s">
        <v>1120</v>
      </c>
      <c r="K171" s="630" t="s">
        <v>961</v>
      </c>
      <c r="L171" s="631">
        <v>48</v>
      </c>
      <c r="M171" s="631">
        <f>VLOOKUP(J171,Preços!$C$7:$F$498,4,FALSE)</f>
        <v>264.04000000000002</v>
      </c>
      <c r="N171" s="646">
        <f t="shared" si="1"/>
        <v>12673.920000000002</v>
      </c>
      <c r="O171" s="767" t="s">
        <v>2082</v>
      </c>
      <c r="P171" s="632" t="s">
        <v>333</v>
      </c>
      <c r="R171" s="742"/>
      <c r="S171" s="742"/>
    </row>
    <row r="172" spans="1:19" s="761" customFormat="1" hidden="1" outlineLevel="2" x14ac:dyDescent="0.2">
      <c r="A172" s="762"/>
      <c r="B172" s="762"/>
      <c r="C172" s="762"/>
      <c r="D172" s="763"/>
      <c r="E172" s="763"/>
      <c r="G172" s="628"/>
      <c r="H172" s="766" t="s">
        <v>367</v>
      </c>
      <c r="I172" s="629" t="s">
        <v>1908</v>
      </c>
      <c r="J172" s="654" t="s">
        <v>1909</v>
      </c>
      <c r="K172" s="630"/>
      <c r="L172" s="631"/>
      <c r="M172" s="631"/>
      <c r="N172" s="646">
        <f>SUM(N173:N174)</f>
        <v>50084.800000000003</v>
      </c>
      <c r="O172" s="767"/>
      <c r="P172" s="632"/>
      <c r="R172" s="742"/>
      <c r="S172" s="742"/>
    </row>
    <row r="173" spans="1:19" s="761" customFormat="1" ht="22.5" hidden="1" outlineLevel="2" x14ac:dyDescent="0.2">
      <c r="A173" s="762"/>
      <c r="B173" s="762"/>
      <c r="C173" s="762"/>
      <c r="D173" s="763"/>
      <c r="E173" s="763"/>
      <c r="G173" s="628"/>
      <c r="H173" s="766" t="s">
        <v>368</v>
      </c>
      <c r="I173" s="629" t="s">
        <v>1910</v>
      </c>
      <c r="J173" s="654" t="s">
        <v>1113</v>
      </c>
      <c r="K173" s="630" t="s">
        <v>250</v>
      </c>
      <c r="L173" s="631">
        <v>1</v>
      </c>
      <c r="M173" s="631">
        <f>VLOOKUP(J173,Preços!$C$7:$F$498,4,FALSE)</f>
        <v>25000</v>
      </c>
      <c r="N173" s="646">
        <f t="shared" si="1"/>
        <v>25000</v>
      </c>
      <c r="O173" s="767" t="s">
        <v>2082</v>
      </c>
      <c r="P173" s="632" t="s">
        <v>333</v>
      </c>
      <c r="R173" s="742"/>
      <c r="S173" s="742"/>
    </row>
    <row r="174" spans="1:19" s="761" customFormat="1" ht="22.5" hidden="1" outlineLevel="2" x14ac:dyDescent="0.2">
      <c r="A174" s="762"/>
      <c r="B174" s="762"/>
      <c r="C174" s="762"/>
      <c r="D174" s="763"/>
      <c r="E174" s="763"/>
      <c r="G174" s="628"/>
      <c r="H174" s="766" t="s">
        <v>368</v>
      </c>
      <c r="I174" s="629" t="s">
        <v>1911</v>
      </c>
      <c r="J174" s="654" t="s">
        <v>1048</v>
      </c>
      <c r="K174" s="630" t="s">
        <v>961</v>
      </c>
      <c r="L174" s="631">
        <v>48</v>
      </c>
      <c r="M174" s="631">
        <f>VLOOKUP(J174,Preços!$C$7:$F$498,4,FALSE)</f>
        <v>522.6</v>
      </c>
      <c r="N174" s="646">
        <f t="shared" si="1"/>
        <v>25084.800000000003</v>
      </c>
      <c r="O174" s="767" t="s">
        <v>2082</v>
      </c>
      <c r="P174" s="632" t="s">
        <v>333</v>
      </c>
      <c r="R174" s="742"/>
      <c r="S174" s="742"/>
    </row>
    <row r="175" spans="1:19" s="761" customFormat="1" collapsed="1" x14ac:dyDescent="0.2">
      <c r="A175" s="762"/>
      <c r="B175" s="762"/>
      <c r="C175" s="762"/>
      <c r="D175" s="763"/>
      <c r="E175" s="763"/>
      <c r="G175" s="628"/>
      <c r="H175" s="766" t="s">
        <v>365</v>
      </c>
      <c r="I175" s="629" t="s">
        <v>1912</v>
      </c>
      <c r="J175" s="654" t="s">
        <v>381</v>
      </c>
      <c r="K175" s="630"/>
      <c r="L175" s="631"/>
      <c r="M175" s="631"/>
      <c r="N175" s="646">
        <f>SUM(N176,N185,N194)</f>
        <v>500082</v>
      </c>
      <c r="O175" s="767"/>
      <c r="P175" s="632"/>
      <c r="R175" s="742"/>
      <c r="S175" s="742"/>
    </row>
    <row r="176" spans="1:19" s="761" customFormat="1" hidden="1" outlineLevel="2" collapsed="1" x14ac:dyDescent="0.2">
      <c r="A176" s="762"/>
      <c r="B176" s="762"/>
      <c r="C176" s="762"/>
      <c r="D176" s="763"/>
      <c r="E176" s="763"/>
      <c r="G176" s="628"/>
      <c r="H176" s="766" t="s">
        <v>366</v>
      </c>
      <c r="I176" s="629" t="s">
        <v>1913</v>
      </c>
      <c r="J176" s="654" t="s">
        <v>381</v>
      </c>
      <c r="K176" s="630"/>
      <c r="L176" s="631"/>
      <c r="M176" s="631"/>
      <c r="N176" s="646">
        <f>SUM(N177,N183)</f>
        <v>86982</v>
      </c>
      <c r="O176" s="767"/>
      <c r="P176" s="632"/>
      <c r="R176" s="742"/>
      <c r="S176" s="742"/>
    </row>
    <row r="177" spans="1:19" s="761" customFormat="1" ht="22.5" hidden="1" outlineLevel="3" x14ac:dyDescent="0.2">
      <c r="A177" s="762"/>
      <c r="B177" s="762"/>
      <c r="C177" s="762"/>
      <c r="D177" s="763"/>
      <c r="E177" s="763"/>
      <c r="G177" s="628"/>
      <c r="H177" s="766" t="s">
        <v>367</v>
      </c>
      <c r="I177" s="629" t="s">
        <v>1914</v>
      </c>
      <c r="J177" s="654" t="s">
        <v>1915</v>
      </c>
      <c r="K177" s="630"/>
      <c r="L177" s="631"/>
      <c r="M177" s="631"/>
      <c r="N177" s="646">
        <f>SUM(N178:N182)</f>
        <v>62982</v>
      </c>
      <c r="O177" s="767"/>
      <c r="P177" s="632"/>
      <c r="R177" s="742"/>
      <c r="S177" s="742"/>
    </row>
    <row r="178" spans="1:19" s="761" customFormat="1" ht="22.5" hidden="1" outlineLevel="3" x14ac:dyDescent="0.2">
      <c r="A178" s="762"/>
      <c r="B178" s="762"/>
      <c r="C178" s="762"/>
      <c r="D178" s="763"/>
      <c r="E178" s="763"/>
      <c r="G178" s="628"/>
      <c r="H178" s="766" t="s">
        <v>368</v>
      </c>
      <c r="I178" s="629" t="s">
        <v>1916</v>
      </c>
      <c r="J178" s="654" t="s">
        <v>1049</v>
      </c>
      <c r="K178" s="630" t="s">
        <v>250</v>
      </c>
      <c r="L178" s="631">
        <v>1</v>
      </c>
      <c r="M178" s="631">
        <f>VLOOKUP(J178,Preços!$C$7:$F$498,4,FALSE)</f>
        <v>44000</v>
      </c>
      <c r="N178" s="646">
        <f t="shared" si="1"/>
        <v>44000</v>
      </c>
      <c r="O178" s="767" t="s">
        <v>2082</v>
      </c>
      <c r="P178" s="632" t="s">
        <v>333</v>
      </c>
      <c r="R178" s="742"/>
      <c r="S178" s="742"/>
    </row>
    <row r="179" spans="1:19" s="761" customFormat="1" ht="22.5" hidden="1" outlineLevel="3" x14ac:dyDescent="0.2">
      <c r="A179" s="762"/>
      <c r="B179" s="762"/>
      <c r="C179" s="762"/>
      <c r="D179" s="763"/>
      <c r="E179" s="763"/>
      <c r="G179" s="628"/>
      <c r="H179" s="766" t="s">
        <v>368</v>
      </c>
      <c r="I179" s="629" t="s">
        <v>1917</v>
      </c>
      <c r="J179" s="654" t="s">
        <v>1050</v>
      </c>
      <c r="K179" s="630" t="s">
        <v>2</v>
      </c>
      <c r="L179" s="631">
        <v>2</v>
      </c>
      <c r="M179" s="631">
        <f>VLOOKUP(J179,Preços!$C$7:$F$498,4,FALSE)</f>
        <v>1100</v>
      </c>
      <c r="N179" s="646">
        <f t="shared" si="1"/>
        <v>2200</v>
      </c>
      <c r="O179" s="767" t="s">
        <v>2082</v>
      </c>
      <c r="P179" s="632" t="s">
        <v>333</v>
      </c>
      <c r="R179" s="742"/>
      <c r="S179" s="742"/>
    </row>
    <row r="180" spans="1:19" s="761" customFormat="1" ht="22.5" hidden="1" outlineLevel="3" x14ac:dyDescent="0.2">
      <c r="A180" s="762"/>
      <c r="B180" s="762"/>
      <c r="C180" s="762"/>
      <c r="D180" s="763"/>
      <c r="E180" s="763"/>
      <c r="G180" s="628"/>
      <c r="H180" s="766" t="s">
        <v>368</v>
      </c>
      <c r="I180" s="629" t="s">
        <v>1918</v>
      </c>
      <c r="J180" s="654" t="s">
        <v>1051</v>
      </c>
      <c r="K180" s="630" t="s">
        <v>2</v>
      </c>
      <c r="L180" s="631">
        <v>10</v>
      </c>
      <c r="M180" s="631">
        <f>VLOOKUP(J180,Preços!$C$7:$F$498,4,FALSE)</f>
        <v>580</v>
      </c>
      <c r="N180" s="646">
        <f t="shared" si="1"/>
        <v>5800</v>
      </c>
      <c r="O180" s="767" t="s">
        <v>2082</v>
      </c>
      <c r="P180" s="632" t="s">
        <v>333</v>
      </c>
      <c r="R180" s="742"/>
      <c r="S180" s="742"/>
    </row>
    <row r="181" spans="1:19" s="761" customFormat="1" ht="22.5" hidden="1" outlineLevel="3" x14ac:dyDescent="0.2">
      <c r="A181" s="762"/>
      <c r="B181" s="762"/>
      <c r="C181" s="762"/>
      <c r="D181" s="763"/>
      <c r="E181" s="763"/>
      <c r="G181" s="628"/>
      <c r="H181" s="766" t="s">
        <v>368</v>
      </c>
      <c r="I181" s="629" t="s">
        <v>1919</v>
      </c>
      <c r="J181" s="654" t="s">
        <v>1052</v>
      </c>
      <c r="K181" s="630" t="s">
        <v>2</v>
      </c>
      <c r="L181" s="631">
        <v>2</v>
      </c>
      <c r="M181" s="631">
        <f>VLOOKUP(J181,Preços!$C$7:$F$498,4,FALSE)</f>
        <v>548</v>
      </c>
      <c r="N181" s="646">
        <f t="shared" si="1"/>
        <v>1096</v>
      </c>
      <c r="O181" s="767" t="s">
        <v>2082</v>
      </c>
      <c r="P181" s="632" t="s">
        <v>333</v>
      </c>
      <c r="R181" s="742"/>
      <c r="S181" s="742"/>
    </row>
    <row r="182" spans="1:19" s="761" customFormat="1" ht="22.5" hidden="1" outlineLevel="3" x14ac:dyDescent="0.2">
      <c r="A182" s="762"/>
      <c r="B182" s="762"/>
      <c r="C182" s="762"/>
      <c r="D182" s="763"/>
      <c r="E182" s="763"/>
      <c r="G182" s="628"/>
      <c r="H182" s="766" t="s">
        <v>368</v>
      </c>
      <c r="I182" s="629" t="s">
        <v>1920</v>
      </c>
      <c r="J182" s="654" t="s">
        <v>1122</v>
      </c>
      <c r="K182" s="630" t="s">
        <v>250</v>
      </c>
      <c r="L182" s="631">
        <v>1</v>
      </c>
      <c r="M182" s="631">
        <f>VLOOKUP(J182,Preços!$C$7:$F$498,4,FALSE)</f>
        <v>9886</v>
      </c>
      <c r="N182" s="646">
        <f t="shared" si="1"/>
        <v>9886</v>
      </c>
      <c r="O182" s="767" t="s">
        <v>2082</v>
      </c>
      <c r="P182" s="632" t="s">
        <v>333</v>
      </c>
      <c r="R182" s="742"/>
      <c r="S182" s="742"/>
    </row>
    <row r="183" spans="1:19" s="761" customFormat="1" hidden="1" outlineLevel="3" x14ac:dyDescent="0.2">
      <c r="A183" s="762"/>
      <c r="B183" s="762"/>
      <c r="C183" s="762"/>
      <c r="D183" s="763"/>
      <c r="E183" s="763"/>
      <c r="G183" s="628"/>
      <c r="H183" s="766" t="s">
        <v>367</v>
      </c>
      <c r="I183" s="629" t="s">
        <v>1921</v>
      </c>
      <c r="J183" s="654" t="s">
        <v>1922</v>
      </c>
      <c r="K183" s="630"/>
      <c r="L183" s="631"/>
      <c r="M183" s="631"/>
      <c r="N183" s="646">
        <f>SUM(N184)</f>
        <v>24000</v>
      </c>
      <c r="O183" s="767"/>
      <c r="P183" s="632"/>
      <c r="R183" s="742"/>
      <c r="S183" s="742"/>
    </row>
    <row r="184" spans="1:19" s="761" customFormat="1" ht="22.5" hidden="1" outlineLevel="3" x14ac:dyDescent="0.2">
      <c r="A184" s="762"/>
      <c r="B184" s="762"/>
      <c r="C184" s="762"/>
      <c r="D184" s="763"/>
      <c r="E184" s="763"/>
      <c r="G184" s="628"/>
      <c r="H184" s="766" t="s">
        <v>368</v>
      </c>
      <c r="I184" s="629" t="s">
        <v>1923</v>
      </c>
      <c r="J184" s="654" t="s">
        <v>966</v>
      </c>
      <c r="K184" s="630" t="s">
        <v>961</v>
      </c>
      <c r="L184" s="631">
        <v>48</v>
      </c>
      <c r="M184" s="631">
        <f>VLOOKUP(J184,Preços!$C$7:$F$498,4,FALSE)</f>
        <v>500</v>
      </c>
      <c r="N184" s="646">
        <f t="shared" si="1"/>
        <v>24000</v>
      </c>
      <c r="O184" s="767" t="s">
        <v>2082</v>
      </c>
      <c r="P184" s="632" t="s">
        <v>333</v>
      </c>
      <c r="R184" s="742"/>
      <c r="S184" s="742"/>
    </row>
    <row r="185" spans="1:19" s="761" customFormat="1" hidden="1" outlineLevel="2" collapsed="1" x14ac:dyDescent="0.2">
      <c r="A185" s="762"/>
      <c r="B185" s="762"/>
      <c r="C185" s="762"/>
      <c r="D185" s="763"/>
      <c r="E185" s="763"/>
      <c r="G185" s="628"/>
      <c r="H185" s="766" t="s">
        <v>366</v>
      </c>
      <c r="I185" s="629" t="s">
        <v>1924</v>
      </c>
      <c r="J185" s="654" t="s">
        <v>1925</v>
      </c>
      <c r="K185" s="630"/>
      <c r="L185" s="631"/>
      <c r="M185" s="631"/>
      <c r="N185" s="646">
        <f>SUM(N186,N188,N190,N192)</f>
        <v>351200</v>
      </c>
      <c r="O185" s="767"/>
      <c r="P185" s="632"/>
      <c r="R185" s="742"/>
      <c r="S185" s="742"/>
    </row>
    <row r="186" spans="1:19" s="761" customFormat="1" hidden="1" outlineLevel="3" x14ac:dyDescent="0.2">
      <c r="A186" s="762"/>
      <c r="B186" s="762"/>
      <c r="C186" s="762"/>
      <c r="D186" s="763"/>
      <c r="E186" s="763"/>
      <c r="G186" s="628"/>
      <c r="H186" s="766" t="s">
        <v>367</v>
      </c>
      <c r="I186" s="629" t="s">
        <v>1926</v>
      </c>
      <c r="J186" s="654" t="s">
        <v>2085</v>
      </c>
      <c r="K186" s="630"/>
      <c r="L186" s="631"/>
      <c r="M186" s="631"/>
      <c r="N186" s="646">
        <f>SUM(N187)</f>
        <v>250000</v>
      </c>
      <c r="O186" s="767"/>
      <c r="P186" s="632"/>
      <c r="R186" s="742"/>
      <c r="S186" s="742"/>
    </row>
    <row r="187" spans="1:19" s="761" customFormat="1" ht="22.5" hidden="1" outlineLevel="3" x14ac:dyDescent="0.2">
      <c r="A187" s="762"/>
      <c r="B187" s="762"/>
      <c r="C187" s="762"/>
      <c r="D187" s="763"/>
      <c r="E187" s="763"/>
      <c r="G187" s="628"/>
      <c r="H187" s="766" t="s">
        <v>368</v>
      </c>
      <c r="I187" s="629" t="s">
        <v>1927</v>
      </c>
      <c r="J187" s="654" t="s">
        <v>1127</v>
      </c>
      <c r="K187" s="630" t="s">
        <v>250</v>
      </c>
      <c r="L187" s="631">
        <v>1</v>
      </c>
      <c r="M187" s="631">
        <v>250000</v>
      </c>
      <c r="N187" s="646">
        <f>M187*L187</f>
        <v>250000</v>
      </c>
      <c r="O187" s="1228" t="s">
        <v>2086</v>
      </c>
      <c r="P187" s="632" t="s">
        <v>333</v>
      </c>
      <c r="R187" s="742"/>
      <c r="S187" s="742"/>
    </row>
    <row r="188" spans="1:19" s="761" customFormat="1" ht="22.5" hidden="1" outlineLevel="3" x14ac:dyDescent="0.2">
      <c r="A188" s="762"/>
      <c r="B188" s="762"/>
      <c r="C188" s="762"/>
      <c r="D188" s="763"/>
      <c r="E188" s="763"/>
      <c r="G188" s="628"/>
      <c r="H188" s="766" t="s">
        <v>367</v>
      </c>
      <c r="I188" s="629" t="s">
        <v>1926</v>
      </c>
      <c r="J188" s="654" t="s">
        <v>2087</v>
      </c>
      <c r="K188" s="630"/>
      <c r="L188" s="631"/>
      <c r="M188" s="631"/>
      <c r="N188" s="646">
        <f>SUM(N189)</f>
        <v>75000</v>
      </c>
      <c r="O188" s="767"/>
      <c r="P188" s="632"/>
      <c r="R188" s="742"/>
      <c r="S188" s="742"/>
    </row>
    <row r="189" spans="1:19" s="761" customFormat="1" ht="22.5" hidden="1" outlineLevel="3" x14ac:dyDescent="0.2">
      <c r="A189" s="762"/>
      <c r="B189" s="762"/>
      <c r="C189" s="762"/>
      <c r="D189" s="763"/>
      <c r="E189" s="763"/>
      <c r="G189" s="628"/>
      <c r="H189" s="766" t="s">
        <v>368</v>
      </c>
      <c r="I189" s="629" t="s">
        <v>1927</v>
      </c>
      <c r="J189" s="654" t="s">
        <v>2087</v>
      </c>
      <c r="K189" s="630" t="s">
        <v>250</v>
      </c>
      <c r="L189" s="631">
        <v>1</v>
      </c>
      <c r="M189" s="631">
        <v>75000</v>
      </c>
      <c r="N189" s="646">
        <f t="shared" si="1"/>
        <v>75000</v>
      </c>
      <c r="O189" s="1228" t="s">
        <v>2084</v>
      </c>
      <c r="P189" s="632" t="s">
        <v>333</v>
      </c>
      <c r="R189" s="742"/>
      <c r="S189" s="742"/>
    </row>
    <row r="190" spans="1:19" s="761" customFormat="1" hidden="1" outlineLevel="3" x14ac:dyDescent="0.2">
      <c r="A190" s="762"/>
      <c r="B190" s="762"/>
      <c r="C190" s="762"/>
      <c r="D190" s="763"/>
      <c r="E190" s="763"/>
      <c r="G190" s="628"/>
      <c r="H190" s="766" t="s">
        <v>367</v>
      </c>
      <c r="I190" s="629" t="s">
        <v>1928</v>
      </c>
      <c r="J190" s="654" t="s">
        <v>1128</v>
      </c>
      <c r="K190" s="630"/>
      <c r="L190" s="631"/>
      <c r="M190" s="631"/>
      <c r="N190" s="646">
        <f>SUM(N191)</f>
        <v>21700</v>
      </c>
      <c r="O190" s="767"/>
      <c r="P190" s="632"/>
      <c r="R190" s="742"/>
      <c r="S190" s="742"/>
    </row>
    <row r="191" spans="1:19" s="761" customFormat="1" ht="22.5" hidden="1" outlineLevel="3" x14ac:dyDescent="0.2">
      <c r="A191" s="762"/>
      <c r="B191" s="762"/>
      <c r="C191" s="762"/>
      <c r="D191" s="763"/>
      <c r="E191" s="763"/>
      <c r="G191" s="628"/>
      <c r="H191" s="766" t="s">
        <v>368</v>
      </c>
      <c r="I191" s="629" t="s">
        <v>1929</v>
      </c>
      <c r="J191" s="654" t="s">
        <v>1128</v>
      </c>
      <c r="K191" s="630" t="s">
        <v>2</v>
      </c>
      <c r="L191" s="631">
        <v>1</v>
      </c>
      <c r="M191" s="631">
        <f>VLOOKUP(J191,Preços!$C$7:$F$498,4,FALSE)</f>
        <v>21700</v>
      </c>
      <c r="N191" s="646">
        <f t="shared" si="1"/>
        <v>21700</v>
      </c>
      <c r="O191" s="767" t="s">
        <v>2082</v>
      </c>
      <c r="P191" s="632" t="s">
        <v>333</v>
      </c>
      <c r="R191" s="742"/>
      <c r="S191" s="742"/>
    </row>
    <row r="192" spans="1:19" s="761" customFormat="1" hidden="1" outlineLevel="3" x14ac:dyDescent="0.2">
      <c r="A192" s="762"/>
      <c r="B192" s="762"/>
      <c r="C192" s="762"/>
      <c r="D192" s="763"/>
      <c r="E192" s="763"/>
      <c r="G192" s="628"/>
      <c r="H192" s="766" t="s">
        <v>367</v>
      </c>
      <c r="I192" s="629" t="s">
        <v>1930</v>
      </c>
      <c r="J192" s="654" t="s">
        <v>1053</v>
      </c>
      <c r="K192" s="630"/>
      <c r="L192" s="631"/>
      <c r="M192" s="631"/>
      <c r="N192" s="646">
        <f>SUM(N193)</f>
        <v>4500</v>
      </c>
      <c r="O192" s="767"/>
      <c r="P192" s="632"/>
      <c r="R192" s="742"/>
      <c r="S192" s="742"/>
    </row>
    <row r="193" spans="1:19" s="761" customFormat="1" ht="22.5" hidden="1" outlineLevel="3" x14ac:dyDescent="0.2">
      <c r="A193" s="762"/>
      <c r="B193" s="762"/>
      <c r="C193" s="762"/>
      <c r="D193" s="763"/>
      <c r="E193" s="763"/>
      <c r="G193" s="628"/>
      <c r="H193" s="766" t="s">
        <v>368</v>
      </c>
      <c r="I193" s="629" t="s">
        <v>1931</v>
      </c>
      <c r="J193" s="654" t="s">
        <v>1053</v>
      </c>
      <c r="K193" s="630" t="s">
        <v>250</v>
      </c>
      <c r="L193" s="631">
        <v>1</v>
      </c>
      <c r="M193" s="631">
        <f>VLOOKUP(J193,Preços!$C$7:$F$498,4,FALSE)</f>
        <v>4500</v>
      </c>
      <c r="N193" s="646">
        <f t="shared" si="1"/>
        <v>4500</v>
      </c>
      <c r="O193" s="767" t="s">
        <v>2082</v>
      </c>
      <c r="P193" s="632" t="s">
        <v>333</v>
      </c>
      <c r="R193" s="742"/>
      <c r="S193" s="742"/>
    </row>
    <row r="194" spans="1:19" s="761" customFormat="1" hidden="1" outlineLevel="2" collapsed="1" x14ac:dyDescent="0.2">
      <c r="A194" s="762"/>
      <c r="B194" s="762"/>
      <c r="C194" s="762"/>
      <c r="D194" s="763"/>
      <c r="E194" s="763"/>
      <c r="G194" s="628"/>
      <c r="H194" s="766" t="s">
        <v>366</v>
      </c>
      <c r="I194" s="629" t="s">
        <v>1932</v>
      </c>
      <c r="J194" s="654" t="s">
        <v>1933</v>
      </c>
      <c r="K194" s="630"/>
      <c r="L194" s="631"/>
      <c r="M194" s="631"/>
      <c r="N194" s="646">
        <f>SUM(N195,N198,N200)</f>
        <v>61900</v>
      </c>
      <c r="O194" s="767"/>
      <c r="P194" s="632"/>
      <c r="R194" s="742"/>
      <c r="S194" s="742"/>
    </row>
    <row r="195" spans="1:19" s="761" customFormat="1" hidden="1" outlineLevel="3" x14ac:dyDescent="0.2">
      <c r="A195" s="762"/>
      <c r="B195" s="762"/>
      <c r="C195" s="762"/>
      <c r="D195" s="763"/>
      <c r="E195" s="763"/>
      <c r="G195" s="628"/>
      <c r="H195" s="766" t="s">
        <v>367</v>
      </c>
      <c r="I195" s="629" t="s">
        <v>1934</v>
      </c>
      <c r="J195" s="654" t="s">
        <v>1935</v>
      </c>
      <c r="K195" s="630"/>
      <c r="L195" s="631"/>
      <c r="M195" s="631"/>
      <c r="N195" s="646">
        <f>SUM(N196:N197)</f>
        <v>7000</v>
      </c>
      <c r="O195" s="767"/>
      <c r="P195" s="632"/>
      <c r="R195" s="742"/>
      <c r="S195" s="742"/>
    </row>
    <row r="196" spans="1:19" s="761" customFormat="1" ht="22.5" hidden="1" outlineLevel="3" x14ac:dyDescent="0.2">
      <c r="A196" s="762"/>
      <c r="B196" s="762"/>
      <c r="C196" s="762"/>
      <c r="D196" s="763"/>
      <c r="E196" s="763"/>
      <c r="G196" s="628"/>
      <c r="H196" s="766" t="s">
        <v>368</v>
      </c>
      <c r="I196" s="629" t="s">
        <v>1936</v>
      </c>
      <c r="J196" s="654" t="s">
        <v>1130</v>
      </c>
      <c r="K196" s="630" t="s">
        <v>2</v>
      </c>
      <c r="L196" s="631">
        <v>1</v>
      </c>
      <c r="M196" s="631">
        <f>VLOOKUP(J196,Preços!$C$7:$F$498,4,FALSE)</f>
        <v>3500</v>
      </c>
      <c r="N196" s="646">
        <f t="shared" si="1"/>
        <v>3500</v>
      </c>
      <c r="O196" s="767" t="s">
        <v>2082</v>
      </c>
      <c r="P196" s="632" t="s">
        <v>333</v>
      </c>
      <c r="R196" s="742"/>
      <c r="S196" s="742"/>
    </row>
    <row r="197" spans="1:19" s="761" customFormat="1" ht="22.5" hidden="1" outlineLevel="3" x14ac:dyDescent="0.2">
      <c r="A197" s="762"/>
      <c r="B197" s="762"/>
      <c r="C197" s="762"/>
      <c r="D197" s="763"/>
      <c r="E197" s="763"/>
      <c r="G197" s="628"/>
      <c r="H197" s="766" t="s">
        <v>368</v>
      </c>
      <c r="I197" s="629" t="s">
        <v>1937</v>
      </c>
      <c r="J197" s="654" t="s">
        <v>1131</v>
      </c>
      <c r="K197" s="630" t="s">
        <v>2</v>
      </c>
      <c r="L197" s="631">
        <v>1</v>
      </c>
      <c r="M197" s="631">
        <f>VLOOKUP(J197,Preços!$C$7:$F$498,4,FALSE)</f>
        <v>3500</v>
      </c>
      <c r="N197" s="646">
        <f t="shared" si="1"/>
        <v>3500</v>
      </c>
      <c r="O197" s="767" t="s">
        <v>2082</v>
      </c>
      <c r="P197" s="632" t="s">
        <v>333</v>
      </c>
      <c r="R197" s="742"/>
      <c r="S197" s="742"/>
    </row>
    <row r="198" spans="1:19" s="761" customFormat="1" hidden="1" outlineLevel="3" x14ac:dyDescent="0.2">
      <c r="A198" s="762"/>
      <c r="B198" s="762"/>
      <c r="C198" s="762"/>
      <c r="D198" s="763"/>
      <c r="E198" s="763"/>
      <c r="G198" s="628"/>
      <c r="H198" s="766" t="s">
        <v>367</v>
      </c>
      <c r="I198" s="629" t="s">
        <v>1938</v>
      </c>
      <c r="J198" s="654" t="s">
        <v>1054</v>
      </c>
      <c r="K198" s="630"/>
      <c r="L198" s="631"/>
      <c r="M198" s="631"/>
      <c r="N198" s="646">
        <f>SUM(N199)</f>
        <v>4500</v>
      </c>
      <c r="O198" s="767"/>
      <c r="P198" s="632"/>
      <c r="R198" s="742"/>
      <c r="S198" s="742"/>
    </row>
    <row r="199" spans="1:19" s="761" customFormat="1" ht="22.5" hidden="1" outlineLevel="3" x14ac:dyDescent="0.2">
      <c r="A199" s="762"/>
      <c r="B199" s="762"/>
      <c r="C199" s="762"/>
      <c r="D199" s="763"/>
      <c r="E199" s="763"/>
      <c r="G199" s="628"/>
      <c r="H199" s="766" t="s">
        <v>368</v>
      </c>
      <c r="I199" s="629" t="s">
        <v>1939</v>
      </c>
      <c r="J199" s="654" t="s">
        <v>1054</v>
      </c>
      <c r="K199" s="630" t="s">
        <v>250</v>
      </c>
      <c r="L199" s="631">
        <v>1</v>
      </c>
      <c r="M199" s="631">
        <f>VLOOKUP(J199,Preços!$C$7:$F$498,4,FALSE)</f>
        <v>4500</v>
      </c>
      <c r="N199" s="646">
        <f t="shared" si="1"/>
        <v>4500</v>
      </c>
      <c r="O199" s="767" t="s">
        <v>2082</v>
      </c>
      <c r="P199" s="632" t="s">
        <v>333</v>
      </c>
      <c r="R199" s="742"/>
      <c r="S199" s="742"/>
    </row>
    <row r="200" spans="1:19" s="761" customFormat="1" hidden="1" outlineLevel="3" x14ac:dyDescent="0.2">
      <c r="A200" s="762"/>
      <c r="B200" s="762"/>
      <c r="C200" s="762"/>
      <c r="D200" s="763"/>
      <c r="E200" s="763"/>
      <c r="G200" s="628"/>
      <c r="H200" s="766" t="s">
        <v>367</v>
      </c>
      <c r="I200" s="629" t="s">
        <v>1940</v>
      </c>
      <c r="J200" s="654" t="s">
        <v>2098</v>
      </c>
      <c r="K200" s="630"/>
      <c r="L200" s="631"/>
      <c r="M200" s="631"/>
      <c r="N200" s="646">
        <f>SUM(N201)</f>
        <v>50400</v>
      </c>
      <c r="O200" s="767"/>
      <c r="P200" s="632"/>
      <c r="R200" s="742"/>
      <c r="S200" s="742"/>
    </row>
    <row r="201" spans="1:19" s="761" customFormat="1" ht="22.5" hidden="1" outlineLevel="3" x14ac:dyDescent="0.2">
      <c r="A201" s="762"/>
      <c r="B201" s="762"/>
      <c r="C201" s="762"/>
      <c r="D201" s="763"/>
      <c r="E201" s="763"/>
      <c r="G201" s="628"/>
      <c r="H201" s="766" t="s">
        <v>368</v>
      </c>
      <c r="I201" s="629" t="s">
        <v>1941</v>
      </c>
      <c r="J201" s="654" t="s">
        <v>2098</v>
      </c>
      <c r="K201" s="630" t="s">
        <v>250</v>
      </c>
      <c r="L201" s="631">
        <v>1</v>
      </c>
      <c r="M201" s="631">
        <v>50400</v>
      </c>
      <c r="N201" s="646">
        <f t="shared" si="1"/>
        <v>50400</v>
      </c>
      <c r="O201" s="1228" t="s">
        <v>2084</v>
      </c>
      <c r="P201" s="632" t="s">
        <v>333</v>
      </c>
      <c r="R201" s="742"/>
      <c r="S201" s="742"/>
    </row>
    <row r="202" spans="1:19" s="761" customFormat="1" ht="12.75" x14ac:dyDescent="0.2">
      <c r="A202" s="762">
        <f ca="1">IF($H202="UNIDADE CONSTRUTIVA",OFFSET(A202,-1,0)+1,LARGE(A$3:A6,1))</f>
        <v>1</v>
      </c>
      <c r="B202" s="762">
        <f ca="1">IF(H202="UNIDADE CONSTRUTIVA",0,IF(H202="CÉLULA CONSTRUTIVA",OFFSET(B202,-1,0)+1,OFFSET(B202,-1,0)))</f>
        <v>0</v>
      </c>
      <c r="C202" s="762">
        <f ca="1">IF(H202="CÉLULA CONSTRUTIVA",0,IF(H202="ETAPA",OFFSET(C202,-1,0)+1,OFFSET(C202,-1,0)))</f>
        <v>0</v>
      </c>
      <c r="D202" s="763">
        <f ca="1">IF(H202="ETAPA",0,IF(H202="SUBETAPA",OFFSET(D202,-1,0)+1,OFFSET(D202,-1,0)))</f>
        <v>0</v>
      </c>
      <c r="E202" s="763">
        <f ca="1">IF(H202="Subetapa",0,IF(H202="serviço",OFFSET(E202,-1,0)+1,OFFSET(E202,-1,0)))</f>
        <v>0</v>
      </c>
      <c r="G202" s="966"/>
      <c r="H202" s="967" t="s">
        <v>1705</v>
      </c>
      <c r="I202" s="968" t="str">
        <f ca="1">IF(H202="Unidade Construtiva",TEXT(A202,"00"),IF(H202="Célula Construtiva",TEXT(B202,"00"),IF(H202="Etapa",CONCATENATE(TEXT(B202,"00"),".",TEXT(C202,"000")),IF(H202="Subetapa",CONCATENATE(TEXT(B202,"00"),".",TEXT(C202,"000"),".",TEXT(D202,"000")),IF(H202="Serviço",CONCATENATE(TEXT(B202,"00"),".",TEXT(C202,"000"),".",TEXT(D202,"000"),".",TEXT(E202,"000")),"")))))</f>
        <v>01</v>
      </c>
      <c r="J202" s="969" t="s">
        <v>1706</v>
      </c>
      <c r="K202" s="970"/>
      <c r="L202" s="971"/>
      <c r="M202" s="971"/>
      <c r="N202" s="972">
        <f ca="1">N203+N214+N254+N390+N497+N513+N517+N579+N589+N597+N703+N833+N892+N1013+N1153+N1185+N1191+N1274+N1290+N1298+N1316</f>
        <v>25275750.912891131</v>
      </c>
      <c r="O202" s="973"/>
      <c r="P202" s="974"/>
      <c r="R202" s="742"/>
      <c r="S202" s="742"/>
    </row>
    <row r="203" spans="1:19" s="761" customFormat="1" collapsed="1" x14ac:dyDescent="0.2">
      <c r="A203" s="762">
        <f ca="1">IF($H203="UNIDADE CONSTRUTIVA",OFFSET(A203,-1,0)+1,LARGE(A$3:A7,1))</f>
        <v>0</v>
      </c>
      <c r="B203" s="762">
        <f ca="1">IF(H203="UNIDADE CONSTRUTIVA",0,IF(H203="CÉLULA CONSTRUTIVA",OFFSET(B203,-1,0)+1,OFFSET(B203,-1,0)))</f>
        <v>1</v>
      </c>
      <c r="C203" s="762">
        <f ca="1">IF(H203="CÉLULA CONSTRUTIVA",0,IF(H203="ETAPA",OFFSET(C203,-1,0)+1,OFFSET(C203,-1,0)))</f>
        <v>0</v>
      </c>
      <c r="D203" s="763">
        <f ca="1">IF(H203="ETAPA",0,IF(H203="SUBETAPA",OFFSET(D203,-1,0)+1,OFFSET(D203,-1,0)))</f>
        <v>0</v>
      </c>
      <c r="E203" s="763">
        <f ca="1">IF(H203="Subetapa",0,IF(H203="serviço",OFFSET(E203,-1,0)+1,OFFSET(E203,-1,0)))</f>
        <v>0</v>
      </c>
      <c r="G203" s="628"/>
      <c r="H203" s="766" t="s">
        <v>365</v>
      </c>
      <c r="I203" s="629" t="str">
        <f t="shared" ref="I203:I254" ca="1" si="2">IF(H203="Unidade Construtiva",TEXT(A203,"00"),IF(H203="Célula Construtiva",TEXT(B203,"00"),IF(H203="Etapa",CONCATENATE(TEXT(B203,"00"),".",TEXT(C203,"000")),IF(H203="Subetapa",CONCATENATE(TEXT(B203,"00"),".",TEXT(C203,"000"),".",TEXT(D203,"000")),IF(H203="Serviço",CONCATENATE(TEXT(B203,"00"),".",TEXT(C203,"000"),".",TEXT(D203,"000"),".",TEXT(E203,"000")),"")))))</f>
        <v>01</v>
      </c>
      <c r="J203" s="654" t="s">
        <v>181</v>
      </c>
      <c r="K203" s="630"/>
      <c r="L203" s="631"/>
      <c r="M203" s="631"/>
      <c r="N203" s="646">
        <f>N204</f>
        <v>149821.11297981557</v>
      </c>
      <c r="O203" s="767"/>
      <c r="P203" s="632"/>
      <c r="R203" s="742"/>
      <c r="S203" s="742"/>
    </row>
    <row r="204" spans="1:19" s="761" customFormat="1" hidden="1" outlineLevel="1" collapsed="1" x14ac:dyDescent="0.2">
      <c r="A204" s="762">
        <f ca="1">IF($H204="UNIDADE CONSTRUTIVA",OFFSET(A204,-1,0)+1,LARGE(A$3:A203,1))</f>
        <v>1</v>
      </c>
      <c r="B204" s="762">
        <f ca="1">IF(H204="UNIDADE CONSTRUTIVA",0,IF(H204="CÉLULA CONSTRUTIVA",OFFSET(B204,-1,0)+1,OFFSET(B204,-1,0)))</f>
        <v>1</v>
      </c>
      <c r="C204" s="762">
        <f ca="1">IF(H204="CÉLULA CONSTRUTIVA",0,IF(H204="ETAPA",OFFSET(C204,-1,0)+1,OFFSET(C204,-1,0)))</f>
        <v>1</v>
      </c>
      <c r="D204" s="763">
        <f ca="1">IF(H204="ETAPA",0,IF(H204="SUBETAPA",OFFSET(D204,-1,0)+1,OFFSET(D204,-1,0)))</f>
        <v>0</v>
      </c>
      <c r="E204" s="763">
        <f ca="1">IF(H204="Subetapa",0,IF(H204="serviço",OFFSET(E204,-1,0)+1,OFFSET(E204,-1,0)))</f>
        <v>0</v>
      </c>
      <c r="G204" s="628"/>
      <c r="H204" s="766" t="s">
        <v>366</v>
      </c>
      <c r="I204" s="629" t="str">
        <f t="shared" ca="1" si="2"/>
        <v>01.001</v>
      </c>
      <c r="J204" s="654" t="s">
        <v>182</v>
      </c>
      <c r="K204" s="630"/>
      <c r="L204" s="631"/>
      <c r="M204" s="631"/>
      <c r="N204" s="646">
        <f>N205+N209+N211</f>
        <v>149821.11297981557</v>
      </c>
      <c r="O204" s="767"/>
      <c r="P204" s="632" t="s">
        <v>94</v>
      </c>
      <c r="R204" s="742"/>
      <c r="S204" s="742"/>
    </row>
    <row r="205" spans="1:19" s="761" customFormat="1" ht="22.5" hidden="1" outlineLevel="2" x14ac:dyDescent="0.2">
      <c r="A205" s="762">
        <f ca="1">IF($H205="UNIDADE CONSTRUTIVA",OFFSET(A205,-1,0)+1,LARGE(A$3:A204,1))</f>
        <v>1</v>
      </c>
      <c r="B205" s="762">
        <f t="shared" ref="B205:B253" ca="1" si="3">IF(H205="UNIDADE CONSTRUTIVA",0,IF(H205="CÉLULA CONSTRUTIVA",OFFSET(B205,-1,0)+1,OFFSET(B205,-1,0)))</f>
        <v>1</v>
      </c>
      <c r="C205" s="762">
        <f t="shared" ref="C205:C253" ca="1" si="4">IF(H205="CÉLULA CONSTRUTIVA",0,IF(H205="ETAPA",OFFSET(C205,-1,0)+1,OFFSET(C205,-1,0)))</f>
        <v>1</v>
      </c>
      <c r="D205" s="763">
        <f t="shared" ref="D205:D253" ca="1" si="5">IF(H205="ETAPA",0,IF(H205="SUBETAPA",OFFSET(D205,-1,0)+1,OFFSET(D205,-1,0)))</f>
        <v>1</v>
      </c>
      <c r="E205" s="763">
        <f t="shared" ref="E205:E253" ca="1" si="6">IF(H205="Subetapa",0,IF(H205="serviço",OFFSET(E205,-1,0)+1,OFFSET(E205,-1,0)))</f>
        <v>0</v>
      </c>
      <c r="G205" s="628"/>
      <c r="H205" s="766" t="s">
        <v>367</v>
      </c>
      <c r="I205" s="629" t="str">
        <f t="shared" ca="1" si="2"/>
        <v>01.001.001</v>
      </c>
      <c r="J205" s="654" t="s">
        <v>531</v>
      </c>
      <c r="K205" s="630"/>
      <c r="L205" s="631"/>
      <c r="M205" s="631"/>
      <c r="N205" s="646">
        <f>SUM(N206:N208)</f>
        <v>96009.555173615998</v>
      </c>
      <c r="O205" s="767"/>
      <c r="P205" s="632"/>
      <c r="R205" s="742"/>
      <c r="S205" s="742"/>
    </row>
    <row r="206" spans="1:19" s="761" customFormat="1" ht="22.5" hidden="1" outlineLevel="3" x14ac:dyDescent="0.2">
      <c r="A206" s="762">
        <f ca="1">IF($H206="UNIDADE CONSTRUTIVA",OFFSET(A206,-1,0)+1,LARGE(A$3:A205,1))</f>
        <v>1</v>
      </c>
      <c r="B206" s="762">
        <f t="shared" ca="1" si="3"/>
        <v>1</v>
      </c>
      <c r="C206" s="762">
        <f t="shared" ca="1" si="4"/>
        <v>1</v>
      </c>
      <c r="D206" s="763">
        <f t="shared" ca="1" si="5"/>
        <v>1</v>
      </c>
      <c r="E206" s="763">
        <f t="shared" ca="1" si="6"/>
        <v>1</v>
      </c>
      <c r="G206" s="628"/>
      <c r="H206" s="766" t="s">
        <v>368</v>
      </c>
      <c r="I206" s="629" t="str">
        <f t="shared" ca="1" si="2"/>
        <v>01.001.001.001</v>
      </c>
      <c r="J206" s="654" t="s">
        <v>532</v>
      </c>
      <c r="K206" s="630" t="s">
        <v>4</v>
      </c>
      <c r="L206" s="1229">
        <f>'Duto&amp;Cisterna'!N15+Blocos!L84+'Vigas Fundação'!H68+'Lajes Fundação'!K11+'Pilares enterrados'!J42</f>
        <v>2107.02386505</v>
      </c>
      <c r="M206" s="631">
        <f>VLOOKUP(J206,Preços!$C$7:$F$498,4,FALSE)</f>
        <v>37.44</v>
      </c>
      <c r="N206" s="646">
        <f>L206*M206</f>
        <v>78886.973507471994</v>
      </c>
      <c r="O206" s="767"/>
      <c r="P206" s="632" t="s">
        <v>333</v>
      </c>
      <c r="Q206" s="1224"/>
      <c r="R206" s="742"/>
      <c r="S206" s="742"/>
    </row>
    <row r="207" spans="1:19" s="761" customFormat="1" ht="22.5" hidden="1" outlineLevel="3" x14ac:dyDescent="0.2">
      <c r="A207" s="762">
        <f ca="1">IF($H207="UNIDADE CONSTRUTIVA",OFFSET(A207,-1,0)+1,LARGE(A$3:A206,1))</f>
        <v>1</v>
      </c>
      <c r="B207" s="762">
        <f t="shared" ca="1" si="3"/>
        <v>1</v>
      </c>
      <c r="C207" s="762">
        <f t="shared" ca="1" si="4"/>
        <v>1</v>
      </c>
      <c r="D207" s="763">
        <f t="shared" ca="1" si="5"/>
        <v>1</v>
      </c>
      <c r="E207" s="763">
        <f t="shared" ca="1" si="6"/>
        <v>2</v>
      </c>
      <c r="G207" s="628"/>
      <c r="H207" s="766" t="s">
        <v>368</v>
      </c>
      <c r="I207" s="629" t="str">
        <f t="shared" ca="1" si="2"/>
        <v>01.001.001.002</v>
      </c>
      <c r="J207" s="654" t="s">
        <v>533</v>
      </c>
      <c r="K207" s="630" t="s">
        <v>4</v>
      </c>
      <c r="L207" s="1229">
        <f>'Duto&amp;Cisterna'!O15+Blocos!N84+'Vigas Fundação'!J68+'Lajes Fundação'!L11+'Pilares enterrados'!K42</f>
        <v>1588.2899022500001</v>
      </c>
      <c r="M207" s="631">
        <f>VLOOKUP(J207,Preços!$C$7:$F$498,4,FALSE)</f>
        <v>8.64</v>
      </c>
      <c r="N207" s="646">
        <f>L207*M207</f>
        <v>13722.824755440002</v>
      </c>
      <c r="O207" s="767"/>
      <c r="P207" s="632" t="s">
        <v>333</v>
      </c>
      <c r="R207" s="742"/>
      <c r="S207" s="742"/>
    </row>
    <row r="208" spans="1:19" s="761" customFormat="1" ht="22.5" hidden="1" outlineLevel="3" x14ac:dyDescent="0.2">
      <c r="A208" s="762">
        <f ca="1">IF($H208="UNIDADE CONSTRUTIVA",OFFSET(A208,-1,0)+1,LARGE(A$3:A207,1))</f>
        <v>1</v>
      </c>
      <c r="B208" s="762">
        <f t="shared" ca="1" si="3"/>
        <v>1</v>
      </c>
      <c r="C208" s="762">
        <f t="shared" ca="1" si="4"/>
        <v>1</v>
      </c>
      <c r="D208" s="763">
        <f t="shared" ca="1" si="5"/>
        <v>1</v>
      </c>
      <c r="E208" s="763">
        <f t="shared" ca="1" si="6"/>
        <v>3</v>
      </c>
      <c r="G208" s="628"/>
      <c r="H208" s="766" t="s">
        <v>368</v>
      </c>
      <c r="I208" s="629" t="str">
        <f t="shared" ca="1" si="2"/>
        <v>01.001.001.003</v>
      </c>
      <c r="J208" s="654" t="s">
        <v>534</v>
      </c>
      <c r="K208" s="630" t="s">
        <v>4</v>
      </c>
      <c r="L208" s="1229">
        <f>Blocos!P34+Blocos!P58+'Vigas Fundação'!L68+'Duto&amp;Cisterna'!R15+'Lajes Fundação'!O11</f>
        <v>17.193413999999997</v>
      </c>
      <c r="M208" s="631">
        <f>VLOOKUP(J208,Preços!$C$7:$F$498,4,FALSE)</f>
        <v>197.73599999999999</v>
      </c>
      <c r="N208" s="646">
        <f>L208*M208</f>
        <v>3399.7569107039994</v>
      </c>
      <c r="O208" s="767"/>
      <c r="P208" s="632" t="s">
        <v>333</v>
      </c>
      <c r="R208" s="742"/>
      <c r="S208" s="742"/>
    </row>
    <row r="209" spans="1:19" s="761" customFormat="1" hidden="1" outlineLevel="2" collapsed="1" x14ac:dyDescent="0.2">
      <c r="A209" s="762">
        <f ca="1">IF($H209="UNIDADE CONSTRUTIVA",OFFSET(A209,-1,0)+1,LARGE(A$3:A208,1))</f>
        <v>1</v>
      </c>
      <c r="B209" s="762">
        <f t="shared" ca="1" si="3"/>
        <v>1</v>
      </c>
      <c r="C209" s="762">
        <f t="shared" ca="1" si="4"/>
        <v>1</v>
      </c>
      <c r="D209" s="763">
        <f t="shared" ca="1" si="5"/>
        <v>2</v>
      </c>
      <c r="E209" s="763">
        <f t="shared" ca="1" si="6"/>
        <v>0</v>
      </c>
      <c r="G209" s="628"/>
      <c r="H209" s="766" t="s">
        <v>367</v>
      </c>
      <c r="I209" s="629" t="str">
        <f t="shared" ca="1" si="2"/>
        <v>01.001.002</v>
      </c>
      <c r="J209" s="654" t="s">
        <v>535</v>
      </c>
      <c r="K209" s="630"/>
      <c r="L209" s="1229"/>
      <c r="M209" s="631"/>
      <c r="N209" s="646">
        <f>N210</f>
        <v>16011.557806199571</v>
      </c>
      <c r="O209" s="767"/>
      <c r="P209" s="632"/>
      <c r="R209" s="742"/>
      <c r="S209" s="742"/>
    </row>
    <row r="210" spans="1:19" s="761" customFormat="1" ht="22.5" hidden="1" outlineLevel="3" x14ac:dyDescent="0.2">
      <c r="A210" s="762">
        <f ca="1">IF($H210="UNIDADE CONSTRUTIVA",OFFSET(A210,-1,0)+1,LARGE(A$3:A209,1))</f>
        <v>1</v>
      </c>
      <c r="B210" s="762">
        <f t="shared" ca="1" si="3"/>
        <v>1</v>
      </c>
      <c r="C210" s="762">
        <f t="shared" ca="1" si="4"/>
        <v>1</v>
      </c>
      <c r="D210" s="763">
        <f t="shared" ca="1" si="5"/>
        <v>2</v>
      </c>
      <c r="E210" s="763">
        <f t="shared" ca="1" si="6"/>
        <v>1</v>
      </c>
      <c r="G210" s="628"/>
      <c r="H210" s="766" t="s">
        <v>368</v>
      </c>
      <c r="I210" s="629" t="str">
        <f t="shared" ca="1" si="2"/>
        <v>01.001.002.001</v>
      </c>
      <c r="J210" s="654" t="s">
        <v>335</v>
      </c>
      <c r="K210" s="630" t="s">
        <v>4</v>
      </c>
      <c r="L210" s="1229">
        <f>'Duto&amp;Cisterna'!P15+Blocos!O58+'Vigas Fundação'!K68+'Lajes Fundação'!M11</f>
        <v>320.41763918999999</v>
      </c>
      <c r="M210" s="631">
        <f>VLOOKUP(J210,Preços!$C$7:$F$498,4,FALSE)</f>
        <v>49.9709</v>
      </c>
      <c r="N210" s="646">
        <f>L210*M210</f>
        <v>16011.557806199571</v>
      </c>
      <c r="O210" s="767"/>
      <c r="P210" s="632" t="s">
        <v>333</v>
      </c>
      <c r="R210" s="742"/>
      <c r="S210" s="742"/>
    </row>
    <row r="211" spans="1:19" s="761" customFormat="1" hidden="1" outlineLevel="2" collapsed="1" x14ac:dyDescent="0.2">
      <c r="A211" s="762">
        <f ca="1">IF($H211="UNIDADE CONSTRUTIVA",OFFSET(A211,-1,0)+1,LARGE(A$3:A210,1))</f>
        <v>1</v>
      </c>
      <c r="B211" s="762">
        <f t="shared" ca="1" si="3"/>
        <v>1</v>
      </c>
      <c r="C211" s="762">
        <f t="shared" ca="1" si="4"/>
        <v>1</v>
      </c>
      <c r="D211" s="763">
        <f t="shared" ca="1" si="5"/>
        <v>3</v>
      </c>
      <c r="E211" s="763">
        <f t="shared" ca="1" si="6"/>
        <v>0</v>
      </c>
      <c r="G211" s="628"/>
      <c r="H211" s="766" t="s">
        <v>367</v>
      </c>
      <c r="I211" s="629" t="str">
        <f t="shared" ca="1" si="2"/>
        <v>01.001.003</v>
      </c>
      <c r="J211" s="654" t="s">
        <v>536</v>
      </c>
      <c r="K211" s="630"/>
      <c r="L211" s="631"/>
      <c r="M211" s="631"/>
      <c r="N211" s="646">
        <f>SUM(N212:N213)</f>
        <v>37800</v>
      </c>
      <c r="O211" s="767"/>
      <c r="P211" s="632"/>
      <c r="R211" s="742"/>
      <c r="S211" s="742"/>
    </row>
    <row r="212" spans="1:19" s="761" customFormat="1" ht="22.5" hidden="1" outlineLevel="3" x14ac:dyDescent="0.2">
      <c r="A212" s="762">
        <f ca="1">IF($H212="UNIDADE CONSTRUTIVA",OFFSET(A212,-1,0)+1,LARGE(A$3:A211,1))</f>
        <v>1</v>
      </c>
      <c r="B212" s="762">
        <f t="shared" ca="1" si="3"/>
        <v>1</v>
      </c>
      <c r="C212" s="762">
        <f t="shared" ca="1" si="4"/>
        <v>1</v>
      </c>
      <c r="D212" s="763">
        <f t="shared" ca="1" si="5"/>
        <v>3</v>
      </c>
      <c r="E212" s="763">
        <f t="shared" ca="1" si="6"/>
        <v>1</v>
      </c>
      <c r="G212" s="628"/>
      <c r="H212" s="766" t="s">
        <v>368</v>
      </c>
      <c r="I212" s="629" t="str">
        <f t="shared" ca="1" si="2"/>
        <v>01.001.003.001</v>
      </c>
      <c r="J212" s="654" t="s">
        <v>536</v>
      </c>
      <c r="K212" s="630" t="s">
        <v>250</v>
      </c>
      <c r="L212" s="631">
        <v>1</v>
      </c>
      <c r="M212" s="631">
        <f>VLOOKUP(J212,Preços!$C$7:$F$498,4,FALSE)</f>
        <v>31800</v>
      </c>
      <c r="N212" s="646">
        <f>L212*M212</f>
        <v>31800</v>
      </c>
      <c r="O212" s="767"/>
      <c r="P212" s="632" t="s">
        <v>333</v>
      </c>
      <c r="R212" s="742"/>
      <c r="S212" s="742"/>
    </row>
    <row r="213" spans="1:19" s="761" customFormat="1" ht="22.5" hidden="1" outlineLevel="3" x14ac:dyDescent="0.2">
      <c r="A213" s="762">
        <f ca="1">IF($H213="UNIDADE CONSTRUTIVA",OFFSET(A213,-1,0)+1,LARGE(A$3:A212,1))</f>
        <v>1</v>
      </c>
      <c r="B213" s="762">
        <f ca="1">IF(H213="UNIDADE CONSTRUTIVA",0,IF(H213="CÉLULA CONSTRUTIVA",OFFSET(B213,-1,0)+1,OFFSET(B213,-1,0)))</f>
        <v>1</v>
      </c>
      <c r="C213" s="762">
        <f ca="1">IF(H213="CÉLULA CONSTRUTIVA",0,IF(H213="ETAPA",OFFSET(C213,-1,0)+1,OFFSET(C213,-1,0)))</f>
        <v>1</v>
      </c>
      <c r="D213" s="763">
        <f ca="1">IF(H213="ETAPA",0,IF(H213="SUBETAPA",OFFSET(D213,-1,0)+1,OFFSET(D213,-1,0)))</f>
        <v>3</v>
      </c>
      <c r="E213" s="763">
        <f ca="1">IF(H213="Subetapa",0,IF(H213="serviço",OFFSET(E213,-1,0)+1,OFFSET(E213,-1,0)))</f>
        <v>2</v>
      </c>
      <c r="G213" s="628"/>
      <c r="H213" s="766" t="s">
        <v>368</v>
      </c>
      <c r="I213" s="629" t="str">
        <f ca="1">IF(H213="Unidade Construtiva",TEXT(A213,"00"),IF(H213="Célula Construtiva",TEXT(B213,"00"),IF(H213="Etapa",CONCATENATE(TEXT(B213,"00"),".",TEXT(C213,"000")),IF(H213="Subetapa",CONCATENATE(TEXT(B213,"00"),".",TEXT(C213,"000"),".",TEXT(D213,"000")),IF(H213="Serviço",CONCATENATE(TEXT(B213,"00"),".",TEXT(C213,"000"),".",TEXT(D213,"000"),".",TEXT(E213,"000")),"")))))</f>
        <v>01.001.003.002</v>
      </c>
      <c r="J213" s="654" t="s">
        <v>537</v>
      </c>
      <c r="K213" s="630" t="s">
        <v>87</v>
      </c>
      <c r="L213" s="631">
        <v>1</v>
      </c>
      <c r="M213" s="631">
        <f>VLOOKUP(J213,Preços!$C$7:$F$498,4,FALSE)</f>
        <v>6000</v>
      </c>
      <c r="N213" s="646">
        <f>L213*M213</f>
        <v>6000</v>
      </c>
      <c r="O213" s="767"/>
      <c r="P213" s="632" t="s">
        <v>333</v>
      </c>
      <c r="R213" s="742"/>
      <c r="S213" s="742"/>
    </row>
    <row r="214" spans="1:19" s="761" customFormat="1" collapsed="1" x14ac:dyDescent="0.2">
      <c r="A214" s="762" t="e">
        <f ca="1">IF($H214="UNIDADE CONSTRUTIVA",OFFSET(A214,-1,0)+1,LARGE(A$3:A226,1))</f>
        <v>#NUM!</v>
      </c>
      <c r="B214" s="762">
        <f ca="1">IF(H214="UNIDADE CONSTRUTIVA",0,IF(H214="CÉLULA CONSTRUTIVA",OFFSET(B214,-1,0)+1,OFFSET(B214,-1,0)))</f>
        <v>2</v>
      </c>
      <c r="C214" s="762">
        <f ca="1">IF(H214="CÉLULA CONSTRUTIVA",0,IF(H214="ETAPA",OFFSET(C214,-1,0)+1,OFFSET(C214,-1,0)))</f>
        <v>0</v>
      </c>
      <c r="D214" s="763">
        <f ca="1">IF(H214="ETAPA",0,IF(H214="SUBETAPA",OFFSET(D214,-1,0)+1,OFFSET(D214,-1,0)))</f>
        <v>3</v>
      </c>
      <c r="E214" s="763">
        <f ca="1">IF(H214="Subetapa",0,IF(H214="serviço",OFFSET(E214,-1,0)+1,OFFSET(E214,-1,0)))</f>
        <v>2</v>
      </c>
      <c r="G214" s="628"/>
      <c r="H214" s="766" t="s">
        <v>365</v>
      </c>
      <c r="I214" s="629" t="str">
        <f ca="1">IF(H214="Unidade Construtiva",TEXT(A214,"00"),IF(H214="Célula Construtiva",TEXT(B214,"00"),IF(H214="Etapa",CONCATENATE(TEXT(B214,"00"),".",TEXT(C214,"000")),IF(H214="Subetapa",CONCATENATE(TEXT(B214,"00"),".",TEXT(C214,"000"),".",TEXT(D214,"000")),IF(H214="Serviço",CONCATENATE(TEXT(B214,"00"),".",TEXT(C214,"000"),".",TEXT(D214,"000"),".",TEXT(E214,"000")),"")))))</f>
        <v>02</v>
      </c>
      <c r="J214" s="654" t="s">
        <v>183</v>
      </c>
      <c r="K214" s="630"/>
      <c r="L214" s="631"/>
      <c r="M214" s="631"/>
      <c r="N214" s="646">
        <f>N215+N218+N227+N238</f>
        <v>2033142.1602675607</v>
      </c>
      <c r="O214" s="767"/>
      <c r="P214" s="632"/>
      <c r="R214" s="742"/>
      <c r="S214" s="742"/>
    </row>
    <row r="215" spans="1:19" s="761" customFormat="1" hidden="1" outlineLevel="1" collapsed="1" x14ac:dyDescent="0.2">
      <c r="A215" s="762" t="e">
        <f ca="1">IF($H215="UNIDADE CONSTRUTIVA",OFFSET(A215,-1,0)+1,LARGE(A$3:A214,1))</f>
        <v>#NUM!</v>
      </c>
      <c r="B215" s="762">
        <f t="shared" ca="1" si="3"/>
        <v>2</v>
      </c>
      <c r="C215" s="762">
        <f t="shared" ca="1" si="4"/>
        <v>1</v>
      </c>
      <c r="D215" s="763">
        <f t="shared" ca="1" si="5"/>
        <v>0</v>
      </c>
      <c r="E215" s="763">
        <f t="shared" ca="1" si="6"/>
        <v>2</v>
      </c>
      <c r="G215" s="628"/>
      <c r="H215" s="766" t="s">
        <v>366</v>
      </c>
      <c r="I215" s="629" t="str">
        <f t="shared" ca="1" si="2"/>
        <v>02.001</v>
      </c>
      <c r="J215" s="654" t="s">
        <v>538</v>
      </c>
      <c r="K215" s="630"/>
      <c r="L215" s="631"/>
      <c r="M215" s="631"/>
      <c r="N215" s="646">
        <f>N216</f>
        <v>9186.5931760000003</v>
      </c>
      <c r="O215" s="767"/>
      <c r="P215" s="632"/>
      <c r="R215" s="742"/>
      <c r="S215" s="742"/>
    </row>
    <row r="216" spans="1:19" s="761" customFormat="1" hidden="1" outlineLevel="2" x14ac:dyDescent="0.2">
      <c r="A216" s="762" t="e">
        <f ca="1">IF($H216="UNIDADE CONSTRUTIVA",OFFSET(A216,-1,0)+1,LARGE(A$3:A215,1))</f>
        <v>#NUM!</v>
      </c>
      <c r="B216" s="762">
        <f t="shared" ca="1" si="3"/>
        <v>2</v>
      </c>
      <c r="C216" s="762">
        <f t="shared" ca="1" si="4"/>
        <v>1</v>
      </c>
      <c r="D216" s="763">
        <f t="shared" ca="1" si="5"/>
        <v>1</v>
      </c>
      <c r="E216" s="763">
        <f t="shared" ca="1" si="6"/>
        <v>0</v>
      </c>
      <c r="G216" s="628"/>
      <c r="H216" s="766" t="s">
        <v>367</v>
      </c>
      <c r="I216" s="629" t="str">
        <f t="shared" ca="1" si="2"/>
        <v>02.001.001</v>
      </c>
      <c r="J216" s="654" t="s">
        <v>539</v>
      </c>
      <c r="K216" s="630"/>
      <c r="L216" s="631"/>
      <c r="M216" s="631"/>
      <c r="N216" s="646">
        <f>N217</f>
        <v>9186.5931760000003</v>
      </c>
      <c r="O216" s="767"/>
      <c r="P216" s="632"/>
      <c r="R216" s="742"/>
      <c r="S216" s="742"/>
    </row>
    <row r="217" spans="1:19" s="761" customFormat="1" ht="22.5" hidden="1" outlineLevel="3" x14ac:dyDescent="0.2">
      <c r="A217" s="762" t="e">
        <f ca="1">IF($H217="UNIDADE CONSTRUTIVA",OFFSET(A217,-1,0)+1,LARGE(A$3:A216,1))</f>
        <v>#NUM!</v>
      </c>
      <c r="B217" s="762">
        <f t="shared" ca="1" si="3"/>
        <v>2</v>
      </c>
      <c r="C217" s="762">
        <f t="shared" ca="1" si="4"/>
        <v>1</v>
      </c>
      <c r="D217" s="763">
        <f t="shared" ca="1" si="5"/>
        <v>1</v>
      </c>
      <c r="E217" s="763">
        <f t="shared" ca="1" si="6"/>
        <v>1</v>
      </c>
      <c r="G217" s="628"/>
      <c r="H217" s="766" t="s">
        <v>368</v>
      </c>
      <c r="I217" s="629" t="str">
        <f t="shared" ca="1" si="2"/>
        <v>02.001.001.001</v>
      </c>
      <c r="J217" s="654" t="s">
        <v>942</v>
      </c>
      <c r="K217" s="630" t="s">
        <v>1</v>
      </c>
      <c r="L217" s="1229">
        <v>102.22</v>
      </c>
      <c r="M217" s="631">
        <f>VLOOKUP(J217,Preços!$C$7:$F$498,4,FALSE)</f>
        <v>89.870800000000003</v>
      </c>
      <c r="N217" s="646">
        <f>L217*M217</f>
        <v>9186.5931760000003</v>
      </c>
      <c r="O217" s="767"/>
      <c r="P217" s="632" t="s">
        <v>333</v>
      </c>
      <c r="R217" s="742"/>
      <c r="S217" s="742"/>
    </row>
    <row r="218" spans="1:19" s="761" customFormat="1" hidden="1" outlineLevel="1" collapsed="1" x14ac:dyDescent="0.2">
      <c r="A218" s="762" t="e">
        <f ca="1">IF($H218="UNIDADE CONSTRUTIVA",OFFSET(A218,-1,0)+1,LARGE(A$3:A217,1))</f>
        <v>#NUM!</v>
      </c>
      <c r="B218" s="762">
        <f ca="1">IF(H218="UNIDADE CONSTRUTIVA",0,IF(H218="CÉLULA CONSTRUTIVA",OFFSET(B218,-1,0)+1,OFFSET(B218,-1,0)))</f>
        <v>2</v>
      </c>
      <c r="C218" s="762">
        <f ca="1">IF(H218="CÉLULA CONSTRUTIVA",0,IF(H218="ETAPA",OFFSET(C218,-1,0)+1,OFFSET(C218,-1,0)))</f>
        <v>2</v>
      </c>
      <c r="D218" s="763">
        <f ca="1">IF(H218="ETAPA",0,IF(H218="SUBETAPA",OFFSET(D218,-1,0)+1,OFFSET(D218,-1,0)))</f>
        <v>0</v>
      </c>
      <c r="E218" s="763">
        <f ca="1">IF(H218="Subetapa",0,IF(H218="serviço",OFFSET(E218,-1,0)+1,OFFSET(E218,-1,0)))</f>
        <v>1</v>
      </c>
      <c r="G218" s="628"/>
      <c r="H218" s="766" t="s">
        <v>366</v>
      </c>
      <c r="I218" s="629" t="str">
        <f ca="1">IF(H218="Unidade Construtiva",TEXT(A218,"00"),IF(H218="Célula Construtiva",TEXT(B218,"00"),IF(H218="Etapa",CONCATENATE(TEXT(B218,"00"),".",TEXT(C218,"000")),IF(H218="Subetapa",CONCATENATE(TEXT(B218,"00"),".",TEXT(C218,"000"),".",TEXT(D218,"000")),IF(H218="Serviço",CONCATENATE(TEXT(B218,"00"),".",TEXT(C218,"000"),".",TEXT(D218,"000"),".",TEXT(E218,"000")),"")))))</f>
        <v>02.002</v>
      </c>
      <c r="J218" s="654" t="s">
        <v>544</v>
      </c>
      <c r="K218" s="630"/>
      <c r="L218" s="1229"/>
      <c r="M218" s="631"/>
      <c r="N218" s="646">
        <f>N219+N221+N225</f>
        <v>86055.508458215001</v>
      </c>
      <c r="O218" s="767"/>
      <c r="P218" s="632"/>
      <c r="R218" s="742"/>
      <c r="S218" s="742"/>
    </row>
    <row r="219" spans="1:19" s="761" customFormat="1" hidden="1" outlineLevel="2" x14ac:dyDescent="0.2">
      <c r="A219" s="762" t="e">
        <f ca="1">IF($H219="UNIDADE CONSTRUTIVA",OFFSET(A219,-1,0)+1,LARGE(A$3:A218,1))</f>
        <v>#NUM!</v>
      </c>
      <c r="B219" s="762">
        <f ca="1">IF(H219="UNIDADE CONSTRUTIVA",0,IF(H219="CÉLULA CONSTRUTIVA",OFFSET(B219,-1,0)+1,OFFSET(B219,-1,0)))</f>
        <v>2</v>
      </c>
      <c r="C219" s="762">
        <f ca="1">IF(H219="CÉLULA CONSTRUTIVA",0,IF(H219="ETAPA",OFFSET(C219,-1,0)+1,OFFSET(C219,-1,0)))</f>
        <v>2</v>
      </c>
      <c r="D219" s="763">
        <f ca="1">IF(H219="ETAPA",0,IF(H219="SUBETAPA",OFFSET(D219,-1,0)+1,OFFSET(D219,-1,0)))</f>
        <v>1</v>
      </c>
      <c r="E219" s="763">
        <f ca="1">IF(H219="Subetapa",0,IF(H219="serviço",OFFSET(E219,-1,0)+1,OFFSET(E219,-1,0)))</f>
        <v>0</v>
      </c>
      <c r="G219" s="628"/>
      <c r="H219" s="766" t="s">
        <v>367</v>
      </c>
      <c r="I219" s="629" t="str">
        <f ca="1">IF(H219="Unidade Construtiva",TEXT(A219,"00"),IF(H219="Célula Construtiva",TEXT(B219,"00"),IF(H219="Etapa",CONCATENATE(TEXT(B219,"00"),".",TEXT(C219,"000")),IF(H219="Subetapa",CONCATENATE(TEXT(B219,"00"),".",TEXT(C219,"000"),".",TEXT(D219,"000")),IF(H219="Serviço",CONCATENATE(TEXT(B219,"00"),".",TEXT(C219,"000"),".",TEXT(D219,"000"),".",TEXT(E219,"000")),"")))))</f>
        <v>02.002.001</v>
      </c>
      <c r="J219" s="654" t="s">
        <v>187</v>
      </c>
      <c r="K219" s="630"/>
      <c r="L219" s="1229"/>
      <c r="M219" s="631"/>
      <c r="N219" s="646">
        <f>N220</f>
        <v>31571.732706214996</v>
      </c>
      <c r="O219" s="767"/>
      <c r="P219" s="632"/>
      <c r="R219" s="742"/>
      <c r="S219" s="742"/>
    </row>
    <row r="220" spans="1:19" s="761" customFormat="1" ht="22.5" hidden="1" outlineLevel="3" x14ac:dyDescent="0.2">
      <c r="A220" s="762" t="e">
        <f ca="1">IF($H220="UNIDADE CONSTRUTIVA",OFFSET(A220,-1,0)+1,LARGE(A$3:A219,1))</f>
        <v>#NUM!</v>
      </c>
      <c r="B220" s="762">
        <f ca="1">IF(H220="UNIDADE CONSTRUTIVA",0,IF(H220="CÉLULA CONSTRUTIVA",OFFSET(B220,-1,0)+1,OFFSET(B220,-1,0)))</f>
        <v>2</v>
      </c>
      <c r="C220" s="762">
        <f ca="1">IF(H220="CÉLULA CONSTRUTIVA",0,IF(H220="ETAPA",OFFSET(C220,-1,0)+1,OFFSET(C220,-1,0)))</f>
        <v>2</v>
      </c>
      <c r="D220" s="763">
        <f ca="1">IF(H220="ETAPA",0,IF(H220="SUBETAPA",OFFSET(D220,-1,0)+1,OFFSET(D220,-1,0)))</f>
        <v>1</v>
      </c>
      <c r="E220" s="763">
        <f ca="1">IF(H220="Subetapa",0,IF(H220="serviço",OFFSET(E220,-1,0)+1,OFFSET(E220,-1,0)))</f>
        <v>1</v>
      </c>
      <c r="G220" s="628"/>
      <c r="H220" s="766" t="s">
        <v>368</v>
      </c>
      <c r="I220" s="629" t="str">
        <f ca="1">IF(H220="Unidade Construtiva",TEXT(A220,"00"),IF(H220="Célula Construtiva",TEXT(B220,"00"),IF(H220="Etapa",CONCATENATE(TEXT(B220,"00"),".",TEXT(C220,"000")),IF(H220="Subetapa",CONCATENATE(TEXT(B220,"00"),".",TEXT(C220,"000"),".",TEXT(D220,"000")),IF(H220="Serviço",CONCATENATE(TEXT(B220,"00"),".",TEXT(C220,"000"),".",TEXT(D220,"000"),".",TEXT(E220,"000")),"")))))</f>
        <v>02.002.001.001</v>
      </c>
      <c r="J220" s="654" t="s">
        <v>545</v>
      </c>
      <c r="K220" s="630" t="s">
        <v>1</v>
      </c>
      <c r="L220" s="1229">
        <f>'Duto&amp;Cisterna'!L15</f>
        <v>383.94934999999998</v>
      </c>
      <c r="M220" s="631">
        <f>VLOOKUP(J220,Preços!$C$7:$F$498,4,FALSE)</f>
        <v>82.228899999999996</v>
      </c>
      <c r="N220" s="646">
        <f>L220*M220</f>
        <v>31571.732706214996</v>
      </c>
      <c r="O220" s="767"/>
      <c r="P220" s="632" t="s">
        <v>333</v>
      </c>
      <c r="R220" s="742"/>
      <c r="S220" s="742"/>
    </row>
    <row r="221" spans="1:19" s="761" customFormat="1" hidden="1" outlineLevel="2" x14ac:dyDescent="0.2">
      <c r="A221" s="762" t="e">
        <f ca="1">IF($H221="UNIDADE CONSTRUTIVA",OFFSET(A221,-1,0)+1,LARGE(A$3:A217,1))</f>
        <v>#NUM!</v>
      </c>
      <c r="B221" s="762">
        <f t="shared" ca="1" si="3"/>
        <v>2</v>
      </c>
      <c r="C221" s="762">
        <f t="shared" ca="1" si="4"/>
        <v>2</v>
      </c>
      <c r="D221" s="763">
        <f t="shared" ca="1" si="5"/>
        <v>2</v>
      </c>
      <c r="E221" s="763">
        <f t="shared" ca="1" si="6"/>
        <v>0</v>
      </c>
      <c r="G221" s="628"/>
      <c r="H221" s="766" t="s">
        <v>367</v>
      </c>
      <c r="I221" s="629" t="str">
        <f t="shared" ca="1" si="2"/>
        <v>02.002.002</v>
      </c>
      <c r="J221" s="654" t="s">
        <v>185</v>
      </c>
      <c r="K221" s="630"/>
      <c r="L221" s="1229"/>
      <c r="M221" s="631"/>
      <c r="N221" s="646">
        <f>SUM(N222:N224)</f>
        <v>23611.545000000002</v>
      </c>
      <c r="O221" s="767"/>
      <c r="P221" s="632"/>
      <c r="R221" s="742"/>
      <c r="S221" s="742"/>
    </row>
    <row r="222" spans="1:19" s="761" customFormat="1" ht="22.5" hidden="1" outlineLevel="3" x14ac:dyDescent="0.2">
      <c r="A222" s="762" t="e">
        <f ca="1">IF($H222="UNIDADE CONSTRUTIVA",OFFSET(A222,-1,0)+1,LARGE(A$3:A221,1))</f>
        <v>#NUM!</v>
      </c>
      <c r="B222" s="762">
        <f t="shared" ca="1" si="3"/>
        <v>2</v>
      </c>
      <c r="C222" s="762">
        <f t="shared" ca="1" si="4"/>
        <v>2</v>
      </c>
      <c r="D222" s="763">
        <f t="shared" ca="1" si="5"/>
        <v>2</v>
      </c>
      <c r="E222" s="763">
        <f t="shared" ca="1" si="6"/>
        <v>1</v>
      </c>
      <c r="G222" s="628"/>
      <c r="H222" s="766" t="s">
        <v>368</v>
      </c>
      <c r="I222" s="629" t="str">
        <f t="shared" ca="1" si="2"/>
        <v>02.002.002.001</v>
      </c>
      <c r="J222" s="654" t="s">
        <v>938</v>
      </c>
      <c r="K222" s="630" t="s">
        <v>5</v>
      </c>
      <c r="L222" s="1229">
        <f>'Arm. Fund. Dir'!E14</f>
        <v>2140</v>
      </c>
      <c r="M222" s="631">
        <f>VLOOKUP(J222,Preços!$C$7:$F$498,4,FALSE)</f>
        <v>7.2195</v>
      </c>
      <c r="N222" s="646">
        <f>L222*M222</f>
        <v>15449.73</v>
      </c>
      <c r="O222" s="767"/>
      <c r="P222" s="632" t="s">
        <v>333</v>
      </c>
      <c r="R222" s="742"/>
      <c r="S222" s="742"/>
    </row>
    <row r="223" spans="1:19" s="761" customFormat="1" ht="22.5" hidden="1" outlineLevel="3" x14ac:dyDescent="0.2">
      <c r="A223" s="762" t="e">
        <f ca="1">IF($H223="UNIDADE CONSTRUTIVA",OFFSET(A223,-1,0)+1,LARGE(A$3:A222,1))</f>
        <v>#NUM!</v>
      </c>
      <c r="B223" s="762">
        <f t="shared" ca="1" si="3"/>
        <v>2</v>
      </c>
      <c r="C223" s="762">
        <f t="shared" ca="1" si="4"/>
        <v>2</v>
      </c>
      <c r="D223" s="763">
        <f t="shared" ca="1" si="5"/>
        <v>2</v>
      </c>
      <c r="E223" s="763">
        <f t="shared" ca="1" si="6"/>
        <v>2</v>
      </c>
      <c r="G223" s="628"/>
      <c r="H223" s="766" t="s">
        <v>368</v>
      </c>
      <c r="I223" s="629" t="str">
        <f t="shared" ca="1" si="2"/>
        <v>02.002.002.002</v>
      </c>
      <c r="J223" s="654" t="s">
        <v>939</v>
      </c>
      <c r="K223" s="630" t="s">
        <v>5</v>
      </c>
      <c r="L223" s="1229">
        <f>'Arm. Fund. Dir'!F14</f>
        <v>600</v>
      </c>
      <c r="M223" s="631">
        <f>VLOOKUP(J223,Preços!$C$7:$F$498,4,FALSE)</f>
        <v>7.0294999999999996</v>
      </c>
      <c r="N223" s="646">
        <f>L223*M223</f>
        <v>4217.7</v>
      </c>
      <c r="O223" s="767"/>
      <c r="P223" s="632" t="s">
        <v>333</v>
      </c>
      <c r="R223" s="742"/>
      <c r="S223" s="742"/>
    </row>
    <row r="224" spans="1:19" s="761" customFormat="1" ht="22.5" hidden="1" outlineLevel="3" x14ac:dyDescent="0.2">
      <c r="A224" s="762" t="e">
        <f ca="1">IF($H224="UNIDADE CONSTRUTIVA",OFFSET(A224,-1,0)+1,LARGE(A$3:A223,1))</f>
        <v>#NUM!</v>
      </c>
      <c r="B224" s="762">
        <f t="shared" ca="1" si="3"/>
        <v>2</v>
      </c>
      <c r="C224" s="762">
        <f t="shared" ca="1" si="4"/>
        <v>2</v>
      </c>
      <c r="D224" s="763">
        <f t="shared" ca="1" si="5"/>
        <v>2</v>
      </c>
      <c r="E224" s="763">
        <f t="shared" ca="1" si="6"/>
        <v>3</v>
      </c>
      <c r="G224" s="628"/>
      <c r="H224" s="766" t="s">
        <v>368</v>
      </c>
      <c r="I224" s="629" t="str">
        <f t="shared" ca="1" si="2"/>
        <v>02.002.002.003</v>
      </c>
      <c r="J224" s="654" t="s">
        <v>943</v>
      </c>
      <c r="K224" s="630" t="s">
        <v>5</v>
      </c>
      <c r="L224" s="1229">
        <f>'Arm. Fund. Dir'!G14</f>
        <v>570</v>
      </c>
      <c r="M224" s="631">
        <f>VLOOKUP(J224,Preços!$C$7:$F$498,4,FALSE)</f>
        <v>6.9195000000000002</v>
      </c>
      <c r="N224" s="646">
        <f>L224*M224</f>
        <v>3944.1150000000002</v>
      </c>
      <c r="O224" s="767"/>
      <c r="P224" s="632" t="s">
        <v>333</v>
      </c>
      <c r="R224" s="742"/>
      <c r="S224" s="742"/>
    </row>
    <row r="225" spans="1:19" s="761" customFormat="1" hidden="1" outlineLevel="2" x14ac:dyDescent="0.2">
      <c r="A225" s="762" t="e">
        <f ca="1">IF($H225="UNIDADE CONSTRUTIVA",OFFSET(A225,-1,0)+1,LARGE(A$3:A224,1))</f>
        <v>#NUM!</v>
      </c>
      <c r="B225" s="762">
        <f t="shared" ca="1" si="3"/>
        <v>2</v>
      </c>
      <c r="C225" s="762">
        <f t="shared" ca="1" si="4"/>
        <v>2</v>
      </c>
      <c r="D225" s="763">
        <f t="shared" ca="1" si="5"/>
        <v>3</v>
      </c>
      <c r="E225" s="763">
        <f t="shared" ca="1" si="6"/>
        <v>0</v>
      </c>
      <c r="G225" s="628"/>
      <c r="H225" s="766" t="s">
        <v>367</v>
      </c>
      <c r="I225" s="629" t="str">
        <f t="shared" ca="1" si="2"/>
        <v>02.002.003</v>
      </c>
      <c r="J225" s="654" t="s">
        <v>142</v>
      </c>
      <c r="K225" s="630"/>
      <c r="L225" s="1229"/>
      <c r="M225" s="631"/>
      <c r="N225" s="646">
        <f>N226</f>
        <v>30872.230751999999</v>
      </c>
      <c r="O225" s="767"/>
      <c r="P225" s="632"/>
      <c r="R225" s="742"/>
      <c r="S225" s="742"/>
    </row>
    <row r="226" spans="1:19" s="761" customFormat="1" ht="33.75" hidden="1" outlineLevel="3" x14ac:dyDescent="0.2">
      <c r="A226" s="762" t="e">
        <f ca="1">IF($H226="UNIDADE CONSTRUTIVA",OFFSET(A226,-1,0)+1,LARGE(A$3:A225,1))</f>
        <v>#NUM!</v>
      </c>
      <c r="B226" s="762">
        <f t="shared" ca="1" si="3"/>
        <v>2</v>
      </c>
      <c r="C226" s="762">
        <f t="shared" ca="1" si="4"/>
        <v>2</v>
      </c>
      <c r="D226" s="763">
        <f t="shared" ca="1" si="5"/>
        <v>3</v>
      </c>
      <c r="E226" s="763">
        <f t="shared" ca="1" si="6"/>
        <v>1</v>
      </c>
      <c r="G226" s="628"/>
      <c r="H226" s="766" t="s">
        <v>368</v>
      </c>
      <c r="I226" s="629" t="str">
        <f t="shared" ca="1" si="2"/>
        <v>02.002.003.001</v>
      </c>
      <c r="J226" s="654" t="s">
        <v>1451</v>
      </c>
      <c r="K226" s="630" t="s">
        <v>4</v>
      </c>
      <c r="L226" s="1229">
        <f>'Duto&amp;Cisterna'!M15</f>
        <v>55.376000000000005</v>
      </c>
      <c r="M226" s="631">
        <f>VLOOKUP(J226,Preços!$C$7:$F$498,4,FALSE)</f>
        <v>557.50199999999995</v>
      </c>
      <c r="N226" s="646">
        <f>L226*M226</f>
        <v>30872.230751999999</v>
      </c>
      <c r="O226" s="767"/>
      <c r="P226" s="632" t="s">
        <v>333</v>
      </c>
      <c r="R226" s="742"/>
      <c r="S226" s="742"/>
    </row>
    <row r="227" spans="1:19" s="761" customFormat="1" hidden="1" outlineLevel="1" collapsed="1" x14ac:dyDescent="0.2">
      <c r="A227" s="762" t="e">
        <f ca="1">IF($H227="UNIDADE CONSTRUTIVA",OFFSET(A227,-1,0)+1,LARGE(A$3:A226,1))</f>
        <v>#NUM!</v>
      </c>
      <c r="B227" s="762">
        <f t="shared" ca="1" si="3"/>
        <v>2</v>
      </c>
      <c r="C227" s="762">
        <f t="shared" ca="1" si="4"/>
        <v>3</v>
      </c>
      <c r="D227" s="763">
        <f t="shared" ca="1" si="5"/>
        <v>0</v>
      </c>
      <c r="E227" s="763">
        <f t="shared" ca="1" si="6"/>
        <v>1</v>
      </c>
      <c r="G227" s="628"/>
      <c r="H227" s="766" t="s">
        <v>366</v>
      </c>
      <c r="I227" s="629" t="str">
        <f t="shared" ca="1" si="2"/>
        <v>02.003</v>
      </c>
      <c r="J227" s="654" t="s">
        <v>178</v>
      </c>
      <c r="K227" s="630"/>
      <c r="L227" s="1229"/>
      <c r="M227" s="631"/>
      <c r="N227" s="646">
        <f>N228+N231+N234+N236</f>
        <v>994666.30473938561</v>
      </c>
      <c r="O227" s="767"/>
      <c r="P227" s="632"/>
      <c r="R227" s="742"/>
      <c r="S227" s="742"/>
    </row>
    <row r="228" spans="1:19" s="761" customFormat="1" hidden="1" outlineLevel="2" x14ac:dyDescent="0.2">
      <c r="A228" s="762" t="e">
        <f ca="1">IF($H228="UNIDADE CONSTRUTIVA",OFFSET(A228,-1,0)+1,LARGE(A$3:A227,1))</f>
        <v>#NUM!</v>
      </c>
      <c r="B228" s="762">
        <f t="shared" ca="1" si="3"/>
        <v>2</v>
      </c>
      <c r="C228" s="762">
        <f t="shared" ca="1" si="4"/>
        <v>3</v>
      </c>
      <c r="D228" s="763">
        <f t="shared" ca="1" si="5"/>
        <v>1</v>
      </c>
      <c r="E228" s="763">
        <f t="shared" ca="1" si="6"/>
        <v>0</v>
      </c>
      <c r="G228" s="628"/>
      <c r="H228" s="766" t="s">
        <v>367</v>
      </c>
      <c r="I228" s="629" t="str">
        <f t="shared" ca="1" si="2"/>
        <v>02.003.001</v>
      </c>
      <c r="J228" s="654" t="s">
        <v>184</v>
      </c>
      <c r="K228" s="630"/>
      <c r="L228" s="1229"/>
      <c r="M228" s="631"/>
      <c r="N228" s="646">
        <f>SUM(N229:N230)</f>
        <v>309925</v>
      </c>
      <c r="O228" s="767"/>
      <c r="P228" s="632"/>
      <c r="R228" s="742"/>
      <c r="S228" s="742"/>
    </row>
    <row r="229" spans="1:19" s="761" customFormat="1" ht="22.5" hidden="1" outlineLevel="3" x14ac:dyDescent="0.2">
      <c r="A229" s="762" t="e">
        <f ca="1">IF($H229="UNIDADE CONSTRUTIVA",OFFSET(A229,-1,0)+1,LARGE(A$3:A228,1))</f>
        <v>#NUM!</v>
      </c>
      <c r="B229" s="762">
        <f t="shared" ca="1" si="3"/>
        <v>2</v>
      </c>
      <c r="C229" s="762">
        <f t="shared" ca="1" si="4"/>
        <v>3</v>
      </c>
      <c r="D229" s="763">
        <f t="shared" ca="1" si="5"/>
        <v>1</v>
      </c>
      <c r="E229" s="763">
        <f t="shared" ca="1" si="6"/>
        <v>1</v>
      </c>
      <c r="G229" s="628"/>
      <c r="H229" s="766" t="s">
        <v>368</v>
      </c>
      <c r="I229" s="629" t="str">
        <f t="shared" ca="1" si="2"/>
        <v>02.003.001.001</v>
      </c>
      <c r="J229" s="654" t="s">
        <v>540</v>
      </c>
      <c r="K229" s="630" t="s">
        <v>3</v>
      </c>
      <c r="L229" s="1229">
        <f>Estacas!H46</f>
        <v>805</v>
      </c>
      <c r="M229" s="631">
        <f>VLOOKUP(J229,Preços!$C$7:$F$498,4,FALSE)</f>
        <v>85</v>
      </c>
      <c r="N229" s="646">
        <f>L229*M229</f>
        <v>68425</v>
      </c>
      <c r="O229" s="1228" t="s">
        <v>2084</v>
      </c>
      <c r="P229" s="632" t="s">
        <v>333</v>
      </c>
      <c r="R229" s="742"/>
      <c r="S229" s="742"/>
    </row>
    <row r="230" spans="1:19" s="761" customFormat="1" ht="22.5" hidden="1" outlineLevel="3" x14ac:dyDescent="0.2">
      <c r="A230" s="762" t="e">
        <f ca="1">IF($H230="UNIDADE CONSTRUTIVA",OFFSET(A230,-1,0)+1,LARGE(A$3:A229,1))</f>
        <v>#NUM!</v>
      </c>
      <c r="B230" s="762">
        <f t="shared" ca="1" si="3"/>
        <v>2</v>
      </c>
      <c r="C230" s="762">
        <f t="shared" ca="1" si="4"/>
        <v>3</v>
      </c>
      <c r="D230" s="763">
        <f t="shared" ca="1" si="5"/>
        <v>1</v>
      </c>
      <c r="E230" s="763">
        <f t="shared" ca="1" si="6"/>
        <v>2</v>
      </c>
      <c r="G230" s="628"/>
      <c r="H230" s="766" t="s">
        <v>368</v>
      </c>
      <c r="I230" s="629" t="str">
        <f t="shared" ca="1" si="2"/>
        <v>02.003.001.002</v>
      </c>
      <c r="J230" s="654" t="s">
        <v>541</v>
      </c>
      <c r="K230" s="630" t="s">
        <v>3</v>
      </c>
      <c r="L230" s="1229">
        <f>Estacas!H47</f>
        <v>2415</v>
      </c>
      <c r="M230" s="631">
        <f>VLOOKUP(J230,Preços!$C$7:$F$498,4,FALSE)</f>
        <v>100</v>
      </c>
      <c r="N230" s="646">
        <f>L230*M230</f>
        <v>241500</v>
      </c>
      <c r="O230" s="1228" t="s">
        <v>2084</v>
      </c>
      <c r="P230" s="632" t="s">
        <v>333</v>
      </c>
      <c r="R230" s="742"/>
      <c r="S230" s="742"/>
    </row>
    <row r="231" spans="1:19" s="761" customFormat="1" hidden="1" outlineLevel="2" x14ac:dyDescent="0.2">
      <c r="A231" s="762" t="e">
        <f ca="1">IF($H231="UNIDADE CONSTRUTIVA",OFFSET(A231,-1,0)+1,LARGE(A$3:A230,1))</f>
        <v>#NUM!</v>
      </c>
      <c r="B231" s="762">
        <f t="shared" ca="1" si="3"/>
        <v>2</v>
      </c>
      <c r="C231" s="762">
        <f t="shared" ca="1" si="4"/>
        <v>3</v>
      </c>
      <c r="D231" s="763">
        <f t="shared" ca="1" si="5"/>
        <v>2</v>
      </c>
      <c r="E231" s="763">
        <f t="shared" ca="1" si="6"/>
        <v>0</v>
      </c>
      <c r="G231" s="628"/>
      <c r="H231" s="766" t="s">
        <v>367</v>
      </c>
      <c r="I231" s="629" t="str">
        <f t="shared" ca="1" si="2"/>
        <v>02.003.002</v>
      </c>
      <c r="J231" s="654" t="s">
        <v>185</v>
      </c>
      <c r="K231" s="630"/>
      <c r="L231" s="1229"/>
      <c r="M231" s="631"/>
      <c r="N231" s="646">
        <f>SUM(N232:N233)</f>
        <v>55064.857719</v>
      </c>
      <c r="O231" s="767"/>
      <c r="P231" s="632"/>
      <c r="R231" s="742"/>
      <c r="S231" s="742"/>
    </row>
    <row r="232" spans="1:19" s="761" customFormat="1" ht="22.5" hidden="1" outlineLevel="3" x14ac:dyDescent="0.2">
      <c r="A232" s="762" t="e">
        <f ca="1">IF($H232="UNIDADE CONSTRUTIVA",OFFSET(A232,-1,0)+1,LARGE(A$3:A231,1))</f>
        <v>#NUM!</v>
      </c>
      <c r="B232" s="762">
        <f t="shared" ca="1" si="3"/>
        <v>2</v>
      </c>
      <c r="C232" s="762">
        <f t="shared" ca="1" si="4"/>
        <v>3</v>
      </c>
      <c r="D232" s="763">
        <f t="shared" ca="1" si="5"/>
        <v>2</v>
      </c>
      <c r="E232" s="763">
        <f t="shared" ca="1" si="6"/>
        <v>1</v>
      </c>
      <c r="G232" s="628"/>
      <c r="H232" s="766" t="s">
        <v>368</v>
      </c>
      <c r="I232" s="629" t="str">
        <f t="shared" ca="1" si="2"/>
        <v>02.003.002.001</v>
      </c>
      <c r="J232" s="654" t="s">
        <v>940</v>
      </c>
      <c r="K232" s="630" t="s">
        <v>5</v>
      </c>
      <c r="L232" s="1229">
        <f>'Arm. Estacas'!D40</f>
        <v>1052</v>
      </c>
      <c r="M232" s="631">
        <f>VLOOKUP(J232,Preços!$C$7:$F$498,4,FALSE)</f>
        <v>7.4894999999999996</v>
      </c>
      <c r="N232" s="646">
        <f>L232*M232</f>
        <v>7878.9539999999997</v>
      </c>
      <c r="O232" s="870"/>
      <c r="P232" s="632" t="s">
        <v>333</v>
      </c>
      <c r="R232" s="742"/>
      <c r="S232" s="742"/>
    </row>
    <row r="233" spans="1:19" s="761" customFormat="1" ht="22.5" hidden="1" outlineLevel="3" x14ac:dyDescent="0.2">
      <c r="A233" s="762" t="e">
        <f ca="1">IF($H233="UNIDADE CONSTRUTIVA",OFFSET(A233,-1,0)+1,LARGE(A$3:A232,1))</f>
        <v>#NUM!</v>
      </c>
      <c r="B233" s="762">
        <f t="shared" ca="1" si="3"/>
        <v>2</v>
      </c>
      <c r="C233" s="762">
        <f t="shared" ca="1" si="4"/>
        <v>3</v>
      </c>
      <c r="D233" s="763">
        <f t="shared" ca="1" si="5"/>
        <v>2</v>
      </c>
      <c r="E233" s="763">
        <f t="shared" ca="1" si="6"/>
        <v>2</v>
      </c>
      <c r="G233" s="628"/>
      <c r="H233" s="766" t="s">
        <v>368</v>
      </c>
      <c r="I233" s="629" t="str">
        <f t="shared" ca="1" si="2"/>
        <v>02.003.002.002</v>
      </c>
      <c r="J233" s="654" t="s">
        <v>944</v>
      </c>
      <c r="K233" s="630" t="s">
        <v>5</v>
      </c>
      <c r="L233" s="1229">
        <f>'Arm. Estacas'!H40</f>
        <v>6905.49</v>
      </c>
      <c r="M233" s="631">
        <f>VLOOKUP(J233,Preços!$C$7:$F$498,4,FALSE)</f>
        <v>6.8331</v>
      </c>
      <c r="N233" s="646">
        <f>L233*M233</f>
        <v>47185.903719000002</v>
      </c>
      <c r="O233" s="767"/>
      <c r="P233" s="632" t="s">
        <v>333</v>
      </c>
      <c r="R233" s="742"/>
      <c r="S233" s="742"/>
    </row>
    <row r="234" spans="1:19" s="761" customFormat="1" hidden="1" outlineLevel="2" x14ac:dyDescent="0.2">
      <c r="A234" s="762" t="e">
        <f ca="1">IF($H234="UNIDADE CONSTRUTIVA",OFFSET(A234,-1,0)+1,LARGE(A$3:A233,1))</f>
        <v>#NUM!</v>
      </c>
      <c r="B234" s="762">
        <f t="shared" ca="1" si="3"/>
        <v>2</v>
      </c>
      <c r="C234" s="762">
        <f t="shared" ca="1" si="4"/>
        <v>3</v>
      </c>
      <c r="D234" s="763">
        <f t="shared" ca="1" si="5"/>
        <v>3</v>
      </c>
      <c r="E234" s="763">
        <f t="shared" ca="1" si="6"/>
        <v>0</v>
      </c>
      <c r="G234" s="628"/>
      <c r="H234" s="766" t="s">
        <v>367</v>
      </c>
      <c r="I234" s="629" t="str">
        <f t="shared" ca="1" si="2"/>
        <v>02.003.003</v>
      </c>
      <c r="J234" s="654" t="s">
        <v>142</v>
      </c>
      <c r="K234" s="630"/>
      <c r="L234" s="1229"/>
      <c r="M234" s="631"/>
      <c r="N234" s="646">
        <f>N235</f>
        <v>602076.44702038553</v>
      </c>
      <c r="O234" s="767"/>
      <c r="P234" s="632"/>
      <c r="R234" s="742"/>
      <c r="S234" s="742"/>
    </row>
    <row r="235" spans="1:19" s="761" customFormat="1" ht="22.5" hidden="1" outlineLevel="3" x14ac:dyDescent="0.2">
      <c r="A235" s="762" t="e">
        <f ca="1">IF($H235="UNIDADE CONSTRUTIVA",OFFSET(A235,-1,0)+1,LARGE(A$3:A234,1))</f>
        <v>#NUM!</v>
      </c>
      <c r="B235" s="762">
        <f t="shared" ca="1" si="3"/>
        <v>2</v>
      </c>
      <c r="C235" s="762">
        <f t="shared" ca="1" si="4"/>
        <v>3</v>
      </c>
      <c r="D235" s="763">
        <f t="shared" ca="1" si="5"/>
        <v>3</v>
      </c>
      <c r="E235" s="763">
        <f t="shared" ca="1" si="6"/>
        <v>1</v>
      </c>
      <c r="G235" s="628"/>
      <c r="H235" s="766" t="s">
        <v>368</v>
      </c>
      <c r="I235" s="629" t="str">
        <f t="shared" ca="1" si="2"/>
        <v>02.003.003.001</v>
      </c>
      <c r="J235" s="654" t="s">
        <v>941</v>
      </c>
      <c r="K235" s="630" t="s">
        <v>4</v>
      </c>
      <c r="L235" s="1229">
        <f>Estacas!K48</f>
        <v>840.88654364147806</v>
      </c>
      <c r="M235" s="631">
        <f>VLOOKUP(J235,Preços!$C$7:$F$498,4,FALSE)</f>
        <v>716.00199999999995</v>
      </c>
      <c r="N235" s="646">
        <f>L235*M235</f>
        <v>602076.44702038553</v>
      </c>
      <c r="O235" s="1228" t="s">
        <v>2084</v>
      </c>
      <c r="P235" s="632" t="s">
        <v>333</v>
      </c>
      <c r="R235" s="742"/>
      <c r="S235" s="742"/>
    </row>
    <row r="236" spans="1:19" s="761" customFormat="1" hidden="1" outlineLevel="2" x14ac:dyDescent="0.2">
      <c r="A236" s="762" t="e">
        <f ca="1">IF($H236="UNIDADE CONSTRUTIVA",OFFSET(A236,-1,0)+1,LARGE(A$3:A235,1))</f>
        <v>#NUM!</v>
      </c>
      <c r="B236" s="762">
        <f ca="1">IF(H236="UNIDADE CONSTRUTIVA",0,IF(H236="CÉLULA CONSTRUTIVA",OFFSET(B236,-1,0)+1,OFFSET(B236,-1,0)))</f>
        <v>2</v>
      </c>
      <c r="C236" s="762">
        <f ca="1">IF(H236="CÉLULA CONSTRUTIVA",0,IF(H236="ETAPA",OFFSET(C236,-1,0)+1,OFFSET(C236,-1,0)))</f>
        <v>3</v>
      </c>
      <c r="D236" s="763">
        <f ca="1">IF(H236="ETAPA",0,IF(H236="SUBETAPA",OFFSET(D236,-1,0)+1,OFFSET(D236,-1,0)))</f>
        <v>4</v>
      </c>
      <c r="E236" s="763">
        <f ca="1">IF(H236="Subetapa",0,IF(H236="serviço",OFFSET(E236,-1,0)+1,OFFSET(E236,-1,0)))</f>
        <v>0</v>
      </c>
      <c r="G236" s="628"/>
      <c r="H236" s="766" t="s">
        <v>367</v>
      </c>
      <c r="I236" s="629" t="str">
        <f ca="1">IF(H236="Unidade Construtiva",TEXT(A236,"00"),IF(H236="Célula Construtiva",TEXT(B236,"00"),IF(H236="Etapa",CONCATENATE(TEXT(B236,"00"),".",TEXT(C236,"000")),IF(H236="Subetapa",CONCATENATE(TEXT(B236,"00"),".",TEXT(C236,"000"),".",TEXT(D236,"000")),IF(H236="Serviço",CONCATENATE(TEXT(B236,"00"),".",TEXT(C236,"000"),".",TEXT(D236,"000"),".",TEXT(E236,"000")),"")))))</f>
        <v>02.003.004</v>
      </c>
      <c r="J236" s="654" t="s">
        <v>211</v>
      </c>
      <c r="K236" s="630"/>
      <c r="L236" s="1229"/>
      <c r="M236" s="631"/>
      <c r="N236" s="646">
        <f>N237</f>
        <v>27600</v>
      </c>
      <c r="O236" s="767"/>
      <c r="P236" s="632"/>
      <c r="R236" s="742"/>
      <c r="S236" s="742"/>
    </row>
    <row r="237" spans="1:19" s="761" customFormat="1" ht="22.5" hidden="1" outlineLevel="3" x14ac:dyDescent="0.2">
      <c r="A237" s="762" t="e">
        <f ca="1">IF($H237="UNIDADE CONSTRUTIVA",OFFSET(A237,-1,0)+1,LARGE(A$3:A236,1))</f>
        <v>#NUM!</v>
      </c>
      <c r="B237" s="762">
        <f ca="1">IF(H237="UNIDADE CONSTRUTIVA",0,IF(H237="CÉLULA CONSTRUTIVA",OFFSET(B237,-1,0)+1,OFFSET(B237,-1,0)))</f>
        <v>2</v>
      </c>
      <c r="C237" s="762">
        <f ca="1">IF(H237="CÉLULA CONSTRUTIVA",0,IF(H237="ETAPA",OFFSET(C237,-1,0)+1,OFFSET(C237,-1,0)))</f>
        <v>3</v>
      </c>
      <c r="D237" s="763">
        <f ca="1">IF(H237="ETAPA",0,IF(H237="SUBETAPA",OFFSET(D237,-1,0)+1,OFFSET(D237,-1,0)))</f>
        <v>4</v>
      </c>
      <c r="E237" s="763">
        <f ca="1">IF(H237="Subetapa",0,IF(H237="serviço",OFFSET(E237,-1,0)+1,OFFSET(E237,-1,0)))</f>
        <v>1</v>
      </c>
      <c r="G237" s="628"/>
      <c r="H237" s="766" t="s">
        <v>368</v>
      </c>
      <c r="I237" s="629" t="str">
        <f ca="1">IF(H237="Unidade Construtiva",TEXT(A237,"00"),IF(H237="Célula Construtiva",TEXT(B237,"00"),IF(H237="Etapa",CONCATENATE(TEXT(B237,"00"),".",TEXT(C237,"000")),IF(H237="Subetapa",CONCATENATE(TEXT(B237,"00"),".",TEXT(C237,"000"),".",TEXT(D237,"000")),IF(H237="Serviço",CONCATENATE(TEXT(B237,"00"),".",TEXT(C237,"000"),".",TEXT(D237,"000"),".",TEXT(E237,"000")),"")))))</f>
        <v>02.003.004.001</v>
      </c>
      <c r="J237" s="654" t="s">
        <v>542</v>
      </c>
      <c r="K237" s="630" t="s">
        <v>87</v>
      </c>
      <c r="L237" s="1229">
        <f>Estacas!C43</f>
        <v>92</v>
      </c>
      <c r="M237" s="631">
        <f>VLOOKUP(J237,Preços!$C$7:$F$498,4,FALSE)</f>
        <v>300</v>
      </c>
      <c r="N237" s="646">
        <f>L237*M237</f>
        <v>27600</v>
      </c>
      <c r="O237" s="767"/>
      <c r="P237" s="632" t="s">
        <v>333</v>
      </c>
      <c r="R237" s="742"/>
      <c r="S237" s="742"/>
    </row>
    <row r="238" spans="1:19" s="761" customFormat="1" hidden="1" outlineLevel="1" collapsed="1" x14ac:dyDescent="0.2">
      <c r="A238" s="762" t="e">
        <f ca="1">IF($H238="UNIDADE CONSTRUTIVA",OFFSET(A238,-1,0)+1,LARGE(A$3:A235,1))</f>
        <v>#NUM!</v>
      </c>
      <c r="B238" s="762">
        <f t="shared" ca="1" si="3"/>
        <v>2</v>
      </c>
      <c r="C238" s="762">
        <f t="shared" ca="1" si="4"/>
        <v>4</v>
      </c>
      <c r="D238" s="763">
        <f t="shared" ca="1" si="5"/>
        <v>0</v>
      </c>
      <c r="E238" s="763">
        <f t="shared" ca="1" si="6"/>
        <v>1</v>
      </c>
      <c r="G238" s="628"/>
      <c r="H238" s="766" t="s">
        <v>366</v>
      </c>
      <c r="I238" s="629" t="str">
        <f t="shared" ca="1" si="2"/>
        <v>02.004</v>
      </c>
      <c r="J238" s="654" t="s">
        <v>179</v>
      </c>
      <c r="K238" s="630"/>
      <c r="L238" s="631"/>
      <c r="M238" s="631"/>
      <c r="N238" s="646">
        <f>N239+N243+N250+N252</f>
        <v>943233.75389396003</v>
      </c>
      <c r="O238" s="767"/>
      <c r="P238" s="632"/>
      <c r="R238" s="742"/>
      <c r="S238" s="742"/>
    </row>
    <row r="239" spans="1:19" s="761" customFormat="1" hidden="1" outlineLevel="2" x14ac:dyDescent="0.2">
      <c r="A239" s="762" t="e">
        <f ca="1">IF($H239="UNIDADE CONSTRUTIVA",OFFSET(A239,-1,0)+1,LARGE(A$3:A238,1))</f>
        <v>#NUM!</v>
      </c>
      <c r="B239" s="762">
        <f t="shared" ca="1" si="3"/>
        <v>2</v>
      </c>
      <c r="C239" s="762">
        <f t="shared" ca="1" si="4"/>
        <v>4</v>
      </c>
      <c r="D239" s="763">
        <f t="shared" ca="1" si="5"/>
        <v>1</v>
      </c>
      <c r="E239" s="763">
        <f t="shared" ca="1" si="6"/>
        <v>0</v>
      </c>
      <c r="G239" s="628"/>
      <c r="H239" s="766" t="s">
        <v>367</v>
      </c>
      <c r="I239" s="629" t="str">
        <f t="shared" ca="1" si="2"/>
        <v>02.004.001</v>
      </c>
      <c r="J239" s="654" t="s">
        <v>187</v>
      </c>
      <c r="K239" s="630"/>
      <c r="L239" s="631"/>
      <c r="M239" s="631"/>
      <c r="N239" s="646">
        <f>SUM(N240:N242)</f>
        <v>64069.469724000002</v>
      </c>
      <c r="O239" s="767"/>
      <c r="P239" s="632"/>
      <c r="R239" s="742"/>
      <c r="S239" s="742"/>
    </row>
    <row r="240" spans="1:19" s="761" customFormat="1" ht="22.5" hidden="1" outlineLevel="3" x14ac:dyDescent="0.2">
      <c r="A240" s="762" t="e">
        <f ca="1">IF($H240="UNIDADE CONSTRUTIVA",OFFSET(A240,-1,0)+1,LARGE(A$3:A238,1))</f>
        <v>#NUM!</v>
      </c>
      <c r="B240" s="762">
        <f ca="1">IF(H240="UNIDADE CONSTRUTIVA",0,IF(H240="CÉLULA CONSTRUTIVA",OFFSET(B240,-1,0)+1,OFFSET(B240,-1,0)))</f>
        <v>2</v>
      </c>
      <c r="C240" s="762">
        <f ca="1">IF(H240="CÉLULA CONSTRUTIVA",0,IF(H240="ETAPA",OFFSET(C240,-1,0)+1,OFFSET(C240,-1,0)))</f>
        <v>4</v>
      </c>
      <c r="D240" s="763">
        <f ca="1">IF(H240="ETAPA",0,IF(H240="SUBETAPA",OFFSET(D240,-1,0)+1,OFFSET(D240,-1,0)))</f>
        <v>1</v>
      </c>
      <c r="E240" s="763">
        <f ca="1">IF(H240="Subetapa",0,IF(H240="serviço",OFFSET(E240,-1,0)+1,OFFSET(E240,-1,0)))</f>
        <v>1</v>
      </c>
      <c r="G240" s="628"/>
      <c r="H240" s="766" t="s">
        <v>368</v>
      </c>
      <c r="I240" s="629" t="str">
        <f ca="1">IF(H240="Unidade Construtiva",TEXT(A240,"00"),IF(H240="Célula Construtiva",TEXT(B240,"00"),IF(H240="Etapa",CONCATENATE(TEXT(B240,"00"),".",TEXT(C240,"000")),IF(H240="Subetapa",CONCATENATE(TEXT(B240,"00"),".",TEXT(C240,"000"),".",TEXT(D240,"000")),IF(H240="Serviço",CONCATENATE(TEXT(B240,"00"),".",TEXT(C240,"000"),".",TEXT(D240,"000"),".",TEXT(E240,"000")),"")))))</f>
        <v>02.004.001.001</v>
      </c>
      <c r="J240" s="654" t="s">
        <v>543</v>
      </c>
      <c r="K240" s="630" t="s">
        <v>1</v>
      </c>
      <c r="L240" s="631">
        <f>Blocos!R58+Blocos!R34+'Vigas Fundação'!O68</f>
        <v>676.38</v>
      </c>
      <c r="M240" s="631">
        <f>VLOOKUP(J240,Preços!$C$7:$F$498,4,FALSE)</f>
        <v>82.228899999999996</v>
      </c>
      <c r="N240" s="646">
        <f>L240*M240</f>
        <v>55617.983381999999</v>
      </c>
      <c r="O240" s="767" t="s">
        <v>1422</v>
      </c>
      <c r="P240" s="632" t="s">
        <v>333</v>
      </c>
      <c r="R240" s="742"/>
      <c r="S240" s="742"/>
    </row>
    <row r="241" spans="1:19" s="761" customFormat="1" ht="22.5" hidden="1" outlineLevel="3" x14ac:dyDescent="0.2">
      <c r="A241" s="762" t="e">
        <f ca="1">IF($H241="UNIDADE CONSTRUTIVA",OFFSET(A241,-1,0)+1,LARGE(A$3:A239,1))</f>
        <v>#NUM!</v>
      </c>
      <c r="B241" s="762">
        <f ca="1">IF(H241="UNIDADE CONSTRUTIVA",0,IF(H241="CÉLULA CONSTRUTIVA",OFFSET(B241,-1,0)+1,OFFSET(B241,-1,0)))</f>
        <v>2</v>
      </c>
      <c r="C241" s="762">
        <f ca="1">IF(H241="CÉLULA CONSTRUTIVA",0,IF(H241="ETAPA",OFFSET(C241,-1,0)+1,OFFSET(C241,-1,0)))</f>
        <v>4</v>
      </c>
      <c r="D241" s="763">
        <f ca="1">IF(H241="ETAPA",0,IF(H241="SUBETAPA",OFFSET(D241,-1,0)+1,OFFSET(D241,-1,0)))</f>
        <v>1</v>
      </c>
      <c r="E241" s="763">
        <f ca="1">IF(H241="Subetapa",0,IF(H241="serviço",OFFSET(E241,-1,0)+1,OFFSET(E241,-1,0)))</f>
        <v>2</v>
      </c>
      <c r="G241" s="628"/>
      <c r="H241" s="766" t="s">
        <v>368</v>
      </c>
      <c r="I241" s="629" t="str">
        <f ca="1">IF(H241="Unidade Construtiva",TEXT(A241,"00"),IF(H241="Célula Construtiva",TEXT(B241,"00"),IF(H241="Etapa",CONCATENATE(TEXT(B241,"00"),".",TEXT(C241,"000")),IF(H241="Subetapa",CONCATENATE(TEXT(B241,"00"),".",TEXT(C241,"000"),".",TEXT(D241,"000")),IF(H241="Serviço",CONCATENATE(TEXT(B241,"00"),".",TEXT(C241,"000"),".",TEXT(D241,"000"),".",TEXT(E241,"000")),"")))))</f>
        <v>02.004.001.002</v>
      </c>
      <c r="J241" s="654" t="s">
        <v>1452</v>
      </c>
      <c r="K241" s="630" t="s">
        <v>1</v>
      </c>
      <c r="L241" s="631">
        <f>'Lajes Fundação'!K19</f>
        <v>11.01</v>
      </c>
      <c r="M241" s="631">
        <f>VLOOKUP(J241,Preços!$C$7:$F$498,4,FALSE)</f>
        <v>82.228899999999996</v>
      </c>
      <c r="N241" s="646">
        <f>L241*M241</f>
        <v>905.3401889999999</v>
      </c>
      <c r="O241" s="767" t="s">
        <v>1423</v>
      </c>
      <c r="P241" s="632" t="s">
        <v>333</v>
      </c>
      <c r="R241" s="742"/>
      <c r="S241" s="742"/>
    </row>
    <row r="242" spans="1:19" s="761" customFormat="1" ht="22.5" hidden="1" outlineLevel="3" x14ac:dyDescent="0.2">
      <c r="A242" s="762" t="e">
        <f ca="1">IF($H242="UNIDADE CONSTRUTIVA",OFFSET(A242,-1,0)+1,LARGE(A$3:A240,1))</f>
        <v>#NUM!</v>
      </c>
      <c r="B242" s="762">
        <f ca="1">IF(H242="UNIDADE CONSTRUTIVA",0,IF(H242="CÉLULA CONSTRUTIVA",OFFSET(B242,-1,0)+1,OFFSET(B242,-1,0)))</f>
        <v>2</v>
      </c>
      <c r="C242" s="762">
        <f ca="1">IF(H242="CÉLULA CONSTRUTIVA",0,IF(H242="ETAPA",OFFSET(C242,-1,0)+1,OFFSET(C242,-1,0)))</f>
        <v>4</v>
      </c>
      <c r="D242" s="763">
        <f ca="1">IF(H242="ETAPA",0,IF(H242="SUBETAPA",OFFSET(D242,-1,0)+1,OFFSET(D242,-1,0)))</f>
        <v>1</v>
      </c>
      <c r="E242" s="763">
        <f ca="1">IF(H242="Subetapa",0,IF(H242="serviço",OFFSET(E242,-1,0)+1,OFFSET(E242,-1,0)))</f>
        <v>3</v>
      </c>
      <c r="G242" s="628"/>
      <c r="H242" s="766" t="s">
        <v>368</v>
      </c>
      <c r="I242" s="629" t="str">
        <f ca="1">IF(H242="Unidade Construtiva",TEXT(A242,"00"),IF(H242="Célula Construtiva",TEXT(B242,"00"),IF(H242="Etapa",CONCATENATE(TEXT(B242,"00"),".",TEXT(C242,"000")),IF(H242="Subetapa",CONCATENATE(TEXT(B242,"00"),".",TEXT(C242,"000"),".",TEXT(D242,"000")),IF(H242="Serviço",CONCATENATE(TEXT(B242,"00"),".",TEXT(C242,"000"),".",TEXT(D242,"000"),".",TEXT(E242,"000")),"")))))</f>
        <v>02.004.001.003</v>
      </c>
      <c r="J242" s="654" t="s">
        <v>1421</v>
      </c>
      <c r="K242" s="630" t="s">
        <v>1</v>
      </c>
      <c r="L242" s="631">
        <f>'Pilares enterrados'!G42</f>
        <v>91.77000000000001</v>
      </c>
      <c r="M242" s="631">
        <f>VLOOKUP(J242,Preços!$C$7:$F$498,4,FALSE)</f>
        <v>82.228899999999996</v>
      </c>
      <c r="N242" s="646">
        <f>L242*M242</f>
        <v>7546.1461530000006</v>
      </c>
      <c r="O242" s="767" t="s">
        <v>1424</v>
      </c>
      <c r="P242" s="632" t="s">
        <v>333</v>
      </c>
      <c r="R242" s="742"/>
      <c r="S242" s="742"/>
    </row>
    <row r="243" spans="1:19" s="761" customFormat="1" hidden="1" outlineLevel="2" x14ac:dyDescent="0.2">
      <c r="A243" s="762" t="e">
        <f ca="1">IF($H243="UNIDADE CONSTRUTIVA",OFFSET(A243,-1,0)+1,LARGE(A$3:A240,1))</f>
        <v>#NUM!</v>
      </c>
      <c r="B243" s="762">
        <f t="shared" ca="1" si="3"/>
        <v>2</v>
      </c>
      <c r="C243" s="762">
        <f t="shared" ca="1" si="4"/>
        <v>4</v>
      </c>
      <c r="D243" s="763">
        <f t="shared" ca="1" si="5"/>
        <v>2</v>
      </c>
      <c r="E243" s="763">
        <f t="shared" ca="1" si="6"/>
        <v>0</v>
      </c>
      <c r="G243" s="628"/>
      <c r="H243" s="766" t="s">
        <v>367</v>
      </c>
      <c r="I243" s="629" t="str">
        <f t="shared" ca="1" si="2"/>
        <v>02.004.002</v>
      </c>
      <c r="J243" s="654" t="s">
        <v>185</v>
      </c>
      <c r="K243" s="630"/>
      <c r="L243" s="631"/>
      <c r="M243" s="631"/>
      <c r="N243" s="646">
        <f>SUM(N244:N249)</f>
        <v>292241.853</v>
      </c>
      <c r="O243" s="767"/>
      <c r="P243" s="632"/>
      <c r="R243" s="742"/>
      <c r="S243" s="742"/>
    </row>
    <row r="244" spans="1:19" s="761" customFormat="1" ht="22.5" hidden="1" outlineLevel="3" x14ac:dyDescent="0.2">
      <c r="A244" s="762" t="e">
        <f ca="1">IF($H244="UNIDADE CONSTRUTIVA",OFFSET(A244,-1,0)+1,LARGE(A$3:A243,1))</f>
        <v>#NUM!</v>
      </c>
      <c r="B244" s="762">
        <f t="shared" ca="1" si="3"/>
        <v>2</v>
      </c>
      <c r="C244" s="762">
        <f t="shared" ca="1" si="4"/>
        <v>4</v>
      </c>
      <c r="D244" s="763">
        <f t="shared" ca="1" si="5"/>
        <v>2</v>
      </c>
      <c r="E244" s="763">
        <f t="shared" ca="1" si="6"/>
        <v>1</v>
      </c>
      <c r="G244" s="628"/>
      <c r="H244" s="766" t="s">
        <v>368</v>
      </c>
      <c r="I244" s="629" t="str">
        <f t="shared" ca="1" si="2"/>
        <v>02.004.002.001</v>
      </c>
      <c r="J244" s="654" t="s">
        <v>1415</v>
      </c>
      <c r="K244" s="630" t="s">
        <v>5</v>
      </c>
      <c r="L244" s="631">
        <f>'Arm. Fund. Dir'!D19</f>
        <v>685</v>
      </c>
      <c r="M244" s="631">
        <f>VLOOKUP(J244,Preços!$C$7:$F$498,4,FALSE)</f>
        <v>7.5498000000000003</v>
      </c>
      <c r="N244" s="646">
        <f t="shared" ref="N244:N249" si="7">L244*M244</f>
        <v>5171.6130000000003</v>
      </c>
      <c r="O244" s="767" t="s">
        <v>1396</v>
      </c>
      <c r="P244" s="632" t="s">
        <v>333</v>
      </c>
      <c r="R244" s="742"/>
      <c r="S244" s="742"/>
    </row>
    <row r="245" spans="1:19" s="761" customFormat="1" ht="22.5" hidden="1" outlineLevel="3" x14ac:dyDescent="0.2">
      <c r="A245" s="762" t="e">
        <f ca="1">IF($H245="UNIDADE CONSTRUTIVA",OFFSET(A245,-1,0)+1,LARGE(A$3:A244,1))</f>
        <v>#NUM!</v>
      </c>
      <c r="B245" s="762">
        <f t="shared" ca="1" si="3"/>
        <v>2</v>
      </c>
      <c r="C245" s="762">
        <f t="shared" ca="1" si="4"/>
        <v>4</v>
      </c>
      <c r="D245" s="763">
        <f t="shared" ca="1" si="5"/>
        <v>2</v>
      </c>
      <c r="E245" s="763">
        <f t="shared" ca="1" si="6"/>
        <v>2</v>
      </c>
      <c r="G245" s="628"/>
      <c r="H245" s="766" t="s">
        <v>368</v>
      </c>
      <c r="I245" s="629" t="str">
        <f t="shared" ca="1" si="2"/>
        <v>02.004.002.002</v>
      </c>
      <c r="J245" s="654" t="s">
        <v>1416</v>
      </c>
      <c r="K245" s="630" t="s">
        <v>5</v>
      </c>
      <c r="L245" s="631">
        <f>'Arm. Fund. Dir'!E19</f>
        <v>6360</v>
      </c>
      <c r="M245" s="631">
        <f>VLOOKUP(J245,Preços!$C$7:$F$498,4,FALSE)</f>
        <v>7.2104999999999997</v>
      </c>
      <c r="N245" s="646">
        <f t="shared" si="7"/>
        <v>45858.78</v>
      </c>
      <c r="O245" s="767" t="s">
        <v>1396</v>
      </c>
      <c r="P245" s="632" t="s">
        <v>333</v>
      </c>
      <c r="R245" s="742"/>
      <c r="S245" s="742"/>
    </row>
    <row r="246" spans="1:19" s="761" customFormat="1" ht="22.5" hidden="1" outlineLevel="3" x14ac:dyDescent="0.2">
      <c r="A246" s="762" t="e">
        <f ca="1">IF($H246="UNIDADE CONSTRUTIVA",OFFSET(A246,-1,0)+1,LARGE(A$3:A245,1))</f>
        <v>#NUM!</v>
      </c>
      <c r="B246" s="762">
        <f t="shared" ca="1" si="3"/>
        <v>2</v>
      </c>
      <c r="C246" s="762">
        <f t="shared" ca="1" si="4"/>
        <v>4</v>
      </c>
      <c r="D246" s="763">
        <f t="shared" ca="1" si="5"/>
        <v>2</v>
      </c>
      <c r="E246" s="763">
        <f t="shared" ca="1" si="6"/>
        <v>3</v>
      </c>
      <c r="G246" s="628"/>
      <c r="H246" s="766" t="s">
        <v>368</v>
      </c>
      <c r="I246" s="629" t="str">
        <f t="shared" ca="1" si="2"/>
        <v>02.004.002.003</v>
      </c>
      <c r="J246" s="654" t="s">
        <v>1417</v>
      </c>
      <c r="K246" s="630" t="s">
        <v>5</v>
      </c>
      <c r="L246" s="631">
        <f>'Arm. Fund. Dir'!F19</f>
        <v>2125</v>
      </c>
      <c r="M246" s="631">
        <f>VLOOKUP(J246,Preços!$C$7:$F$498,4,FALSE)</f>
        <v>6.9927999999999999</v>
      </c>
      <c r="N246" s="646">
        <f t="shared" si="7"/>
        <v>14859.699999999999</v>
      </c>
      <c r="O246" s="767" t="s">
        <v>1396</v>
      </c>
      <c r="P246" s="632" t="s">
        <v>333</v>
      </c>
      <c r="R246" s="742"/>
      <c r="S246" s="742"/>
    </row>
    <row r="247" spans="1:19" s="761" customFormat="1" ht="22.5" hidden="1" outlineLevel="3" x14ac:dyDescent="0.2">
      <c r="A247" s="762" t="e">
        <f ca="1">IF($H247="UNIDADE CONSTRUTIVA",OFFSET(A247,-1,0)+1,LARGE(A$3:A246,1))</f>
        <v>#NUM!</v>
      </c>
      <c r="B247" s="762">
        <f t="shared" ca="1" si="3"/>
        <v>2</v>
      </c>
      <c r="C247" s="762">
        <f t="shared" ca="1" si="4"/>
        <v>4</v>
      </c>
      <c r="D247" s="763">
        <f t="shared" ca="1" si="5"/>
        <v>2</v>
      </c>
      <c r="E247" s="763">
        <f t="shared" ca="1" si="6"/>
        <v>4</v>
      </c>
      <c r="G247" s="628"/>
      <c r="H247" s="766" t="s">
        <v>368</v>
      </c>
      <c r="I247" s="629" t="str">
        <f t="shared" ca="1" si="2"/>
        <v>02.004.002.004</v>
      </c>
      <c r="J247" s="654" t="s">
        <v>1418</v>
      </c>
      <c r="K247" s="630" t="s">
        <v>5</v>
      </c>
      <c r="L247" s="631">
        <f>'Arm. Fund. Dir'!G19</f>
        <v>2395</v>
      </c>
      <c r="M247" s="631">
        <f>VLOOKUP(J247,Preços!$C$7:$F$498,4,FALSE)</f>
        <v>6.8563999999999998</v>
      </c>
      <c r="N247" s="646">
        <f t="shared" si="7"/>
        <v>16421.078000000001</v>
      </c>
      <c r="O247" s="767" t="s">
        <v>1396</v>
      </c>
      <c r="P247" s="632" t="s">
        <v>333</v>
      </c>
      <c r="R247" s="742"/>
      <c r="S247" s="742"/>
    </row>
    <row r="248" spans="1:19" s="761" customFormat="1" ht="22.5" hidden="1" outlineLevel="3" x14ac:dyDescent="0.2">
      <c r="A248" s="762" t="e">
        <f ca="1">IF($H248="UNIDADE CONSTRUTIVA",OFFSET(A248,-1,0)+1,LARGE(A$3:A247,1))</f>
        <v>#NUM!</v>
      </c>
      <c r="B248" s="762">
        <f t="shared" ca="1" si="3"/>
        <v>2</v>
      </c>
      <c r="C248" s="762">
        <f t="shared" ca="1" si="4"/>
        <v>4</v>
      </c>
      <c r="D248" s="763">
        <f t="shared" ca="1" si="5"/>
        <v>2</v>
      </c>
      <c r="E248" s="763">
        <f t="shared" ca="1" si="6"/>
        <v>5</v>
      </c>
      <c r="G248" s="628"/>
      <c r="H248" s="766" t="s">
        <v>368</v>
      </c>
      <c r="I248" s="629" t="str">
        <f t="shared" ca="1" si="2"/>
        <v>02.004.002.005</v>
      </c>
      <c r="J248" s="654" t="s">
        <v>1419</v>
      </c>
      <c r="K248" s="630" t="s">
        <v>5</v>
      </c>
      <c r="L248" s="631">
        <f>'Arm. Fund. Dir'!H19</f>
        <v>8350</v>
      </c>
      <c r="M248" s="631">
        <f>VLOOKUP(J248,Preços!$C$7:$F$498,4,FALSE)</f>
        <v>6.8331</v>
      </c>
      <c r="N248" s="646">
        <f t="shared" si="7"/>
        <v>57056.385000000002</v>
      </c>
      <c r="O248" s="767" t="s">
        <v>1396</v>
      </c>
      <c r="P248" s="632" t="s">
        <v>333</v>
      </c>
      <c r="R248" s="742"/>
      <c r="S248" s="742"/>
    </row>
    <row r="249" spans="1:19" s="761" customFormat="1" ht="22.5" hidden="1" outlineLevel="3" x14ac:dyDescent="0.2">
      <c r="A249" s="762" t="e">
        <f ca="1">IF($H249="UNIDADE CONSTRUTIVA",OFFSET(A249,-1,0)+1,LARGE(A$3:A248,1))</f>
        <v>#NUM!</v>
      </c>
      <c r="B249" s="762">
        <f t="shared" ca="1" si="3"/>
        <v>2</v>
      </c>
      <c r="C249" s="762">
        <f t="shared" ca="1" si="4"/>
        <v>4</v>
      </c>
      <c r="D249" s="763">
        <f t="shared" ca="1" si="5"/>
        <v>2</v>
      </c>
      <c r="E249" s="763">
        <f t="shared" ca="1" si="6"/>
        <v>6</v>
      </c>
      <c r="G249" s="628"/>
      <c r="H249" s="766" t="s">
        <v>368</v>
      </c>
      <c r="I249" s="629" t="str">
        <f t="shared" ca="1" si="2"/>
        <v>02.004.002.006</v>
      </c>
      <c r="J249" s="654" t="s">
        <v>1420</v>
      </c>
      <c r="K249" s="630" t="s">
        <v>5</v>
      </c>
      <c r="L249" s="631">
        <f>'Arm. Fund. Dir'!I19</f>
        <v>22410</v>
      </c>
      <c r="M249" s="631">
        <f>VLOOKUP(J249,Preços!$C$7:$F$498,4,FALSE)</f>
        <v>6.8216999999999999</v>
      </c>
      <c r="N249" s="646">
        <f t="shared" si="7"/>
        <v>152874.29699999999</v>
      </c>
      <c r="O249" s="767" t="s">
        <v>1396</v>
      </c>
      <c r="P249" s="632" t="s">
        <v>333</v>
      </c>
      <c r="R249" s="742"/>
      <c r="S249" s="742"/>
    </row>
    <row r="250" spans="1:19" s="761" customFormat="1" hidden="1" outlineLevel="2" x14ac:dyDescent="0.2">
      <c r="A250" s="762" t="e">
        <f ca="1">IF($H250="UNIDADE CONSTRUTIVA",OFFSET(A250,-1,0)+1,LARGE(A$3:A249,1))</f>
        <v>#NUM!</v>
      </c>
      <c r="B250" s="762">
        <f t="shared" ca="1" si="3"/>
        <v>2</v>
      </c>
      <c r="C250" s="762">
        <f t="shared" ca="1" si="4"/>
        <v>4</v>
      </c>
      <c r="D250" s="763">
        <f t="shared" ca="1" si="5"/>
        <v>3</v>
      </c>
      <c r="E250" s="763">
        <f t="shared" ca="1" si="6"/>
        <v>0</v>
      </c>
      <c r="G250" s="628"/>
      <c r="H250" s="766" t="s">
        <v>367</v>
      </c>
      <c r="I250" s="629" t="str">
        <f t="shared" ca="1" si="2"/>
        <v>02.004.003</v>
      </c>
      <c r="J250" s="654" t="s">
        <v>142</v>
      </c>
      <c r="K250" s="630"/>
      <c r="L250" s="631"/>
      <c r="M250" s="631"/>
      <c r="N250" s="646">
        <f>N251</f>
        <v>206922.43116995995</v>
      </c>
      <c r="O250" s="767"/>
      <c r="P250" s="632"/>
      <c r="R250" s="742"/>
      <c r="S250" s="742"/>
    </row>
    <row r="251" spans="1:19" s="761" customFormat="1" ht="33.75" hidden="1" outlineLevel="3" x14ac:dyDescent="0.2">
      <c r="A251" s="762" t="e">
        <f ca="1">IF($H251="UNIDADE CONSTRUTIVA",OFFSET(A251,-1,0)+1,LARGE(A$3:A250,1))</f>
        <v>#NUM!</v>
      </c>
      <c r="B251" s="762">
        <f t="shared" ca="1" si="3"/>
        <v>2</v>
      </c>
      <c r="C251" s="762">
        <f t="shared" ca="1" si="4"/>
        <v>4</v>
      </c>
      <c r="D251" s="763">
        <f t="shared" ca="1" si="5"/>
        <v>3</v>
      </c>
      <c r="E251" s="763">
        <f t="shared" ca="1" si="6"/>
        <v>0</v>
      </c>
      <c r="G251" s="628"/>
      <c r="H251" s="766"/>
      <c r="I251" s="629" t="str">
        <f t="shared" si="2"/>
        <v/>
      </c>
      <c r="J251" s="654" t="s">
        <v>1451</v>
      </c>
      <c r="K251" s="630" t="s">
        <v>4</v>
      </c>
      <c r="L251" s="631">
        <f>Blocos!T34+Blocos!T58+'Vigas Fundação'!Q68+'Lajes Fundação'!L19+'Pilares enterrados'!H42+'Lajes Fundação'!K26</f>
        <v>371.15997999999996</v>
      </c>
      <c r="M251" s="631">
        <f>VLOOKUP(J251,Preços!$C$7:$F$498,4,FALSE)</f>
        <v>557.50199999999995</v>
      </c>
      <c r="N251" s="646">
        <f>L251*M251</f>
        <v>206922.43116995995</v>
      </c>
      <c r="O251" s="767" t="s">
        <v>1396</v>
      </c>
      <c r="P251" s="632" t="s">
        <v>333</v>
      </c>
      <c r="R251" s="742"/>
      <c r="S251" s="742"/>
    </row>
    <row r="252" spans="1:19" s="761" customFormat="1" hidden="1" outlineLevel="2" x14ac:dyDescent="0.2">
      <c r="A252" s="762" t="e">
        <f ca="1">IF($H252="UNIDADE CONSTRUTIVA",OFFSET(A252,-1,0)+1,LARGE(A$3:A251,1))</f>
        <v>#NUM!</v>
      </c>
      <c r="B252" s="762">
        <f t="shared" ca="1" si="3"/>
        <v>2</v>
      </c>
      <c r="C252" s="762">
        <f t="shared" ca="1" si="4"/>
        <v>4</v>
      </c>
      <c r="D252" s="763">
        <f t="shared" ca="1" si="5"/>
        <v>4</v>
      </c>
      <c r="E252" s="763">
        <f t="shared" ca="1" si="6"/>
        <v>0</v>
      </c>
      <c r="G252" s="628"/>
      <c r="H252" s="766" t="s">
        <v>367</v>
      </c>
      <c r="I252" s="629" t="str">
        <f t="shared" ca="1" si="2"/>
        <v>02.004.004</v>
      </c>
      <c r="J252" s="654" t="s">
        <v>186</v>
      </c>
      <c r="K252" s="630"/>
      <c r="L252" s="631"/>
      <c r="M252" s="631"/>
      <c r="N252" s="646">
        <f>N253</f>
        <v>380000</v>
      </c>
      <c r="O252" s="767"/>
      <c r="P252" s="632"/>
      <c r="R252" s="742"/>
      <c r="S252" s="742"/>
    </row>
    <row r="253" spans="1:19" s="761" customFormat="1" ht="22.5" hidden="1" outlineLevel="3" x14ac:dyDescent="0.2">
      <c r="A253" s="762" t="e">
        <f ca="1">IF($H253="UNIDADE CONSTRUTIVA",OFFSET(A253,-1,0)+1,LARGE(A$3:A252,1))</f>
        <v>#NUM!</v>
      </c>
      <c r="B253" s="762">
        <f t="shared" ca="1" si="3"/>
        <v>2</v>
      </c>
      <c r="C253" s="762">
        <f t="shared" ca="1" si="4"/>
        <v>4</v>
      </c>
      <c r="D253" s="763">
        <f t="shared" ca="1" si="5"/>
        <v>4</v>
      </c>
      <c r="E253" s="763">
        <f t="shared" ca="1" si="6"/>
        <v>0</v>
      </c>
      <c r="G253" s="628"/>
      <c r="H253" s="766"/>
      <c r="I253" s="629" t="str">
        <f t="shared" si="2"/>
        <v/>
      </c>
      <c r="J253" s="654" t="s">
        <v>1449</v>
      </c>
      <c r="K253" s="630" t="s">
        <v>250</v>
      </c>
      <c r="L253" s="631">
        <v>1</v>
      </c>
      <c r="M253" s="631">
        <v>380000</v>
      </c>
      <c r="N253" s="646">
        <f>L253*M253</f>
        <v>380000</v>
      </c>
      <c r="O253" s="1228" t="s">
        <v>2084</v>
      </c>
      <c r="P253" s="632" t="s">
        <v>333</v>
      </c>
      <c r="R253" s="742"/>
      <c r="S253" s="742"/>
    </row>
    <row r="254" spans="1:19" s="761" customFormat="1" collapsed="1" x14ac:dyDescent="0.2">
      <c r="A254" s="762" t="e">
        <f ca="1">IF($H254="UNIDADE CONSTRUTIVA",OFFSET(A254,-1,0)+1,LARGE(A$3:A253,1))</f>
        <v>#NUM!</v>
      </c>
      <c r="B254" s="762">
        <f ca="1">IF(H254="UNIDADE CONSTRUTIVA",0,IF(H254="CÉLULA CONSTRUTIVA",OFFSET(B254,-1,0)+1,OFFSET(B254,-1,0)))</f>
        <v>3</v>
      </c>
      <c r="C254" s="762">
        <f ca="1">IF(H254="CÉLULA CONSTRUTIVA",0,IF(H254="ETAPA",OFFSET(C254,-1,0)+1,OFFSET(C254,-1,0)))</f>
        <v>0</v>
      </c>
      <c r="D254" s="763">
        <f ca="1">IF(H254="ETAPA",0,IF(H254="SUBETAPA",OFFSET(D254,-1,0)+1,OFFSET(D254,-1,0)))</f>
        <v>4</v>
      </c>
      <c r="E254" s="763">
        <f ca="1">IF(H254="Subetapa",0,IF(H254="serviço",OFFSET(E254,-1,0)+1,OFFSET(E254,-1,0)))</f>
        <v>0</v>
      </c>
      <c r="G254" s="628"/>
      <c r="H254" s="766" t="s">
        <v>365</v>
      </c>
      <c r="I254" s="629" t="str">
        <f t="shared" ca="1" si="2"/>
        <v>03</v>
      </c>
      <c r="J254" s="654" t="s">
        <v>206</v>
      </c>
      <c r="K254" s="630"/>
      <c r="L254" s="631"/>
      <c r="M254" s="631"/>
      <c r="N254" s="646">
        <f>N255+N276+N296+N316+N336+N356+N375</f>
        <v>7512491.8839224903</v>
      </c>
      <c r="O254" s="767"/>
      <c r="P254" s="632"/>
      <c r="R254" s="742"/>
      <c r="S254" s="742"/>
    </row>
    <row r="255" spans="1:19" s="761" customFormat="1" hidden="1" outlineLevel="1" collapsed="1" x14ac:dyDescent="0.2">
      <c r="A255" s="762" t="e">
        <f ca="1">IF($H255="UNIDADE CONSTRUTIVA",OFFSET(A255,-1,0)+1,LARGE(A$3:A254,1))</f>
        <v>#NUM!</v>
      </c>
      <c r="B255" s="762">
        <f t="shared" ref="B255:B275" ca="1" si="8">IF(H255="UNIDADE CONSTRUTIVA",0,IF(H255="CÉLULA CONSTRUTIVA",OFFSET(B255,-1,0)+1,OFFSET(B255,-1,0)))</f>
        <v>3</v>
      </c>
      <c r="C255" s="762">
        <f t="shared" ref="C255:C275" ca="1" si="9">IF(H255="CÉLULA CONSTRUTIVA",0,IF(H255="ETAPA",OFFSET(C255,-1,0)+1,OFFSET(C255,-1,0)))</f>
        <v>1</v>
      </c>
      <c r="D255" s="763">
        <f t="shared" ref="D255:D275" ca="1" si="10">IF(H255="ETAPA",0,IF(H255="SUBETAPA",OFFSET(D255,-1,0)+1,OFFSET(D255,-1,0)))</f>
        <v>0</v>
      </c>
      <c r="E255" s="763">
        <f t="shared" ref="E255:E275" ca="1" si="11">IF(H255="Subetapa",0,IF(H255="serviço",OFFSET(E255,-1,0)+1,OFFSET(E255,-1,0)))</f>
        <v>0</v>
      </c>
      <c r="G255" s="628"/>
      <c r="H255" s="766" t="s">
        <v>366</v>
      </c>
      <c r="I255" s="629" t="str">
        <f t="shared" ref="I255:I261" ca="1" si="12">IF(H255="Unidade Construtiva",TEXT(A255,"00"),IF(H255="Célula Construtiva",TEXT(B255,"00"),IF(H255="Etapa",CONCATENATE(TEXT(B255,"00"),".",TEXT(C255,"000")),IF(H255="Subetapa",CONCATENATE(TEXT(B255,"00"),".",TEXT(C255,"000"),".",TEXT(D255,"000")),IF(H255="Serviço",CONCATENATE(TEXT(B255,"00"),".",TEXT(C255,"000"),".",TEXT(D255,"000"),".",TEXT(E255,"000")),"")))))</f>
        <v>03.001</v>
      </c>
      <c r="J255" s="654" t="s">
        <v>471</v>
      </c>
      <c r="K255" s="630"/>
      <c r="L255" s="631"/>
      <c r="M255" s="631"/>
      <c r="N255" s="646">
        <f>N256+N261+N269+N271+N274</f>
        <v>590414.17427828</v>
      </c>
      <c r="O255" s="767"/>
      <c r="P255" s="632"/>
      <c r="R255" s="742"/>
      <c r="S255" s="742"/>
    </row>
    <row r="256" spans="1:19" s="761" customFormat="1" hidden="1" outlineLevel="2" collapsed="1" x14ac:dyDescent="0.2">
      <c r="A256" s="762" t="e">
        <f ca="1">IF($H256="UNIDADE CONSTRUTIVA",OFFSET(A256,-1,0)+1,LARGE(A$3:A255,1))</f>
        <v>#NUM!</v>
      </c>
      <c r="B256" s="762">
        <f t="shared" ca="1" si="8"/>
        <v>3</v>
      </c>
      <c r="C256" s="762">
        <f t="shared" ca="1" si="9"/>
        <v>1</v>
      </c>
      <c r="D256" s="763">
        <f t="shared" ca="1" si="10"/>
        <v>1</v>
      </c>
      <c r="E256" s="763">
        <f t="shared" ca="1" si="11"/>
        <v>0</v>
      </c>
      <c r="G256" s="628"/>
      <c r="H256" s="766" t="s">
        <v>367</v>
      </c>
      <c r="I256" s="629" t="str">
        <f t="shared" ca="1" si="12"/>
        <v>03.001.001</v>
      </c>
      <c r="J256" s="654" t="s">
        <v>2088</v>
      </c>
      <c r="K256" s="630"/>
      <c r="L256" s="631"/>
      <c r="M256" s="631"/>
      <c r="N256" s="646">
        <f>SUM(N257:N260)</f>
        <v>142180.15351828001</v>
      </c>
      <c r="O256" s="767"/>
      <c r="P256" s="632"/>
      <c r="R256" s="742"/>
      <c r="S256" s="742"/>
    </row>
    <row r="257" spans="1:19" s="761" customFormat="1" ht="22.5" hidden="1" outlineLevel="3" x14ac:dyDescent="0.2">
      <c r="A257" s="762" t="e">
        <f ca="1">IF($H257="UNIDADE CONSTRUTIVA",OFFSET(A257,-1,0)+1,LARGE(A$3:A256,1))</f>
        <v>#NUM!</v>
      </c>
      <c r="B257" s="762">
        <f t="shared" ca="1" si="8"/>
        <v>3</v>
      </c>
      <c r="C257" s="762">
        <f t="shared" ca="1" si="9"/>
        <v>1</v>
      </c>
      <c r="D257" s="763">
        <f t="shared" ca="1" si="10"/>
        <v>1</v>
      </c>
      <c r="E257" s="763">
        <f t="shared" ca="1" si="11"/>
        <v>1</v>
      </c>
      <c r="G257" s="628"/>
      <c r="H257" s="766" t="s">
        <v>368</v>
      </c>
      <c r="I257" s="629" t="str">
        <f t="shared" ca="1" si="12"/>
        <v>03.001.001.001</v>
      </c>
      <c r="J257" s="654" t="s">
        <v>2112</v>
      </c>
      <c r="K257" s="630" t="s">
        <v>1</v>
      </c>
      <c r="L257" s="631">
        <f>Vigas!Q6</f>
        <v>214.27</v>
      </c>
      <c r="M257" s="631">
        <f>VLOOKUP(J257,Preços!$C$7:$F$498,4,FALSE)</f>
        <v>108.4393</v>
      </c>
      <c r="N257" s="646">
        <f>L257*M257</f>
        <v>23235.288811000002</v>
      </c>
      <c r="O257" s="1228" t="s">
        <v>2113</v>
      </c>
      <c r="P257" s="632" t="s">
        <v>333</v>
      </c>
      <c r="R257" s="742"/>
      <c r="S257" s="742"/>
    </row>
    <row r="258" spans="1:19" s="761" customFormat="1" ht="22.5" hidden="1" outlineLevel="3" x14ac:dyDescent="0.2">
      <c r="A258" s="762" t="e">
        <f ca="1">IF($H258="UNIDADE CONSTRUTIVA",OFFSET(A258,-1,0)+1,LARGE(A$3:A257,1))</f>
        <v>#NUM!</v>
      </c>
      <c r="B258" s="762">
        <f t="shared" ca="1" si="8"/>
        <v>3</v>
      </c>
      <c r="C258" s="762">
        <f t="shared" ca="1" si="9"/>
        <v>1</v>
      </c>
      <c r="D258" s="763">
        <f t="shared" ca="1" si="10"/>
        <v>1</v>
      </c>
      <c r="E258" s="763">
        <f t="shared" ca="1" si="11"/>
        <v>2</v>
      </c>
      <c r="G258" s="628"/>
      <c r="H258" s="766" t="s">
        <v>368</v>
      </c>
      <c r="I258" s="629" t="str">
        <f t="shared" ca="1" si="12"/>
        <v>03.001.001.002</v>
      </c>
      <c r="J258" s="654" t="s">
        <v>2110</v>
      </c>
      <c r="K258" s="630" t="s">
        <v>1</v>
      </c>
      <c r="L258" s="631">
        <f>Pilares!P7</f>
        <v>381.74</v>
      </c>
      <c r="M258" s="631">
        <f>VLOOKUP(J258,Preços!$C$7:$F$498,4,FALSE)</f>
        <v>180.05500000000001</v>
      </c>
      <c r="N258" s="646">
        <f>L258*M258</f>
        <v>68734.195700000011</v>
      </c>
      <c r="O258" s="1228" t="s">
        <v>2113</v>
      </c>
      <c r="P258" s="632" t="s">
        <v>333</v>
      </c>
      <c r="R258" s="742"/>
      <c r="S258" s="742"/>
    </row>
    <row r="259" spans="1:19" s="761" customFormat="1" ht="22.5" hidden="1" outlineLevel="3" x14ac:dyDescent="0.2">
      <c r="A259" s="762" t="e">
        <f ca="1">IF($H259="UNIDADE CONSTRUTIVA",OFFSET(A259,-1,0)+1,LARGE(A$3:A258,1))</f>
        <v>#NUM!</v>
      </c>
      <c r="B259" s="762">
        <f t="shared" ca="1" si="8"/>
        <v>3</v>
      </c>
      <c r="C259" s="762">
        <f t="shared" ca="1" si="9"/>
        <v>1</v>
      </c>
      <c r="D259" s="763">
        <f t="shared" ca="1" si="10"/>
        <v>1</v>
      </c>
      <c r="E259" s="763">
        <f t="shared" ca="1" si="11"/>
        <v>3</v>
      </c>
      <c r="G259" s="628"/>
      <c r="H259" s="766" t="s">
        <v>368</v>
      </c>
      <c r="I259" s="629" t="str">
        <f t="shared" ca="1" si="12"/>
        <v>03.001.001.003</v>
      </c>
      <c r="J259" s="654" t="s">
        <v>2111</v>
      </c>
      <c r="K259" s="630" t="s">
        <v>1</v>
      </c>
      <c r="L259" s="631">
        <f>Lajes!S7</f>
        <v>376.7</v>
      </c>
      <c r="M259" s="631">
        <f>VLOOKUP(J259,Preços!$C$7:$F$498,4,FALSE)</f>
        <v>75.526799999999994</v>
      </c>
      <c r="N259" s="646">
        <f>L259*M259</f>
        <v>28450.945559999996</v>
      </c>
      <c r="O259" s="1228" t="s">
        <v>2113</v>
      </c>
      <c r="P259" s="632" t="s">
        <v>333</v>
      </c>
      <c r="R259" s="742"/>
      <c r="S259" s="742"/>
    </row>
    <row r="260" spans="1:19" s="761" customFormat="1" ht="22.5" hidden="1" outlineLevel="3" x14ac:dyDescent="0.2">
      <c r="A260" s="762" t="e">
        <f ca="1">IF($H260="UNIDADE CONSTRUTIVA",OFFSET(A260,-1,0)+1,LARGE(A$3:A259,1))</f>
        <v>#NUM!</v>
      </c>
      <c r="B260" s="762">
        <f t="shared" ca="1" si="8"/>
        <v>3</v>
      </c>
      <c r="C260" s="762">
        <f t="shared" ca="1" si="9"/>
        <v>1</v>
      </c>
      <c r="D260" s="763">
        <f t="shared" ca="1" si="10"/>
        <v>1</v>
      </c>
      <c r="E260" s="763">
        <f t="shared" ca="1" si="11"/>
        <v>4</v>
      </c>
      <c r="G260" s="628"/>
      <c r="H260" s="766" t="s">
        <v>368</v>
      </c>
      <c r="I260" s="629" t="str">
        <f t="shared" ca="1" si="12"/>
        <v>03.001.001.004</v>
      </c>
      <c r="J260" s="654" t="s">
        <v>2109</v>
      </c>
      <c r="K260" s="630" t="s">
        <v>1</v>
      </c>
      <c r="L260" s="631">
        <f>Rampas!S7+Escadas!W7</f>
        <v>165.4289</v>
      </c>
      <c r="M260" s="631">
        <f>VLOOKUP(J260,Preços!$C$7:$F$498,4,FALSE)</f>
        <v>131.5352</v>
      </c>
      <c r="N260" s="646">
        <f>L260*M260</f>
        <v>21759.723447280001</v>
      </c>
      <c r="O260" s="1228" t="s">
        <v>2113</v>
      </c>
      <c r="P260" s="632" t="s">
        <v>333</v>
      </c>
      <c r="R260" s="742"/>
      <c r="S260" s="742"/>
    </row>
    <row r="261" spans="1:19" s="761" customFormat="1" hidden="1" outlineLevel="2" collapsed="1" x14ac:dyDescent="0.2">
      <c r="A261" s="762" t="e">
        <f ca="1">IF($H261="UNIDADE CONSTRUTIVA",OFFSET(A261,-1,0)+1,LARGE(A$3:A260,1))</f>
        <v>#NUM!</v>
      </c>
      <c r="B261" s="762">
        <f t="shared" ca="1" si="8"/>
        <v>3</v>
      </c>
      <c r="C261" s="762">
        <f t="shared" ca="1" si="9"/>
        <v>1</v>
      </c>
      <c r="D261" s="763">
        <f t="shared" ca="1" si="10"/>
        <v>2</v>
      </c>
      <c r="E261" s="763">
        <f t="shared" ca="1" si="11"/>
        <v>0</v>
      </c>
      <c r="G261" s="628"/>
      <c r="H261" s="766" t="s">
        <v>367</v>
      </c>
      <c r="I261" s="629" t="str">
        <f t="shared" ca="1" si="12"/>
        <v>03.001.002</v>
      </c>
      <c r="J261" s="654" t="s">
        <v>2089</v>
      </c>
      <c r="K261" s="630"/>
      <c r="L261" s="631"/>
      <c r="M261" s="631"/>
      <c r="N261" s="646">
        <f>SUM(N262:N268)</f>
        <v>138882.348</v>
      </c>
      <c r="O261" s="767"/>
      <c r="P261" s="632"/>
      <c r="R261" s="742"/>
      <c r="S261" s="742"/>
    </row>
    <row r="262" spans="1:19" s="761" customFormat="1" ht="22.5" hidden="1" outlineLevel="3" x14ac:dyDescent="0.2">
      <c r="A262" s="762" t="e">
        <f ca="1">IF($H262="UNIDADE CONSTRUTIVA",OFFSET(A262,-1,0)+1,LARGE(A$3:A261,1))</f>
        <v>#NUM!</v>
      </c>
      <c r="B262" s="762">
        <f t="shared" ca="1" si="8"/>
        <v>3</v>
      </c>
      <c r="C262" s="762">
        <f t="shared" ca="1" si="9"/>
        <v>1</v>
      </c>
      <c r="D262" s="763">
        <f t="shared" ca="1" si="10"/>
        <v>2</v>
      </c>
      <c r="E262" s="763">
        <f t="shared" ca="1" si="11"/>
        <v>1</v>
      </c>
      <c r="G262" s="628"/>
      <c r="H262" s="766" t="s">
        <v>368</v>
      </c>
      <c r="I262" s="629" t="str">
        <f t="shared" ref="I262:I275" ca="1" si="13">IF(H262="Unidade Construtiva",TEXT(A262,"00"),IF(H262="Célula Construtiva",TEXT(B262,"00"),IF(H262="Etapa",CONCATENATE(TEXT(B262,"00"),".",TEXT(C262,"000")),IF(H262="Subetapa",CONCATENATE(TEXT(B262,"00"),".",TEXT(C262,"000"),".",TEXT(D262,"000")),IF(H262="Serviço",CONCATENATE(TEXT(B262,"00"),".",TEXT(C262,"000"),".",TEXT(D262,"000"),".",TEXT(E262,"000")),"")))))</f>
        <v>03.001.002.001</v>
      </c>
      <c r="J262" s="654" t="s">
        <v>369</v>
      </c>
      <c r="K262" s="630" t="s">
        <v>5</v>
      </c>
      <c r="L262" s="631">
        <f>SUM(SUPRA!D15:D19)</f>
        <v>1175</v>
      </c>
      <c r="M262" s="631">
        <f>VLOOKUP(J262,Preços!$C$7:$F$498,4,FALSE)</f>
        <v>7.5498000000000003</v>
      </c>
      <c r="N262" s="646">
        <f t="shared" ref="N262:N267" si="14">L262*M262</f>
        <v>8871.0150000000012</v>
      </c>
      <c r="O262" s="767" t="s">
        <v>530</v>
      </c>
      <c r="P262" s="632" t="s">
        <v>333</v>
      </c>
      <c r="R262" s="742"/>
      <c r="S262" s="742"/>
    </row>
    <row r="263" spans="1:19" s="761" customFormat="1" ht="22.5" hidden="1" outlineLevel="3" x14ac:dyDescent="0.2">
      <c r="A263" s="762" t="e">
        <f ca="1">IF($H263="UNIDADE CONSTRUTIVA",OFFSET(A263,-1,0)+1,LARGE(A$3:A262,1))</f>
        <v>#NUM!</v>
      </c>
      <c r="B263" s="762">
        <f t="shared" ca="1" si="8"/>
        <v>3</v>
      </c>
      <c r="C263" s="762">
        <f t="shared" ca="1" si="9"/>
        <v>1</v>
      </c>
      <c r="D263" s="763">
        <f t="shared" ca="1" si="10"/>
        <v>2</v>
      </c>
      <c r="E263" s="763">
        <f t="shared" ca="1" si="11"/>
        <v>2</v>
      </c>
      <c r="G263" s="628"/>
      <c r="H263" s="766" t="s">
        <v>368</v>
      </c>
      <c r="I263" s="629" t="str">
        <f t="shared" ca="1" si="13"/>
        <v>03.001.002.002</v>
      </c>
      <c r="J263" s="654" t="s">
        <v>370</v>
      </c>
      <c r="K263" s="630" t="s">
        <v>5</v>
      </c>
      <c r="L263" s="631">
        <f>SUM(SUPRA!E15:E19)</f>
        <v>2280</v>
      </c>
      <c r="M263" s="631">
        <f>VLOOKUP(J263,Preços!$C$7:$F$498,4,FALSE)</f>
        <v>7.2104999999999997</v>
      </c>
      <c r="N263" s="646">
        <f t="shared" si="14"/>
        <v>16439.939999999999</v>
      </c>
      <c r="O263" s="767" t="s">
        <v>530</v>
      </c>
      <c r="P263" s="632" t="s">
        <v>333</v>
      </c>
      <c r="R263" s="742"/>
      <c r="S263" s="742"/>
    </row>
    <row r="264" spans="1:19" s="761" customFormat="1" ht="22.5" hidden="1" outlineLevel="3" x14ac:dyDescent="0.2">
      <c r="A264" s="762" t="e">
        <f ca="1">IF($H264="UNIDADE CONSTRUTIVA",OFFSET(A264,-1,0)+1,LARGE(A$3:A263,1))</f>
        <v>#NUM!</v>
      </c>
      <c r="B264" s="762">
        <f t="shared" ca="1" si="8"/>
        <v>3</v>
      </c>
      <c r="C264" s="762">
        <f t="shared" ca="1" si="9"/>
        <v>1</v>
      </c>
      <c r="D264" s="763">
        <f t="shared" ca="1" si="10"/>
        <v>2</v>
      </c>
      <c r="E264" s="763">
        <f t="shared" ca="1" si="11"/>
        <v>3</v>
      </c>
      <c r="G264" s="628"/>
      <c r="H264" s="766" t="s">
        <v>368</v>
      </c>
      <c r="I264" s="629" t="str">
        <f t="shared" ca="1" si="13"/>
        <v>03.001.002.003</v>
      </c>
      <c r="J264" s="654" t="s">
        <v>371</v>
      </c>
      <c r="K264" s="630" t="s">
        <v>5</v>
      </c>
      <c r="L264" s="631">
        <f>SUM(SUPRA!F15:F19)</f>
        <v>3525</v>
      </c>
      <c r="M264" s="631">
        <f>VLOOKUP(J264,Preços!$C$7:$F$498,4,FALSE)</f>
        <v>6.9927999999999999</v>
      </c>
      <c r="N264" s="646">
        <f t="shared" si="14"/>
        <v>24649.62</v>
      </c>
      <c r="O264" s="767" t="s">
        <v>530</v>
      </c>
      <c r="P264" s="632" t="s">
        <v>333</v>
      </c>
      <c r="R264" s="742"/>
      <c r="S264" s="742"/>
    </row>
    <row r="265" spans="1:19" s="761" customFormat="1" ht="22.5" hidden="1" outlineLevel="3" x14ac:dyDescent="0.2">
      <c r="A265" s="762" t="e">
        <f ca="1">IF($H265="UNIDADE CONSTRUTIVA",OFFSET(A265,-1,0)+1,LARGE(A$3:A264,1))</f>
        <v>#NUM!</v>
      </c>
      <c r="B265" s="762">
        <f t="shared" ca="1" si="8"/>
        <v>3</v>
      </c>
      <c r="C265" s="762">
        <f t="shared" ca="1" si="9"/>
        <v>1</v>
      </c>
      <c r="D265" s="763">
        <f t="shared" ca="1" si="10"/>
        <v>2</v>
      </c>
      <c r="E265" s="763">
        <f t="shared" ca="1" si="11"/>
        <v>4</v>
      </c>
      <c r="G265" s="628"/>
      <c r="H265" s="766" t="s">
        <v>368</v>
      </c>
      <c r="I265" s="629" t="str">
        <f t="shared" ca="1" si="13"/>
        <v>03.001.002.004</v>
      </c>
      <c r="J265" s="654" t="s">
        <v>372</v>
      </c>
      <c r="K265" s="630" t="s">
        <v>5</v>
      </c>
      <c r="L265" s="631">
        <f>SUM(SUPRA!G14:G19)</f>
        <v>855</v>
      </c>
      <c r="M265" s="631">
        <f>VLOOKUP(J265,Preços!$C$7:$F$498,4,FALSE)</f>
        <v>6.8563999999999998</v>
      </c>
      <c r="N265" s="646">
        <f t="shared" si="14"/>
        <v>5862.2219999999998</v>
      </c>
      <c r="O265" s="767" t="s">
        <v>530</v>
      </c>
      <c r="P265" s="632" t="s">
        <v>333</v>
      </c>
      <c r="R265" s="742"/>
      <c r="S265" s="742"/>
    </row>
    <row r="266" spans="1:19" s="761" customFormat="1" ht="22.5" hidden="1" outlineLevel="3" x14ac:dyDescent="0.2">
      <c r="A266" s="762" t="e">
        <f ca="1">IF($H266="UNIDADE CONSTRUTIVA",OFFSET(A266,-1,0)+1,LARGE(A$3:A265,1))</f>
        <v>#NUM!</v>
      </c>
      <c r="B266" s="762">
        <f t="shared" ca="1" si="8"/>
        <v>3</v>
      </c>
      <c r="C266" s="762">
        <f t="shared" ca="1" si="9"/>
        <v>1</v>
      </c>
      <c r="D266" s="763">
        <f t="shared" ca="1" si="10"/>
        <v>2</v>
      </c>
      <c r="E266" s="763">
        <f t="shared" ca="1" si="11"/>
        <v>5</v>
      </c>
      <c r="G266" s="628"/>
      <c r="H266" s="766" t="s">
        <v>368</v>
      </c>
      <c r="I266" s="629" t="str">
        <f t="shared" ca="1" si="13"/>
        <v>03.001.002.005</v>
      </c>
      <c r="J266" s="654" t="s">
        <v>373</v>
      </c>
      <c r="K266" s="630" t="s">
        <v>5</v>
      </c>
      <c r="L266" s="631">
        <f>SUM(SUPRA!H15:H19)</f>
        <v>4950</v>
      </c>
      <c r="M266" s="631">
        <f>VLOOKUP(J266,Preços!$C$7:$F$498,4,FALSE)</f>
        <v>6.8331</v>
      </c>
      <c r="N266" s="646">
        <f t="shared" si="14"/>
        <v>33823.845000000001</v>
      </c>
      <c r="O266" s="767" t="s">
        <v>530</v>
      </c>
      <c r="P266" s="632" t="s">
        <v>333</v>
      </c>
      <c r="R266" s="742"/>
      <c r="S266" s="742"/>
    </row>
    <row r="267" spans="1:19" s="761" customFormat="1" ht="22.5" hidden="1" outlineLevel="3" x14ac:dyDescent="0.2">
      <c r="A267" s="762" t="e">
        <f ca="1">IF($H267="UNIDADE CONSTRUTIVA",OFFSET(A267,-1,0)+1,LARGE(A$3:A266,1))</f>
        <v>#NUM!</v>
      </c>
      <c r="B267" s="762">
        <f t="shared" ca="1" si="8"/>
        <v>3</v>
      </c>
      <c r="C267" s="762">
        <f t="shared" ca="1" si="9"/>
        <v>1</v>
      </c>
      <c r="D267" s="763">
        <f t="shared" ca="1" si="10"/>
        <v>2</v>
      </c>
      <c r="E267" s="763">
        <f t="shared" ca="1" si="11"/>
        <v>6</v>
      </c>
      <c r="G267" s="628"/>
      <c r="H267" s="766" t="s">
        <v>368</v>
      </c>
      <c r="I267" s="629" t="str">
        <f t="shared" ca="1" si="13"/>
        <v>03.001.002.006</v>
      </c>
      <c r="J267" s="654" t="s">
        <v>374</v>
      </c>
      <c r="K267" s="630" t="s">
        <v>5</v>
      </c>
      <c r="L267" s="631">
        <f>SUM(SUPRA!I15:I19)</f>
        <v>6660</v>
      </c>
      <c r="M267" s="631">
        <f>VLOOKUP(J267,Preços!$C$7:$F$498,4,FALSE)</f>
        <v>6.8216999999999999</v>
      </c>
      <c r="N267" s="646">
        <f t="shared" si="14"/>
        <v>45432.521999999997</v>
      </c>
      <c r="O267" s="767" t="s">
        <v>530</v>
      </c>
      <c r="P267" s="632" t="s">
        <v>333</v>
      </c>
      <c r="R267" s="742"/>
      <c r="S267" s="742"/>
    </row>
    <row r="268" spans="1:19" s="761" customFormat="1" ht="22.5" hidden="1" outlineLevel="3" x14ac:dyDescent="0.2">
      <c r="A268" s="762" t="e">
        <f ca="1">IF($H268="UNIDADE CONSTRUTIVA",OFFSET(A268,-1,0)+1,LARGE(A$3:A249,1))</f>
        <v>#NUM!</v>
      </c>
      <c r="B268" s="762">
        <f ca="1">IF(H268="UNIDADE CONSTRUTIVA",0,IF(H268="CÉLULA CONSTRUTIVA",OFFSET(B268,-1,0)+1,OFFSET(B268,-1,0)))</f>
        <v>3</v>
      </c>
      <c r="C268" s="762">
        <f ca="1">IF(H268="CÉLULA CONSTRUTIVA",0,IF(H268="ETAPA",OFFSET(C268,-1,0)+1,OFFSET(C268,-1,0)))</f>
        <v>1</v>
      </c>
      <c r="D268" s="763">
        <f ca="1">IF(H268="ETAPA",0,IF(H268="SUBETAPA",OFFSET(D268,-1,0)+1,OFFSET(D268,-1,0)))</f>
        <v>2</v>
      </c>
      <c r="E268" s="763">
        <f ca="1">IF(H268="Subetapa",0,IF(H268="serviço",OFFSET(E268,-1,0)+1,OFFSET(E268,-1,0)))</f>
        <v>7</v>
      </c>
      <c r="G268" s="628"/>
      <c r="H268" s="766" t="s">
        <v>368</v>
      </c>
      <c r="I268" s="629" t="str">
        <f ca="1">IF(H268="Unidade Construtiva",TEXT(A268,"00"),IF(H268="Célula Construtiva",TEXT(B268,"00"),IF(H268="Etapa",CONCATENATE(TEXT(B268,"00"),".",TEXT(C268,"000")),IF(H268="Subetapa",CONCATENATE(TEXT(B268,"00"),".",TEXT(C268,"000"),".",TEXT(D268,"000")),IF(H268="Serviço",CONCATENATE(TEXT(B268,"00"),".",TEXT(C268,"000"),".",TEXT(D268,"000"),".",TEXT(E268,"000")),"")))))</f>
        <v>03.001.002.007</v>
      </c>
      <c r="J268" s="654" t="s">
        <v>1229</v>
      </c>
      <c r="K268" s="630" t="s">
        <v>5</v>
      </c>
      <c r="L268" s="631">
        <f>SUPRA!N17</f>
        <v>411.6</v>
      </c>
      <c r="M268" s="631">
        <f>VLOOKUP(J268,Preços!$C$7:$F$498,4,FALSE)</f>
        <v>9.24</v>
      </c>
      <c r="N268" s="646">
        <f>L268*M268</f>
        <v>3803.1840000000002</v>
      </c>
      <c r="O268" s="767" t="s">
        <v>530</v>
      </c>
      <c r="P268" s="632" t="s">
        <v>333</v>
      </c>
      <c r="R268" s="742"/>
      <c r="S268" s="742"/>
    </row>
    <row r="269" spans="1:19" s="761" customFormat="1" hidden="1" outlineLevel="2" collapsed="1" x14ac:dyDescent="0.2">
      <c r="A269" s="762" t="e">
        <f ca="1">IF($H269="UNIDADE CONSTRUTIVA",OFFSET(A269,-1,0)+1,LARGE(A$3:A267,1))</f>
        <v>#NUM!</v>
      </c>
      <c r="B269" s="762">
        <f t="shared" ca="1" si="8"/>
        <v>3</v>
      </c>
      <c r="C269" s="762">
        <f t="shared" ca="1" si="9"/>
        <v>1</v>
      </c>
      <c r="D269" s="763">
        <f t="shared" ca="1" si="10"/>
        <v>3</v>
      </c>
      <c r="E269" s="763">
        <f t="shared" ca="1" si="11"/>
        <v>0</v>
      </c>
      <c r="G269" s="628"/>
      <c r="H269" s="766" t="s">
        <v>367</v>
      </c>
      <c r="I269" s="629" t="str">
        <f t="shared" ca="1" si="13"/>
        <v>03.001.003</v>
      </c>
      <c r="J269" s="654" t="s">
        <v>2090</v>
      </c>
      <c r="K269" s="630"/>
      <c r="L269" s="631"/>
      <c r="M269" s="631"/>
      <c r="N269" s="646">
        <f>SUM(N270)</f>
        <v>89969.672759999987</v>
      </c>
      <c r="O269" s="767"/>
      <c r="P269" s="632"/>
      <c r="R269" s="742"/>
      <c r="S269" s="742"/>
    </row>
    <row r="270" spans="1:19" s="761" customFormat="1" ht="33.75" hidden="1" outlineLevel="3" x14ac:dyDescent="0.2">
      <c r="A270" s="762" t="e">
        <f ca="1">IF($H270="UNIDADE CONSTRUTIVA",OFFSET(A270,-1,0)+1,LARGE(A$3:A269,1))</f>
        <v>#NUM!</v>
      </c>
      <c r="B270" s="762">
        <f t="shared" ca="1" si="8"/>
        <v>3</v>
      </c>
      <c r="C270" s="762">
        <f t="shared" ca="1" si="9"/>
        <v>1</v>
      </c>
      <c r="D270" s="763">
        <f t="shared" ca="1" si="10"/>
        <v>3</v>
      </c>
      <c r="E270" s="763">
        <f t="shared" ca="1" si="11"/>
        <v>1</v>
      </c>
      <c r="G270" s="628"/>
      <c r="H270" s="766" t="s">
        <v>368</v>
      </c>
      <c r="I270" s="629" t="str">
        <f t="shared" ca="1" si="13"/>
        <v>03.001.003.001</v>
      </c>
      <c r="J270" s="654" t="s">
        <v>1444</v>
      </c>
      <c r="K270" s="630" t="s">
        <v>4</v>
      </c>
      <c r="L270" s="631">
        <f>SUPRA!K20</f>
        <v>161.38</v>
      </c>
      <c r="M270" s="631">
        <f>VLOOKUP(J270,Preços!$C$7:$F$498,4,FALSE)</f>
        <v>557.50199999999995</v>
      </c>
      <c r="N270" s="646">
        <f>L270*M270</f>
        <v>89969.672759999987</v>
      </c>
      <c r="O270" s="767" t="s">
        <v>530</v>
      </c>
      <c r="P270" s="632" t="s">
        <v>333</v>
      </c>
      <c r="R270" s="742"/>
      <c r="S270" s="742"/>
    </row>
    <row r="271" spans="1:19" s="761" customFormat="1" hidden="1" outlineLevel="2" collapsed="1" x14ac:dyDescent="0.2">
      <c r="A271" s="762" t="e">
        <f ca="1">IF($H271="UNIDADE CONSTRUTIVA",OFFSET(A271,-1,0)+1,LARGE(A$3:A270,1))</f>
        <v>#NUM!</v>
      </c>
      <c r="B271" s="762">
        <f t="shared" ca="1" si="8"/>
        <v>3</v>
      </c>
      <c r="C271" s="762">
        <f t="shared" ca="1" si="9"/>
        <v>1</v>
      </c>
      <c r="D271" s="763">
        <f t="shared" ca="1" si="10"/>
        <v>4</v>
      </c>
      <c r="E271" s="763">
        <f t="shared" ca="1" si="11"/>
        <v>0</v>
      </c>
      <c r="G271" s="628"/>
      <c r="H271" s="766" t="s">
        <v>367</v>
      </c>
      <c r="I271" s="629" t="str">
        <f t="shared" ca="1" si="13"/>
        <v>03.001.004</v>
      </c>
      <c r="J271" s="654" t="s">
        <v>2091</v>
      </c>
      <c r="K271" s="630"/>
      <c r="L271" s="631"/>
      <c r="M271" s="631"/>
      <c r="N271" s="646">
        <f>SUM(N272:N273)</f>
        <v>32382</v>
      </c>
      <c r="O271" s="767"/>
      <c r="P271" s="632"/>
      <c r="R271" s="742"/>
      <c r="S271" s="742"/>
    </row>
    <row r="272" spans="1:19" s="761" customFormat="1" ht="22.5" hidden="1" outlineLevel="3" x14ac:dyDescent="0.2">
      <c r="A272" s="762" t="e">
        <f ca="1">IF($H272="UNIDADE CONSTRUTIVA",OFFSET(A272,-1,0)+1,LARGE(A$3:A271,1))</f>
        <v>#NUM!</v>
      </c>
      <c r="B272" s="762">
        <f t="shared" ca="1" si="8"/>
        <v>3</v>
      </c>
      <c r="C272" s="762">
        <f t="shared" ca="1" si="9"/>
        <v>1</v>
      </c>
      <c r="D272" s="763">
        <f t="shared" ca="1" si="10"/>
        <v>4</v>
      </c>
      <c r="E272" s="763">
        <f t="shared" ca="1" si="11"/>
        <v>1</v>
      </c>
      <c r="G272" s="628"/>
      <c r="H272" s="766" t="s">
        <v>368</v>
      </c>
      <c r="I272" s="629" t="str">
        <f t="shared" ca="1" si="13"/>
        <v>03.001.004.001</v>
      </c>
      <c r="J272" s="654" t="s">
        <v>1438</v>
      </c>
      <c r="K272" s="630" t="s">
        <v>87</v>
      </c>
      <c r="L272" s="631">
        <v>600</v>
      </c>
      <c r="M272" s="631">
        <f>VLOOKUP(J272,Preços!$C$7:$F$498,4,FALSE)</f>
        <v>10.5</v>
      </c>
      <c r="N272" s="646">
        <f>L272*M272</f>
        <v>6300</v>
      </c>
      <c r="O272" s="767" t="s">
        <v>1439</v>
      </c>
      <c r="P272" s="632" t="s">
        <v>333</v>
      </c>
      <c r="R272" s="742"/>
      <c r="S272" s="742"/>
    </row>
    <row r="273" spans="1:19" s="761" customFormat="1" ht="22.5" hidden="1" outlineLevel="3" x14ac:dyDescent="0.2">
      <c r="A273" s="762" t="e">
        <f ca="1">IF($H273="UNIDADE CONSTRUTIVA",OFFSET(A273,-1,0)+1,LARGE(A$3:A272,1))</f>
        <v>#NUM!</v>
      </c>
      <c r="B273" s="762">
        <f t="shared" ca="1" si="8"/>
        <v>3</v>
      </c>
      <c r="C273" s="762">
        <f t="shared" ca="1" si="9"/>
        <v>1</v>
      </c>
      <c r="D273" s="763">
        <f t="shared" ca="1" si="10"/>
        <v>4</v>
      </c>
      <c r="E273" s="763">
        <f t="shared" ca="1" si="11"/>
        <v>2</v>
      </c>
      <c r="G273" s="628"/>
      <c r="H273" s="766" t="s">
        <v>368</v>
      </c>
      <c r="I273" s="629" t="str">
        <f t="shared" ca="1" si="13"/>
        <v>03.001.004.002</v>
      </c>
      <c r="J273" s="654" t="s">
        <v>1058</v>
      </c>
      <c r="K273" s="630" t="s">
        <v>1223</v>
      </c>
      <c r="L273" s="631">
        <v>2</v>
      </c>
      <c r="M273" s="631">
        <f>VLOOKUP(J273,Preços!$C$7:$F$498,4,FALSE)</f>
        <v>13041</v>
      </c>
      <c r="N273" s="646">
        <f>L273*M273</f>
        <v>26082</v>
      </c>
      <c r="O273" s="767"/>
      <c r="P273" s="632" t="s">
        <v>333</v>
      </c>
      <c r="R273" s="742"/>
      <c r="S273" s="742"/>
    </row>
    <row r="274" spans="1:19" s="761" customFormat="1" hidden="1" outlineLevel="2" collapsed="1" x14ac:dyDescent="0.2">
      <c r="A274" s="762" t="e">
        <f ca="1">IF($H274="UNIDADE CONSTRUTIVA",OFFSET(A274,-1,0)+1,LARGE(A$3:A272,1))</f>
        <v>#NUM!</v>
      </c>
      <c r="B274" s="762">
        <f t="shared" ca="1" si="8"/>
        <v>3</v>
      </c>
      <c r="C274" s="762">
        <f t="shared" ca="1" si="9"/>
        <v>1</v>
      </c>
      <c r="D274" s="763">
        <f t="shared" ca="1" si="10"/>
        <v>5</v>
      </c>
      <c r="E274" s="763">
        <f t="shared" ca="1" si="11"/>
        <v>0</v>
      </c>
      <c r="G274" s="628"/>
      <c r="H274" s="766" t="s">
        <v>367</v>
      </c>
      <c r="I274" s="629" t="str">
        <f t="shared" ca="1" si="13"/>
        <v>03.001.005</v>
      </c>
      <c r="J274" s="654" t="s">
        <v>2092</v>
      </c>
      <c r="K274" s="630"/>
      <c r="L274" s="631"/>
      <c r="M274" s="631"/>
      <c r="N274" s="646">
        <f>SUM(N275:N275)</f>
        <v>187000</v>
      </c>
      <c r="O274" s="767"/>
      <c r="P274" s="632"/>
      <c r="R274" s="742"/>
      <c r="S274" s="742"/>
    </row>
    <row r="275" spans="1:19" s="761" customFormat="1" ht="22.5" hidden="1" outlineLevel="3" x14ac:dyDescent="0.2">
      <c r="A275" s="762" t="e">
        <f ca="1">IF($H275="UNIDADE CONSTRUTIVA",OFFSET(A275,-1,0)+1,LARGE(A$3:A274,1))</f>
        <v>#NUM!</v>
      </c>
      <c r="B275" s="762">
        <f t="shared" ca="1" si="8"/>
        <v>3</v>
      </c>
      <c r="C275" s="762">
        <f t="shared" ca="1" si="9"/>
        <v>1</v>
      </c>
      <c r="D275" s="763">
        <f t="shared" ca="1" si="10"/>
        <v>5</v>
      </c>
      <c r="E275" s="763">
        <f t="shared" ca="1" si="11"/>
        <v>1</v>
      </c>
      <c r="G275" s="628"/>
      <c r="H275" s="766" t="s">
        <v>368</v>
      </c>
      <c r="I275" s="629" t="str">
        <f t="shared" ca="1" si="13"/>
        <v>03.001.005.001</v>
      </c>
      <c r="J275" s="654" t="s">
        <v>1133</v>
      </c>
      <c r="K275" s="630" t="s">
        <v>250</v>
      </c>
      <c r="L275" s="631">
        <v>1</v>
      </c>
      <c r="M275" s="631">
        <v>187000</v>
      </c>
      <c r="N275" s="646">
        <f>L275*M275</f>
        <v>187000</v>
      </c>
      <c r="O275" s="1228" t="s">
        <v>2084</v>
      </c>
      <c r="P275" s="632" t="s">
        <v>333</v>
      </c>
      <c r="R275" s="742"/>
      <c r="S275" s="742"/>
    </row>
    <row r="276" spans="1:19" s="761" customFormat="1" hidden="1" outlineLevel="1" collapsed="1" x14ac:dyDescent="0.2">
      <c r="A276" s="762" t="e">
        <f ca="1">IF($H276="UNIDADE CONSTRUTIVA",OFFSET(A276,-1,0)+1,LARGE(#REF!,1))</f>
        <v>#REF!</v>
      </c>
      <c r="B276" s="762">
        <f t="shared" ref="B276:B295" ca="1" si="15">IF(H276="UNIDADE CONSTRUTIVA",0,IF(H276="CÉLULA CONSTRUTIVA",OFFSET(B276,-1,0)+1,OFFSET(B276,-1,0)))</f>
        <v>3</v>
      </c>
      <c r="C276" s="762">
        <f t="shared" ref="C276:C295" ca="1" si="16">IF(H276="CÉLULA CONSTRUTIVA",0,IF(H276="ETAPA",OFFSET(C276,-1,0)+1,OFFSET(C276,-1,0)))</f>
        <v>2</v>
      </c>
      <c r="D276" s="763">
        <f t="shared" ref="D276:D295" ca="1" si="17">IF(H276="ETAPA",0,IF(H276="SUBETAPA",OFFSET(D276,-1,0)+1,OFFSET(D276,-1,0)))</f>
        <v>0</v>
      </c>
      <c r="E276" s="763">
        <f t="shared" ref="E276:E295" ca="1" si="18">IF(H276="Subetapa",0,IF(H276="serviço",OFFSET(E276,-1,0)+1,OFFSET(E276,-1,0)))</f>
        <v>1</v>
      </c>
      <c r="G276" s="628"/>
      <c r="H276" s="766" t="s">
        <v>366</v>
      </c>
      <c r="I276" s="629" t="str">
        <f t="shared" ref="I276:I295" ca="1" si="19">IF(H276="Unidade Construtiva",TEXT(A276,"00"),IF(H276="Célula Construtiva",TEXT(B276,"00"),IF(H276="Etapa",CONCATENATE(TEXT(B276,"00"),".",TEXT(C276,"000")),IF(H276="Subetapa",CONCATENATE(TEXT(B276,"00"),".",TEXT(C276,"000"),".",TEXT(D276,"000")),IF(H276="Serviço",CONCATENATE(TEXT(B276,"00"),".",TEXT(C276,"000"),".",TEXT(D276,"000"),".",TEXT(E276,"000")),"")))))</f>
        <v>03.002</v>
      </c>
      <c r="J276" s="654" t="s">
        <v>472</v>
      </c>
      <c r="K276" s="630"/>
      <c r="L276" s="631"/>
      <c r="M276" s="631"/>
      <c r="N276" s="646">
        <f>N277+N282+N290+N292+N294</f>
        <v>531001.29059210001</v>
      </c>
      <c r="O276" s="767"/>
      <c r="P276" s="632"/>
      <c r="R276" s="742"/>
      <c r="S276" s="742"/>
    </row>
    <row r="277" spans="1:19" s="761" customFormat="1" hidden="1" outlineLevel="2" x14ac:dyDescent="0.2">
      <c r="A277" s="762" t="e">
        <f ca="1">IF($H277="UNIDADE CONSTRUTIVA",OFFSET(A277,-1,0)+1,LARGE(A$3:A276,1))</f>
        <v>#NUM!</v>
      </c>
      <c r="B277" s="762">
        <f t="shared" ca="1" si="15"/>
        <v>3</v>
      </c>
      <c r="C277" s="762">
        <f t="shared" ca="1" si="16"/>
        <v>2</v>
      </c>
      <c r="D277" s="763">
        <f t="shared" ca="1" si="17"/>
        <v>1</v>
      </c>
      <c r="E277" s="763">
        <f t="shared" ca="1" si="18"/>
        <v>0</v>
      </c>
      <c r="G277" s="628"/>
      <c r="H277" s="766" t="s">
        <v>367</v>
      </c>
      <c r="I277" s="629" t="str">
        <f t="shared" ca="1" si="19"/>
        <v>03.002.001</v>
      </c>
      <c r="J277" s="654" t="s">
        <v>2093</v>
      </c>
      <c r="K277" s="630"/>
      <c r="L277" s="631"/>
      <c r="M277" s="631"/>
      <c r="N277" s="646">
        <f>SUM(N278:N281)</f>
        <v>121149.1146521</v>
      </c>
      <c r="O277" s="767"/>
      <c r="P277" s="632"/>
      <c r="R277" s="742"/>
      <c r="S277" s="742"/>
    </row>
    <row r="278" spans="1:19" s="761" customFormat="1" ht="22.5" hidden="1" outlineLevel="3" x14ac:dyDescent="0.2">
      <c r="A278" s="762" t="e">
        <f ca="1">IF($H278="UNIDADE CONSTRUTIVA",OFFSET(A278,-1,0)+1,LARGE(A$3:A277,1))</f>
        <v>#NUM!</v>
      </c>
      <c r="B278" s="762">
        <f t="shared" ca="1" si="15"/>
        <v>3</v>
      </c>
      <c r="C278" s="762">
        <f t="shared" ca="1" si="16"/>
        <v>2</v>
      </c>
      <c r="D278" s="763">
        <f t="shared" ca="1" si="17"/>
        <v>1</v>
      </c>
      <c r="E278" s="763">
        <f t="shared" ca="1" si="18"/>
        <v>1</v>
      </c>
      <c r="G278" s="628"/>
      <c r="H278" s="766" t="s">
        <v>368</v>
      </c>
      <c r="I278" s="629" t="str">
        <f t="shared" ca="1" si="19"/>
        <v>03.002.001.001</v>
      </c>
      <c r="J278" s="654" t="s">
        <v>2112</v>
      </c>
      <c r="K278" s="630" t="s">
        <v>1</v>
      </c>
      <c r="L278" s="631">
        <f>Vigas!Q7</f>
        <v>204.11</v>
      </c>
      <c r="M278" s="631">
        <f>VLOOKUP(J278,Preços!$C$7:$F$498,4,FALSE)</f>
        <v>108.4393</v>
      </c>
      <c r="N278" s="646">
        <f>L278*M278</f>
        <v>22133.545523000001</v>
      </c>
      <c r="O278" s="1228" t="s">
        <v>2113</v>
      </c>
      <c r="P278" s="632" t="s">
        <v>333</v>
      </c>
      <c r="R278" s="742"/>
      <c r="S278" s="742"/>
    </row>
    <row r="279" spans="1:19" s="761" customFormat="1" ht="22.5" hidden="1" outlineLevel="3" x14ac:dyDescent="0.2">
      <c r="A279" s="762" t="e">
        <f ca="1">IF($H279="UNIDADE CONSTRUTIVA",OFFSET(A279,-1,0)+1,LARGE(A$3:A278,1))</f>
        <v>#NUM!</v>
      </c>
      <c r="B279" s="762">
        <f t="shared" ca="1" si="15"/>
        <v>3</v>
      </c>
      <c r="C279" s="762">
        <f t="shared" ca="1" si="16"/>
        <v>2</v>
      </c>
      <c r="D279" s="763">
        <f t="shared" ca="1" si="17"/>
        <v>1</v>
      </c>
      <c r="E279" s="763">
        <f t="shared" ca="1" si="18"/>
        <v>2</v>
      </c>
      <c r="G279" s="628"/>
      <c r="H279" s="766" t="s">
        <v>368</v>
      </c>
      <c r="I279" s="629" t="str">
        <f t="shared" ca="1" si="19"/>
        <v>03.002.001.002</v>
      </c>
      <c r="J279" s="654" t="s">
        <v>2110</v>
      </c>
      <c r="K279" s="630" t="s">
        <v>1</v>
      </c>
      <c r="L279" s="631">
        <f>Pilares!P8</f>
        <v>272.63</v>
      </c>
      <c r="M279" s="631">
        <f>VLOOKUP(J279,Preços!$C$7:$F$498,4,FALSE)</f>
        <v>180.05500000000001</v>
      </c>
      <c r="N279" s="646">
        <f>L279*M279</f>
        <v>49088.394650000002</v>
      </c>
      <c r="O279" s="1228" t="s">
        <v>2113</v>
      </c>
      <c r="P279" s="632" t="s">
        <v>333</v>
      </c>
      <c r="R279" s="742"/>
      <c r="S279" s="742"/>
    </row>
    <row r="280" spans="1:19" s="761" customFormat="1" ht="22.5" hidden="1" outlineLevel="3" x14ac:dyDescent="0.2">
      <c r="A280" s="762" t="e">
        <f ca="1">IF($H280="UNIDADE CONSTRUTIVA",OFFSET(A280,-1,0)+1,LARGE(A$3:A279,1))</f>
        <v>#NUM!</v>
      </c>
      <c r="B280" s="762">
        <f t="shared" ca="1" si="15"/>
        <v>3</v>
      </c>
      <c r="C280" s="762">
        <f t="shared" ca="1" si="16"/>
        <v>2</v>
      </c>
      <c r="D280" s="763">
        <f t="shared" ca="1" si="17"/>
        <v>1</v>
      </c>
      <c r="E280" s="763">
        <f t="shared" ca="1" si="18"/>
        <v>3</v>
      </c>
      <c r="G280" s="628"/>
      <c r="H280" s="766" t="s">
        <v>368</v>
      </c>
      <c r="I280" s="629" t="str">
        <f t="shared" ca="1" si="19"/>
        <v>03.002.001.003</v>
      </c>
      <c r="J280" s="654" t="s">
        <v>2111</v>
      </c>
      <c r="K280" s="630" t="s">
        <v>1</v>
      </c>
      <c r="L280" s="631">
        <f>Lajes!S8</f>
        <v>376.7</v>
      </c>
      <c r="M280" s="631">
        <f>VLOOKUP(J280,Preços!$C$7:$F$498,4,FALSE)</f>
        <v>75.526799999999994</v>
      </c>
      <c r="N280" s="646">
        <f>L280*M280</f>
        <v>28450.945559999996</v>
      </c>
      <c r="O280" s="1228" t="s">
        <v>2113</v>
      </c>
      <c r="P280" s="632" t="s">
        <v>333</v>
      </c>
      <c r="R280" s="742"/>
      <c r="S280" s="742"/>
    </row>
    <row r="281" spans="1:19" s="761" customFormat="1" ht="22.5" hidden="1" outlineLevel="3" x14ac:dyDescent="0.2">
      <c r="A281" s="762" t="e">
        <f ca="1">IF($H281="UNIDADE CONSTRUTIVA",OFFSET(A281,-1,0)+1,LARGE(A$3:A280,1))</f>
        <v>#NUM!</v>
      </c>
      <c r="B281" s="762">
        <f t="shared" ca="1" si="15"/>
        <v>3</v>
      </c>
      <c r="C281" s="762">
        <f t="shared" ca="1" si="16"/>
        <v>2</v>
      </c>
      <c r="D281" s="763">
        <f t="shared" ca="1" si="17"/>
        <v>1</v>
      </c>
      <c r="E281" s="763">
        <f t="shared" ca="1" si="18"/>
        <v>4</v>
      </c>
      <c r="G281" s="628"/>
      <c r="H281" s="766" t="s">
        <v>368</v>
      </c>
      <c r="I281" s="629" t="str">
        <f t="shared" ca="1" si="19"/>
        <v>03.002.001.004</v>
      </c>
      <c r="J281" s="654" t="s">
        <v>2109</v>
      </c>
      <c r="K281" s="630" t="s">
        <v>1</v>
      </c>
      <c r="L281" s="631">
        <f>Rampas!S8+Escadas!W8</f>
        <v>163.27362500000001</v>
      </c>
      <c r="M281" s="631">
        <f>VLOOKUP(J281,Preços!$C$7:$F$498,4,FALSE)</f>
        <v>131.5352</v>
      </c>
      <c r="N281" s="646">
        <f>L281*M281</f>
        <v>21476.228919100002</v>
      </c>
      <c r="O281" s="1228" t="s">
        <v>2113</v>
      </c>
      <c r="P281" s="632" t="s">
        <v>333</v>
      </c>
      <c r="R281" s="742"/>
      <c r="S281" s="742"/>
    </row>
    <row r="282" spans="1:19" s="761" customFormat="1" hidden="1" outlineLevel="2" collapsed="1" x14ac:dyDescent="0.2">
      <c r="A282" s="762" t="e">
        <f ca="1">IF($H282="UNIDADE CONSTRUTIVA",OFFSET(A282,-1,0)+1,LARGE(A$3:A281,1))</f>
        <v>#NUM!</v>
      </c>
      <c r="B282" s="762">
        <f t="shared" ca="1" si="15"/>
        <v>3</v>
      </c>
      <c r="C282" s="762">
        <f t="shared" ca="1" si="16"/>
        <v>2</v>
      </c>
      <c r="D282" s="763">
        <f t="shared" ca="1" si="17"/>
        <v>2</v>
      </c>
      <c r="E282" s="763">
        <f t="shared" ca="1" si="18"/>
        <v>0</v>
      </c>
      <c r="G282" s="628"/>
      <c r="H282" s="766" t="s">
        <v>367</v>
      </c>
      <c r="I282" s="629" t="str">
        <f t="shared" ca="1" si="19"/>
        <v>03.002.002</v>
      </c>
      <c r="J282" s="654" t="s">
        <v>2094</v>
      </c>
      <c r="K282" s="630"/>
      <c r="L282" s="631"/>
      <c r="M282" s="631"/>
      <c r="N282" s="646">
        <f>SUM(N283:N289)</f>
        <v>118840.73149999999</v>
      </c>
      <c r="O282" s="767"/>
      <c r="P282" s="632"/>
      <c r="R282" s="742"/>
      <c r="S282" s="742"/>
    </row>
    <row r="283" spans="1:19" s="761" customFormat="1" ht="22.5" hidden="1" outlineLevel="3" x14ac:dyDescent="0.2">
      <c r="A283" s="762" t="e">
        <f ca="1">IF($H283="UNIDADE CONSTRUTIVA",OFFSET(A283,-1,0)+1,LARGE(A$3:A282,1))</f>
        <v>#NUM!</v>
      </c>
      <c r="B283" s="762">
        <f t="shared" ca="1" si="15"/>
        <v>3</v>
      </c>
      <c r="C283" s="762">
        <f t="shared" ca="1" si="16"/>
        <v>2</v>
      </c>
      <c r="D283" s="763">
        <f t="shared" ca="1" si="17"/>
        <v>2</v>
      </c>
      <c r="E283" s="763">
        <f t="shared" ca="1" si="18"/>
        <v>1</v>
      </c>
      <c r="G283" s="628"/>
      <c r="H283" s="766" t="s">
        <v>368</v>
      </c>
      <c r="I283" s="629" t="str">
        <f t="shared" ca="1" si="19"/>
        <v>03.002.002.001</v>
      </c>
      <c r="J283" s="654" t="s">
        <v>369</v>
      </c>
      <c r="K283" s="630" t="s">
        <v>5</v>
      </c>
      <c r="L283" s="631">
        <f>SUM(SUPRA!D21:D25)</f>
        <v>1010</v>
      </c>
      <c r="M283" s="631">
        <f>VLOOKUP(J283,Preços!$C$7:$F$498,4,FALSE)</f>
        <v>7.5498000000000003</v>
      </c>
      <c r="N283" s="646">
        <f t="shared" ref="N283:N289" si="20">L283*M283</f>
        <v>7625.2980000000007</v>
      </c>
      <c r="O283" s="767" t="s">
        <v>530</v>
      </c>
      <c r="P283" s="632" t="s">
        <v>333</v>
      </c>
      <c r="R283" s="742"/>
      <c r="S283" s="742"/>
    </row>
    <row r="284" spans="1:19" s="761" customFormat="1" ht="22.5" hidden="1" outlineLevel="3" x14ac:dyDescent="0.2">
      <c r="A284" s="762" t="e">
        <f ca="1">IF($H284="UNIDADE CONSTRUTIVA",OFFSET(A284,-1,0)+1,LARGE(A$3:A283,1))</f>
        <v>#NUM!</v>
      </c>
      <c r="B284" s="762">
        <f t="shared" ca="1" si="15"/>
        <v>3</v>
      </c>
      <c r="C284" s="762">
        <f t="shared" ca="1" si="16"/>
        <v>2</v>
      </c>
      <c r="D284" s="763">
        <f t="shared" ca="1" si="17"/>
        <v>2</v>
      </c>
      <c r="E284" s="763">
        <f t="shared" ca="1" si="18"/>
        <v>2</v>
      </c>
      <c r="G284" s="628"/>
      <c r="H284" s="766" t="s">
        <v>368</v>
      </c>
      <c r="I284" s="629" t="str">
        <f t="shared" ca="1" si="19"/>
        <v>03.002.002.002</v>
      </c>
      <c r="J284" s="654" t="s">
        <v>370</v>
      </c>
      <c r="K284" s="630" t="s">
        <v>5</v>
      </c>
      <c r="L284" s="631">
        <f>SUM(SUPRA!E21:E25)</f>
        <v>2200</v>
      </c>
      <c r="M284" s="631">
        <f>VLOOKUP(J284,Preços!$C$7:$F$498,4,FALSE)</f>
        <v>7.2104999999999997</v>
      </c>
      <c r="N284" s="646">
        <f t="shared" si="20"/>
        <v>15863.099999999999</v>
      </c>
      <c r="O284" s="767" t="s">
        <v>530</v>
      </c>
      <c r="P284" s="632" t="s">
        <v>333</v>
      </c>
      <c r="R284" s="742"/>
      <c r="S284" s="742"/>
    </row>
    <row r="285" spans="1:19" s="761" customFormat="1" ht="22.5" hidden="1" outlineLevel="3" x14ac:dyDescent="0.2">
      <c r="A285" s="762" t="e">
        <f ca="1">IF($H285="UNIDADE CONSTRUTIVA",OFFSET(A285,-1,0)+1,LARGE(A$3:A284,1))</f>
        <v>#NUM!</v>
      </c>
      <c r="B285" s="762">
        <f t="shared" ca="1" si="15"/>
        <v>3</v>
      </c>
      <c r="C285" s="762">
        <f t="shared" ca="1" si="16"/>
        <v>2</v>
      </c>
      <c r="D285" s="763">
        <f t="shared" ca="1" si="17"/>
        <v>2</v>
      </c>
      <c r="E285" s="763">
        <f t="shared" ca="1" si="18"/>
        <v>3</v>
      </c>
      <c r="G285" s="628"/>
      <c r="H285" s="766" t="s">
        <v>368</v>
      </c>
      <c r="I285" s="629" t="str">
        <f t="shared" ca="1" si="19"/>
        <v>03.002.002.003</v>
      </c>
      <c r="J285" s="654" t="s">
        <v>371</v>
      </c>
      <c r="K285" s="630" t="s">
        <v>5</v>
      </c>
      <c r="L285" s="631">
        <f>SUM(SUPRA!F21:F25)</f>
        <v>3120</v>
      </c>
      <c r="M285" s="631">
        <f>VLOOKUP(J285,Preços!$C$7:$F$498,4,FALSE)</f>
        <v>6.9927999999999999</v>
      </c>
      <c r="N285" s="646">
        <f t="shared" si="20"/>
        <v>21817.536</v>
      </c>
      <c r="O285" s="767" t="s">
        <v>530</v>
      </c>
      <c r="P285" s="632" t="s">
        <v>333</v>
      </c>
      <c r="R285" s="742"/>
      <c r="S285" s="742"/>
    </row>
    <row r="286" spans="1:19" s="761" customFormat="1" ht="22.5" hidden="1" outlineLevel="3" x14ac:dyDescent="0.2">
      <c r="A286" s="762" t="e">
        <f ca="1">IF($H286="UNIDADE CONSTRUTIVA",OFFSET(A286,-1,0)+1,LARGE(A$3:A285,1))</f>
        <v>#NUM!</v>
      </c>
      <c r="B286" s="762">
        <f t="shared" ca="1" si="15"/>
        <v>3</v>
      </c>
      <c r="C286" s="762">
        <f t="shared" ca="1" si="16"/>
        <v>2</v>
      </c>
      <c r="D286" s="763">
        <f t="shared" ca="1" si="17"/>
        <v>2</v>
      </c>
      <c r="E286" s="763">
        <f t="shared" ca="1" si="18"/>
        <v>4</v>
      </c>
      <c r="G286" s="628"/>
      <c r="H286" s="766" t="s">
        <v>368</v>
      </c>
      <c r="I286" s="629" t="str">
        <f t="shared" ca="1" si="19"/>
        <v>03.002.002.004</v>
      </c>
      <c r="J286" s="654" t="s">
        <v>372</v>
      </c>
      <c r="K286" s="630" t="s">
        <v>5</v>
      </c>
      <c r="L286" s="631">
        <f>SUM(SUPRA!G21:G25)</f>
        <v>865</v>
      </c>
      <c r="M286" s="631">
        <f>VLOOKUP(J286,Preços!$C$7:$F$498,4,FALSE)</f>
        <v>6.8563999999999998</v>
      </c>
      <c r="N286" s="646">
        <f t="shared" si="20"/>
        <v>5930.7860000000001</v>
      </c>
      <c r="O286" s="767" t="s">
        <v>530</v>
      </c>
      <c r="P286" s="632" t="s">
        <v>333</v>
      </c>
      <c r="R286" s="742"/>
      <c r="S286" s="742"/>
    </row>
    <row r="287" spans="1:19" s="761" customFormat="1" ht="22.5" hidden="1" outlineLevel="3" x14ac:dyDescent="0.2">
      <c r="A287" s="762" t="e">
        <f ca="1">IF($H287="UNIDADE CONSTRUTIVA",OFFSET(A287,-1,0)+1,LARGE(A$3:A286,1))</f>
        <v>#NUM!</v>
      </c>
      <c r="B287" s="762">
        <f t="shared" ca="1" si="15"/>
        <v>3</v>
      </c>
      <c r="C287" s="762">
        <f t="shared" ca="1" si="16"/>
        <v>2</v>
      </c>
      <c r="D287" s="763">
        <f t="shared" ca="1" si="17"/>
        <v>2</v>
      </c>
      <c r="E287" s="763">
        <f t="shared" ca="1" si="18"/>
        <v>5</v>
      </c>
      <c r="G287" s="628"/>
      <c r="H287" s="766" t="s">
        <v>368</v>
      </c>
      <c r="I287" s="629" t="str">
        <f t="shared" ca="1" si="19"/>
        <v>03.002.002.005</v>
      </c>
      <c r="J287" s="654" t="s">
        <v>373</v>
      </c>
      <c r="K287" s="630" t="s">
        <v>5</v>
      </c>
      <c r="L287" s="631">
        <f>SUM(SUPRA!H21:H25)</f>
        <v>4565</v>
      </c>
      <c r="M287" s="631">
        <f>VLOOKUP(J287,Preços!$C$7:$F$498,4,FALSE)</f>
        <v>6.8331</v>
      </c>
      <c r="N287" s="646">
        <f t="shared" si="20"/>
        <v>31193.101500000001</v>
      </c>
      <c r="O287" s="767" t="s">
        <v>530</v>
      </c>
      <c r="P287" s="632" t="s">
        <v>333</v>
      </c>
      <c r="R287" s="742"/>
      <c r="S287" s="742"/>
    </row>
    <row r="288" spans="1:19" s="761" customFormat="1" ht="22.5" hidden="1" outlineLevel="3" x14ac:dyDescent="0.2">
      <c r="A288" s="762" t="e">
        <f ca="1">IF($H288="UNIDADE CONSTRUTIVA",OFFSET(A288,-1,0)+1,LARGE(A$3:A287,1))</f>
        <v>#NUM!</v>
      </c>
      <c r="B288" s="762">
        <f t="shared" ca="1" si="15"/>
        <v>3</v>
      </c>
      <c r="C288" s="762">
        <f t="shared" ca="1" si="16"/>
        <v>2</v>
      </c>
      <c r="D288" s="763">
        <f t="shared" ca="1" si="17"/>
        <v>2</v>
      </c>
      <c r="E288" s="763">
        <f t="shared" ca="1" si="18"/>
        <v>6</v>
      </c>
      <c r="G288" s="628"/>
      <c r="H288" s="766" t="s">
        <v>368</v>
      </c>
      <c r="I288" s="629" t="str">
        <f t="shared" ca="1" si="19"/>
        <v>03.002.002.006</v>
      </c>
      <c r="J288" s="654" t="s">
        <v>374</v>
      </c>
      <c r="K288" s="630" t="s">
        <v>5</v>
      </c>
      <c r="L288" s="631">
        <f>SUM(SUPRA!I21:I25)</f>
        <v>4780</v>
      </c>
      <c r="M288" s="631">
        <f>VLOOKUP(J288,Preços!$C$7:$F$498,4,FALSE)</f>
        <v>6.8216999999999999</v>
      </c>
      <c r="N288" s="646">
        <f t="shared" si="20"/>
        <v>32607.725999999999</v>
      </c>
      <c r="O288" s="767" t="s">
        <v>530</v>
      </c>
      <c r="P288" s="632" t="s">
        <v>333</v>
      </c>
      <c r="R288" s="742"/>
      <c r="S288" s="742"/>
    </row>
    <row r="289" spans="1:24" s="761" customFormat="1" ht="22.5" hidden="1" outlineLevel="3" x14ac:dyDescent="0.2">
      <c r="A289" s="762" t="e">
        <f ca="1">IF($H289="UNIDADE CONSTRUTIVA",OFFSET(A289,-1,0)+1,LARGE(A$3:A258,1))</f>
        <v>#NUM!</v>
      </c>
      <c r="B289" s="762">
        <f t="shared" ca="1" si="15"/>
        <v>3</v>
      </c>
      <c r="C289" s="762">
        <f t="shared" ca="1" si="16"/>
        <v>2</v>
      </c>
      <c r="D289" s="763">
        <f t="shared" ca="1" si="17"/>
        <v>2</v>
      </c>
      <c r="E289" s="763">
        <f t="shared" ca="1" si="18"/>
        <v>7</v>
      </c>
      <c r="G289" s="628"/>
      <c r="H289" s="766" t="s">
        <v>368</v>
      </c>
      <c r="I289" s="629" t="str">
        <f t="shared" ca="1" si="19"/>
        <v>03.002.002.007</v>
      </c>
      <c r="J289" s="654" t="s">
        <v>1229</v>
      </c>
      <c r="K289" s="630" t="s">
        <v>5</v>
      </c>
      <c r="L289" s="631">
        <f>SUPRA!N23</f>
        <v>411.6</v>
      </c>
      <c r="M289" s="631">
        <f>VLOOKUP(J289,Preços!$C$7:$F$498,4,FALSE)</f>
        <v>9.24</v>
      </c>
      <c r="N289" s="646">
        <f t="shared" si="20"/>
        <v>3803.1840000000002</v>
      </c>
      <c r="O289" s="767" t="s">
        <v>530</v>
      </c>
      <c r="P289" s="632" t="s">
        <v>333</v>
      </c>
      <c r="R289" s="742"/>
      <c r="S289" s="742"/>
    </row>
    <row r="290" spans="1:24" s="761" customFormat="1" hidden="1" outlineLevel="2" collapsed="1" x14ac:dyDescent="0.2">
      <c r="A290" s="762" t="e">
        <f ca="1">IF($H290="UNIDADE CONSTRUTIVA",OFFSET(A290,-1,0)+1,LARGE(A$3:A288,1))</f>
        <v>#NUM!</v>
      </c>
      <c r="B290" s="762">
        <f t="shared" ca="1" si="15"/>
        <v>3</v>
      </c>
      <c r="C290" s="762">
        <f t="shared" ca="1" si="16"/>
        <v>2</v>
      </c>
      <c r="D290" s="763">
        <f t="shared" ca="1" si="17"/>
        <v>3</v>
      </c>
      <c r="E290" s="763">
        <f t="shared" ca="1" si="18"/>
        <v>0</v>
      </c>
      <c r="G290" s="628"/>
      <c r="H290" s="766" t="s">
        <v>367</v>
      </c>
      <c r="I290" s="629" t="str">
        <f t="shared" ca="1" si="19"/>
        <v>03.002.003</v>
      </c>
      <c r="J290" s="654" t="s">
        <v>2095</v>
      </c>
      <c r="K290" s="630"/>
      <c r="L290" s="631"/>
      <c r="M290" s="631"/>
      <c r="N290" s="646">
        <f>SUM(N291)</f>
        <v>82075.444439999992</v>
      </c>
      <c r="O290" s="767"/>
      <c r="P290" s="632"/>
      <c r="R290" s="742"/>
      <c r="S290" s="742"/>
    </row>
    <row r="291" spans="1:24" s="761" customFormat="1" ht="33.75" hidden="1" outlineLevel="3" x14ac:dyDescent="0.2">
      <c r="A291" s="762" t="e">
        <f ca="1">IF($H291="UNIDADE CONSTRUTIVA",OFFSET(A291,-1,0)+1,LARGE(A$3:A290,1))</f>
        <v>#NUM!</v>
      </c>
      <c r="B291" s="762">
        <f t="shared" ca="1" si="15"/>
        <v>3</v>
      </c>
      <c r="C291" s="762">
        <f t="shared" ca="1" si="16"/>
        <v>2</v>
      </c>
      <c r="D291" s="763">
        <f t="shared" ca="1" si="17"/>
        <v>3</v>
      </c>
      <c r="E291" s="763">
        <f t="shared" ca="1" si="18"/>
        <v>1</v>
      </c>
      <c r="G291" s="628"/>
      <c r="H291" s="766" t="s">
        <v>368</v>
      </c>
      <c r="I291" s="629" t="str">
        <f t="shared" ca="1" si="19"/>
        <v>03.002.003.001</v>
      </c>
      <c r="J291" s="654" t="s">
        <v>1444</v>
      </c>
      <c r="K291" s="630" t="s">
        <v>4</v>
      </c>
      <c r="L291" s="631">
        <f>SUPRA!K26</f>
        <v>147.22</v>
      </c>
      <c r="M291" s="631">
        <f>VLOOKUP(J291,Preços!$C$7:$F$498,4,FALSE)</f>
        <v>557.50199999999995</v>
      </c>
      <c r="N291" s="646">
        <f>L291*M291</f>
        <v>82075.444439999992</v>
      </c>
      <c r="O291" s="767" t="s">
        <v>530</v>
      </c>
      <c r="P291" s="632" t="s">
        <v>333</v>
      </c>
      <c r="R291" s="742"/>
      <c r="S291" s="742"/>
    </row>
    <row r="292" spans="1:24" s="761" customFormat="1" hidden="1" outlineLevel="2" collapsed="1" x14ac:dyDescent="0.2">
      <c r="A292" s="762" t="e">
        <f ca="1">IF($H292="UNIDADE CONSTRUTIVA",OFFSET(A292,-1,0)+1,LARGE(A$3:A291,1))</f>
        <v>#NUM!</v>
      </c>
      <c r="B292" s="762">
        <f t="shared" ca="1" si="15"/>
        <v>3</v>
      </c>
      <c r="C292" s="762">
        <f t="shared" ca="1" si="16"/>
        <v>2</v>
      </c>
      <c r="D292" s="763">
        <f t="shared" ca="1" si="17"/>
        <v>4</v>
      </c>
      <c r="E292" s="763">
        <f t="shared" ca="1" si="18"/>
        <v>0</v>
      </c>
      <c r="G292" s="628"/>
      <c r="H292" s="766" t="s">
        <v>367</v>
      </c>
      <c r="I292" s="629" t="str">
        <f t="shared" ca="1" si="19"/>
        <v>03.002.004</v>
      </c>
      <c r="J292" s="654" t="s">
        <v>2096</v>
      </c>
      <c r="K292" s="630"/>
      <c r="L292" s="631"/>
      <c r="M292" s="631"/>
      <c r="N292" s="646">
        <f>SUM(N293)</f>
        <v>26082</v>
      </c>
      <c r="O292" s="767"/>
      <c r="P292" s="632"/>
      <c r="R292" s="742"/>
      <c r="S292" s="742"/>
    </row>
    <row r="293" spans="1:24" s="761" customFormat="1" ht="22.5" hidden="1" outlineLevel="3" x14ac:dyDescent="0.2">
      <c r="A293" s="762" t="e">
        <f ca="1">IF($H293="UNIDADE CONSTRUTIVA",OFFSET(A293,-1,0)+1,LARGE(A$3:A292,1))</f>
        <v>#NUM!</v>
      </c>
      <c r="B293" s="762">
        <f t="shared" ca="1" si="15"/>
        <v>3</v>
      </c>
      <c r="C293" s="762">
        <f t="shared" ca="1" si="16"/>
        <v>2</v>
      </c>
      <c r="D293" s="763">
        <f t="shared" ca="1" si="17"/>
        <v>4</v>
      </c>
      <c r="E293" s="763">
        <f t="shared" ca="1" si="18"/>
        <v>1</v>
      </c>
      <c r="G293" s="628"/>
      <c r="H293" s="766" t="s">
        <v>368</v>
      </c>
      <c r="I293" s="629" t="str">
        <f t="shared" ca="1" si="19"/>
        <v>03.002.004.001</v>
      </c>
      <c r="J293" s="654" t="s">
        <v>1058</v>
      </c>
      <c r="K293" s="630" t="s">
        <v>1223</v>
      </c>
      <c r="L293" s="631">
        <v>2</v>
      </c>
      <c r="M293" s="631">
        <f>VLOOKUP(J293,Preços!$C$7:$F$498,4,FALSE)</f>
        <v>13041</v>
      </c>
      <c r="N293" s="646">
        <f>L293*M293</f>
        <v>26082</v>
      </c>
      <c r="O293" s="767"/>
      <c r="P293" s="632"/>
      <c r="R293" s="742"/>
      <c r="S293" s="742"/>
    </row>
    <row r="294" spans="1:24" s="761" customFormat="1" hidden="1" outlineLevel="2" x14ac:dyDescent="0.2">
      <c r="A294" s="762" t="e">
        <f ca="1">IF($H294="UNIDADE CONSTRUTIVA",OFFSET(A294,-1,0)+1,LARGE(A$3:A292,1))</f>
        <v>#NUM!</v>
      </c>
      <c r="B294" s="762">
        <f t="shared" ca="1" si="15"/>
        <v>3</v>
      </c>
      <c r="C294" s="762">
        <f t="shared" ca="1" si="16"/>
        <v>2</v>
      </c>
      <c r="D294" s="763">
        <f t="shared" ca="1" si="17"/>
        <v>5</v>
      </c>
      <c r="E294" s="763">
        <f t="shared" ca="1" si="18"/>
        <v>0</v>
      </c>
      <c r="G294" s="628"/>
      <c r="H294" s="766" t="s">
        <v>367</v>
      </c>
      <c r="I294" s="629" t="str">
        <f t="shared" ca="1" si="19"/>
        <v>03.002.005</v>
      </c>
      <c r="J294" s="654" t="s">
        <v>2097</v>
      </c>
      <c r="K294" s="630"/>
      <c r="L294" s="631"/>
      <c r="M294" s="631"/>
      <c r="N294" s="646">
        <f>SUM(N295:N295)</f>
        <v>182854</v>
      </c>
      <c r="O294" s="767"/>
      <c r="P294" s="632"/>
      <c r="R294" s="742"/>
      <c r="S294" s="742"/>
    </row>
    <row r="295" spans="1:24" s="761" customFormat="1" ht="22.5" hidden="1" outlineLevel="3" x14ac:dyDescent="0.2">
      <c r="A295" s="762" t="e">
        <f ca="1">IF($H295="UNIDADE CONSTRUTIVA",OFFSET(A295,-1,0)+1,LARGE(A$3:A294,1))</f>
        <v>#NUM!</v>
      </c>
      <c r="B295" s="762">
        <f t="shared" ca="1" si="15"/>
        <v>3</v>
      </c>
      <c r="C295" s="762">
        <f t="shared" ca="1" si="16"/>
        <v>2</v>
      </c>
      <c r="D295" s="763">
        <f t="shared" ca="1" si="17"/>
        <v>5</v>
      </c>
      <c r="E295" s="763">
        <f t="shared" ca="1" si="18"/>
        <v>1</v>
      </c>
      <c r="G295" s="628"/>
      <c r="H295" s="766" t="s">
        <v>368</v>
      </c>
      <c r="I295" s="629" t="str">
        <f t="shared" ca="1" si="19"/>
        <v>03.002.005.001</v>
      </c>
      <c r="J295" s="654" t="s">
        <v>1133</v>
      </c>
      <c r="K295" s="630" t="s">
        <v>1</v>
      </c>
      <c r="L295" s="631">
        <f>'Projeção torre'!F47</f>
        <v>653.04999999999995</v>
      </c>
      <c r="M295" s="631">
        <f>VLOOKUP(J295,Preços!$C$7:$F$498,4,FALSE)</f>
        <v>280</v>
      </c>
      <c r="N295" s="646">
        <f>L295*M295</f>
        <v>182854</v>
      </c>
      <c r="O295" s="767"/>
      <c r="P295" s="632" t="s">
        <v>333</v>
      </c>
      <c r="R295" s="742"/>
      <c r="S295" s="742"/>
    </row>
    <row r="296" spans="1:24" s="761" customFormat="1" hidden="1" outlineLevel="1" collapsed="1" x14ac:dyDescent="0.2">
      <c r="A296" s="762" t="e">
        <f ca="1">IF($H296="UNIDADE CONSTRUTIVA",OFFSET(A296,-1,0)+1,LARGE(A$3:A6,1))</f>
        <v>#NUM!</v>
      </c>
      <c r="B296" s="762">
        <f t="shared" ref="B296:B389" ca="1" si="21">IF(H296="UNIDADE CONSTRUTIVA",0,IF(H296="CÉLULA CONSTRUTIVA",OFFSET(B296,-1,0)+1,OFFSET(B296,-1,0)))</f>
        <v>3</v>
      </c>
      <c r="C296" s="762">
        <f t="shared" ref="C296:C389" ca="1" si="22">IF(H296="CÉLULA CONSTRUTIVA",0,IF(H296="ETAPA",OFFSET(C296,-1,0)+1,OFFSET(C296,-1,0)))</f>
        <v>3</v>
      </c>
      <c r="D296" s="763">
        <f t="shared" ref="D296:D389" ca="1" si="23">IF(H296="ETAPA",0,IF(H296="SUBETAPA",OFFSET(D296,-1,0)+1,OFFSET(D296,-1,0)))</f>
        <v>0</v>
      </c>
      <c r="E296" s="763">
        <f t="shared" ref="E296:E389" ca="1" si="24">IF(H296="Subetapa",0,IF(H296="serviço",OFFSET(E296,-1,0)+1,OFFSET(E296,-1,0)))</f>
        <v>1</v>
      </c>
      <c r="G296" s="628"/>
      <c r="H296" s="766" t="s">
        <v>366</v>
      </c>
      <c r="I296" s="629" t="str">
        <f t="shared" ref="I296:I315" ca="1" si="25">IF(H296="Unidade Construtiva",TEXT(A296,"00"),IF(H296="Célula Construtiva",TEXT(B296,"00"),IF(H296="Etapa",CONCATENATE(TEXT(B296,"00"),".",TEXT(C296,"000")),IF(H296="Subetapa",CONCATENATE(TEXT(B296,"00"),".",TEXT(C296,"000"),".",TEXT(D296,"000")),IF(H296="Serviço",CONCATENATE(TEXT(B296,"00"),".",TEXT(C296,"000"),".",TEXT(D296,"000"),".",TEXT(E296,"000")),"")))))</f>
        <v>03.003</v>
      </c>
      <c r="J296" s="654" t="s">
        <v>473</v>
      </c>
      <c r="K296" s="630"/>
      <c r="L296" s="631"/>
      <c r="M296" s="631"/>
      <c r="N296" s="646">
        <f>N297+N302+N310+N312+N314</f>
        <v>536244.17619209993</v>
      </c>
      <c r="O296" s="767"/>
      <c r="P296" s="632"/>
      <c r="R296" s="742"/>
      <c r="S296" s="742"/>
    </row>
    <row r="297" spans="1:24" s="761" customFormat="1" hidden="1" outlineLevel="2" x14ac:dyDescent="0.2">
      <c r="A297" s="762" t="e">
        <f ca="1">IF($H297="UNIDADE CONSTRUTIVA",OFFSET(A297,-1,0)+1,LARGE(A$3:A296,1))</f>
        <v>#NUM!</v>
      </c>
      <c r="B297" s="762">
        <f t="shared" ca="1" si="21"/>
        <v>3</v>
      </c>
      <c r="C297" s="762">
        <f t="shared" ca="1" si="22"/>
        <v>3</v>
      </c>
      <c r="D297" s="763">
        <f t="shared" ca="1" si="23"/>
        <v>1</v>
      </c>
      <c r="E297" s="763">
        <f t="shared" ca="1" si="24"/>
        <v>0</v>
      </c>
      <c r="G297" s="628"/>
      <c r="H297" s="766" t="s">
        <v>367</v>
      </c>
      <c r="I297" s="629" t="str">
        <f t="shared" ca="1" si="25"/>
        <v>03.003.001</v>
      </c>
      <c r="J297" s="654" t="s">
        <v>187</v>
      </c>
      <c r="K297" s="630"/>
      <c r="L297" s="631"/>
      <c r="M297" s="631"/>
      <c r="N297" s="646">
        <f>SUM(N298:N301)</f>
        <v>121149.1146521</v>
      </c>
      <c r="O297" s="767"/>
      <c r="P297" s="632"/>
      <c r="R297" s="742"/>
      <c r="S297" s="742"/>
    </row>
    <row r="298" spans="1:24" s="761" customFormat="1" ht="22.5" hidden="1" outlineLevel="3" x14ac:dyDescent="0.2">
      <c r="A298" s="762" t="e">
        <f ca="1">IF($H298="UNIDADE CONSTRUTIVA",OFFSET(A298,-1,0)+1,LARGE(A$3:A297,1))</f>
        <v>#NUM!</v>
      </c>
      <c r="B298" s="762">
        <f t="shared" ca="1" si="21"/>
        <v>3</v>
      </c>
      <c r="C298" s="762">
        <f t="shared" ca="1" si="22"/>
        <v>3</v>
      </c>
      <c r="D298" s="763">
        <f t="shared" ca="1" si="23"/>
        <v>1</v>
      </c>
      <c r="E298" s="763">
        <f t="shared" ca="1" si="24"/>
        <v>1</v>
      </c>
      <c r="G298" s="628"/>
      <c r="H298" s="766" t="s">
        <v>368</v>
      </c>
      <c r="I298" s="629" t="str">
        <f t="shared" ca="1" si="25"/>
        <v>03.003.001.001</v>
      </c>
      <c r="J298" s="654" t="s">
        <v>2112</v>
      </c>
      <c r="K298" s="630" t="s">
        <v>1</v>
      </c>
      <c r="L298" s="631">
        <f>Vigas!Q8</f>
        <v>204.11</v>
      </c>
      <c r="M298" s="631">
        <f>VLOOKUP(J298,Preços!$C$7:$F$498,4,FALSE)</f>
        <v>108.4393</v>
      </c>
      <c r="N298" s="646">
        <f>L298*M298</f>
        <v>22133.545523000001</v>
      </c>
      <c r="O298" s="1228" t="s">
        <v>2113</v>
      </c>
      <c r="P298" s="632" t="s">
        <v>333</v>
      </c>
      <c r="R298" s="742"/>
      <c r="S298" s="742"/>
    </row>
    <row r="299" spans="1:24" s="761" customFormat="1" ht="22.5" hidden="1" outlineLevel="3" x14ac:dyDescent="0.2">
      <c r="A299" s="762" t="e">
        <f ca="1">IF($H299="UNIDADE CONSTRUTIVA",OFFSET(A299,-1,0)+1,LARGE(A$3:A298,1))</f>
        <v>#NUM!</v>
      </c>
      <c r="B299" s="762">
        <f t="shared" ca="1" si="21"/>
        <v>3</v>
      </c>
      <c r="C299" s="762">
        <f t="shared" ca="1" si="22"/>
        <v>3</v>
      </c>
      <c r="D299" s="763">
        <f t="shared" ca="1" si="23"/>
        <v>1</v>
      </c>
      <c r="E299" s="763">
        <f t="shared" ca="1" si="24"/>
        <v>2</v>
      </c>
      <c r="G299" s="628"/>
      <c r="H299" s="766" t="s">
        <v>368</v>
      </c>
      <c r="I299" s="629" t="str">
        <f t="shared" ca="1" si="25"/>
        <v>03.003.001.002</v>
      </c>
      <c r="J299" s="654" t="s">
        <v>2110</v>
      </c>
      <c r="K299" s="630" t="s">
        <v>1</v>
      </c>
      <c r="L299" s="631">
        <f>Pilares!P9</f>
        <v>272.63</v>
      </c>
      <c r="M299" s="631">
        <f>VLOOKUP(J299,Preços!$C$7:$F$498,4,FALSE)</f>
        <v>180.05500000000001</v>
      </c>
      <c r="N299" s="646">
        <f>L299*M299</f>
        <v>49088.394650000002</v>
      </c>
      <c r="O299" s="1228" t="s">
        <v>2113</v>
      </c>
      <c r="P299" s="632" t="s">
        <v>333</v>
      </c>
      <c r="R299" s="742"/>
      <c r="S299" s="742"/>
    </row>
    <row r="300" spans="1:24" s="761" customFormat="1" ht="22.5" hidden="1" outlineLevel="3" x14ac:dyDescent="0.2">
      <c r="A300" s="762" t="e">
        <f ca="1">IF($H300="UNIDADE CONSTRUTIVA",OFFSET(A300,-1,0)+1,LARGE(A$3:A299,1))</f>
        <v>#NUM!</v>
      </c>
      <c r="B300" s="762">
        <f t="shared" ca="1" si="21"/>
        <v>3</v>
      </c>
      <c r="C300" s="762">
        <f t="shared" ca="1" si="22"/>
        <v>3</v>
      </c>
      <c r="D300" s="763">
        <f t="shared" ca="1" si="23"/>
        <v>1</v>
      </c>
      <c r="E300" s="763">
        <f t="shared" ca="1" si="24"/>
        <v>3</v>
      </c>
      <c r="G300" s="628"/>
      <c r="H300" s="766" t="s">
        <v>368</v>
      </c>
      <c r="I300" s="629" t="str">
        <f t="shared" ca="1" si="25"/>
        <v>03.003.001.003</v>
      </c>
      <c r="J300" s="654" t="s">
        <v>2111</v>
      </c>
      <c r="K300" s="630" t="s">
        <v>1</v>
      </c>
      <c r="L300" s="631">
        <f>Lajes!S9</f>
        <v>376.7</v>
      </c>
      <c r="M300" s="631">
        <f>VLOOKUP(J300,Preços!$C$7:$F$498,4,FALSE)</f>
        <v>75.526799999999994</v>
      </c>
      <c r="N300" s="646">
        <f>L300*M300</f>
        <v>28450.945559999996</v>
      </c>
      <c r="O300" s="1228" t="s">
        <v>2113</v>
      </c>
      <c r="P300" s="632" t="s">
        <v>333</v>
      </c>
      <c r="R300" s="742"/>
      <c r="S300" s="742"/>
    </row>
    <row r="301" spans="1:24" s="761" customFormat="1" ht="22.5" hidden="1" outlineLevel="3" x14ac:dyDescent="0.2">
      <c r="A301" s="762" t="e">
        <f ca="1">IF($H301="UNIDADE CONSTRUTIVA",OFFSET(A301,-1,0)+1,LARGE(A$3:A300,1))</f>
        <v>#NUM!</v>
      </c>
      <c r="B301" s="762">
        <f t="shared" ca="1" si="21"/>
        <v>3</v>
      </c>
      <c r="C301" s="762">
        <f t="shared" ca="1" si="22"/>
        <v>3</v>
      </c>
      <c r="D301" s="763">
        <f t="shared" ca="1" si="23"/>
        <v>1</v>
      </c>
      <c r="E301" s="763">
        <f t="shared" ca="1" si="24"/>
        <v>4</v>
      </c>
      <c r="G301" s="628"/>
      <c r="H301" s="766" t="s">
        <v>368</v>
      </c>
      <c r="I301" s="629" t="str">
        <f t="shared" ca="1" si="25"/>
        <v>03.003.001.004</v>
      </c>
      <c r="J301" s="654" t="s">
        <v>2109</v>
      </c>
      <c r="K301" s="630" t="s">
        <v>1</v>
      </c>
      <c r="L301" s="631">
        <f>Rampas!S9+Escadas!W9</f>
        <v>163.27362500000001</v>
      </c>
      <c r="M301" s="631">
        <f>VLOOKUP(J301,Preços!$C$7:$F$498,4,FALSE)</f>
        <v>131.5352</v>
      </c>
      <c r="N301" s="646">
        <f>L301*M301</f>
        <v>21476.228919100002</v>
      </c>
      <c r="O301" s="1228" t="s">
        <v>2113</v>
      </c>
      <c r="P301" s="632" t="s">
        <v>333</v>
      </c>
      <c r="R301" s="742"/>
      <c r="S301" s="742"/>
    </row>
    <row r="302" spans="1:24" s="761" customFormat="1" hidden="1" outlineLevel="2" collapsed="1" x14ac:dyDescent="0.2">
      <c r="A302" s="762" t="e">
        <f ca="1">IF($H302="UNIDADE CONSTRUTIVA",OFFSET(A302,-1,0)+1,LARGE(A$3:A301,1))</f>
        <v>#NUM!</v>
      </c>
      <c r="B302" s="762">
        <f t="shared" ca="1" si="21"/>
        <v>3</v>
      </c>
      <c r="C302" s="762">
        <f t="shared" ca="1" si="22"/>
        <v>3</v>
      </c>
      <c r="D302" s="763">
        <f t="shared" ca="1" si="23"/>
        <v>2</v>
      </c>
      <c r="E302" s="763">
        <f t="shared" ca="1" si="24"/>
        <v>0</v>
      </c>
      <c r="G302" s="628"/>
      <c r="H302" s="766" t="s">
        <v>367</v>
      </c>
      <c r="I302" s="629" t="str">
        <f t="shared" ca="1" si="25"/>
        <v>03.003.002</v>
      </c>
      <c r="J302" s="654" t="s">
        <v>185</v>
      </c>
      <c r="K302" s="630"/>
      <c r="L302" s="631"/>
      <c r="M302" s="631"/>
      <c r="N302" s="646">
        <f>SUM(N303:N309)</f>
        <v>121407.6075</v>
      </c>
      <c r="O302" s="767"/>
      <c r="P302" s="632"/>
      <c r="R302" s="742"/>
      <c r="S302" s="742"/>
    </row>
    <row r="303" spans="1:24" s="761" customFormat="1" ht="22.5" hidden="1" outlineLevel="3" x14ac:dyDescent="0.2">
      <c r="A303" s="762" t="e">
        <f ca="1">IF($H303="UNIDADE CONSTRUTIVA",OFFSET(A303,-1,0)+1,LARGE(A$3:A302,1))</f>
        <v>#NUM!</v>
      </c>
      <c r="B303" s="762">
        <f t="shared" ca="1" si="21"/>
        <v>3</v>
      </c>
      <c r="C303" s="762">
        <f t="shared" ca="1" si="22"/>
        <v>3</v>
      </c>
      <c r="D303" s="763">
        <f t="shared" ca="1" si="23"/>
        <v>2</v>
      </c>
      <c r="E303" s="763">
        <f t="shared" ca="1" si="24"/>
        <v>1</v>
      </c>
      <c r="G303" s="628"/>
      <c r="H303" s="766" t="s">
        <v>368</v>
      </c>
      <c r="I303" s="629" t="str">
        <f t="shared" ca="1" si="25"/>
        <v>03.003.002.001</v>
      </c>
      <c r="J303" s="654" t="s">
        <v>369</v>
      </c>
      <c r="K303" s="630" t="s">
        <v>5</v>
      </c>
      <c r="L303" s="631">
        <f>SUM(SUPRA!D$27:D$31)</f>
        <v>1010</v>
      </c>
      <c r="M303" s="631">
        <f>VLOOKUP(J303,Preços!$C$7:$F$498,4,FALSE)</f>
        <v>7.5498000000000003</v>
      </c>
      <c r="N303" s="646">
        <f t="shared" ref="N303:N309" si="26">L303*M303</f>
        <v>7625.2980000000007</v>
      </c>
      <c r="O303" s="767" t="s">
        <v>530</v>
      </c>
      <c r="P303" s="632" t="s">
        <v>333</v>
      </c>
      <c r="R303" s="742"/>
      <c r="S303" s="742"/>
    </row>
    <row r="304" spans="1:24" s="761" customFormat="1" ht="22.5" hidden="1" outlineLevel="3" x14ac:dyDescent="0.2">
      <c r="A304" s="762" t="e">
        <f ca="1">IF($H304="UNIDADE CONSTRUTIVA",OFFSET(A304,-1,0)+1,LARGE(A$3:A303,1))</f>
        <v>#NUM!</v>
      </c>
      <c r="B304" s="762">
        <f t="shared" ca="1" si="21"/>
        <v>3</v>
      </c>
      <c r="C304" s="762">
        <f t="shared" ca="1" si="22"/>
        <v>3</v>
      </c>
      <c r="D304" s="763">
        <f t="shared" ca="1" si="23"/>
        <v>2</v>
      </c>
      <c r="E304" s="763">
        <f t="shared" ca="1" si="24"/>
        <v>2</v>
      </c>
      <c r="G304" s="628"/>
      <c r="H304" s="766" t="s">
        <v>368</v>
      </c>
      <c r="I304" s="629" t="str">
        <f t="shared" ca="1" si="25"/>
        <v>03.003.002.002</v>
      </c>
      <c r="J304" s="654" t="s">
        <v>370</v>
      </c>
      <c r="K304" s="630" t="s">
        <v>5</v>
      </c>
      <c r="L304" s="631">
        <f>SUM(SUPRA!E27:E31)</f>
        <v>2200</v>
      </c>
      <c r="M304" s="631">
        <f>VLOOKUP(J304,Preços!$C$7:$F$498,4,FALSE)</f>
        <v>7.2104999999999997</v>
      </c>
      <c r="N304" s="646">
        <f t="shared" si="26"/>
        <v>15863.099999999999</v>
      </c>
      <c r="O304" s="767" t="s">
        <v>530</v>
      </c>
      <c r="P304" s="632" t="s">
        <v>333</v>
      </c>
      <c r="R304" s="741"/>
      <c r="X304" s="741"/>
    </row>
    <row r="305" spans="1:19" s="761" customFormat="1" ht="22.5" hidden="1" outlineLevel="3" x14ac:dyDescent="0.2">
      <c r="A305" s="762" t="e">
        <f ca="1">IF($H305="UNIDADE CONSTRUTIVA",OFFSET(A305,-1,0)+1,LARGE(A$3:A304,1))</f>
        <v>#NUM!</v>
      </c>
      <c r="B305" s="762">
        <f t="shared" ca="1" si="21"/>
        <v>3</v>
      </c>
      <c r="C305" s="762">
        <f t="shared" ca="1" si="22"/>
        <v>3</v>
      </c>
      <c r="D305" s="763">
        <f t="shared" ca="1" si="23"/>
        <v>2</v>
      </c>
      <c r="E305" s="763">
        <f t="shared" ca="1" si="24"/>
        <v>3</v>
      </c>
      <c r="G305" s="628"/>
      <c r="H305" s="766" t="s">
        <v>368</v>
      </c>
      <c r="I305" s="629" t="str">
        <f t="shared" ca="1" si="25"/>
        <v>03.003.002.003</v>
      </c>
      <c r="J305" s="654" t="s">
        <v>371</v>
      </c>
      <c r="K305" s="630" t="s">
        <v>5</v>
      </c>
      <c r="L305" s="631">
        <f>SUM(SUPRA!F$27:F$31)</f>
        <v>3340</v>
      </c>
      <c r="M305" s="631">
        <f>VLOOKUP(J305,Preços!$C$7:$F$498,4,FALSE)</f>
        <v>6.9927999999999999</v>
      </c>
      <c r="N305" s="646">
        <f t="shared" si="26"/>
        <v>23355.952000000001</v>
      </c>
      <c r="O305" s="767" t="s">
        <v>530</v>
      </c>
      <c r="P305" s="632" t="s">
        <v>333</v>
      </c>
      <c r="R305" s="742"/>
      <c r="S305" s="742"/>
    </row>
    <row r="306" spans="1:19" s="761" customFormat="1" ht="22.5" hidden="1" outlineLevel="3" x14ac:dyDescent="0.2">
      <c r="A306" s="762" t="e">
        <f ca="1">IF($H306="UNIDADE CONSTRUTIVA",OFFSET(A306,-1,0)+1,LARGE(A$3:A305,1))</f>
        <v>#NUM!</v>
      </c>
      <c r="B306" s="762">
        <f t="shared" ca="1" si="21"/>
        <v>3</v>
      </c>
      <c r="C306" s="762">
        <f t="shared" ca="1" si="22"/>
        <v>3</v>
      </c>
      <c r="D306" s="763">
        <f t="shared" ca="1" si="23"/>
        <v>2</v>
      </c>
      <c r="E306" s="763">
        <f t="shared" ca="1" si="24"/>
        <v>4</v>
      </c>
      <c r="G306" s="628"/>
      <c r="H306" s="766" t="s">
        <v>368</v>
      </c>
      <c r="I306" s="629" t="str">
        <f t="shared" ca="1" si="25"/>
        <v>03.003.002.004</v>
      </c>
      <c r="J306" s="654" t="s">
        <v>372</v>
      </c>
      <c r="K306" s="630" t="s">
        <v>5</v>
      </c>
      <c r="L306" s="631">
        <f>SUM(SUPRA!G$27:G$31)</f>
        <v>1015</v>
      </c>
      <c r="M306" s="631">
        <f>VLOOKUP(J306,Preços!$C$7:$F$498,4,FALSE)</f>
        <v>6.8563999999999998</v>
      </c>
      <c r="N306" s="646">
        <f t="shared" si="26"/>
        <v>6959.2460000000001</v>
      </c>
      <c r="O306" s="767" t="s">
        <v>530</v>
      </c>
      <c r="P306" s="632" t="s">
        <v>333</v>
      </c>
      <c r="R306" s="742"/>
      <c r="S306" s="742"/>
    </row>
    <row r="307" spans="1:19" s="761" customFormat="1" ht="22.5" hidden="1" outlineLevel="3" x14ac:dyDescent="0.2">
      <c r="A307" s="762" t="e">
        <f ca="1">IF($H307="UNIDADE CONSTRUTIVA",OFFSET(A307,-1,0)+1,LARGE(A$3:A306,1))</f>
        <v>#NUM!</v>
      </c>
      <c r="B307" s="762">
        <f t="shared" ca="1" si="21"/>
        <v>3</v>
      </c>
      <c r="C307" s="762">
        <f t="shared" ca="1" si="22"/>
        <v>3</v>
      </c>
      <c r="D307" s="763">
        <f t="shared" ca="1" si="23"/>
        <v>2</v>
      </c>
      <c r="E307" s="763">
        <f t="shared" ca="1" si="24"/>
        <v>5</v>
      </c>
      <c r="G307" s="628"/>
      <c r="H307" s="766" t="s">
        <v>368</v>
      </c>
      <c r="I307" s="629" t="str">
        <f t="shared" ca="1" si="25"/>
        <v>03.003.002.005</v>
      </c>
      <c r="J307" s="654" t="s">
        <v>373</v>
      </c>
      <c r="K307" s="630" t="s">
        <v>5</v>
      </c>
      <c r="L307" s="631">
        <f>SUM(SUPRA!H$27:H$31)</f>
        <v>4565</v>
      </c>
      <c r="M307" s="631">
        <f>VLOOKUP(J307,Preços!$C$7:$F$498,4,FALSE)</f>
        <v>6.8331</v>
      </c>
      <c r="N307" s="646">
        <f t="shared" si="26"/>
        <v>31193.101500000001</v>
      </c>
      <c r="O307" s="767" t="s">
        <v>530</v>
      </c>
      <c r="P307" s="632" t="s">
        <v>333</v>
      </c>
      <c r="R307" s="742"/>
      <c r="S307" s="742"/>
    </row>
    <row r="308" spans="1:19" s="761" customFormat="1" ht="22.5" hidden="1" outlineLevel="3" x14ac:dyDescent="0.2">
      <c r="A308" s="762" t="e">
        <f ca="1">IF($H308="UNIDADE CONSTRUTIVA",OFFSET(A308,-1,0)+1,LARGE(A$3:A307,1))</f>
        <v>#NUM!</v>
      </c>
      <c r="B308" s="762">
        <f t="shared" ca="1" si="21"/>
        <v>3</v>
      </c>
      <c r="C308" s="762">
        <f t="shared" ca="1" si="22"/>
        <v>3</v>
      </c>
      <c r="D308" s="763">
        <f t="shared" ca="1" si="23"/>
        <v>2</v>
      </c>
      <c r="E308" s="763">
        <f t="shared" ca="1" si="24"/>
        <v>6</v>
      </c>
      <c r="G308" s="628"/>
      <c r="H308" s="766" t="s">
        <v>368</v>
      </c>
      <c r="I308" s="629" t="str">
        <f t="shared" ca="1" si="25"/>
        <v>03.003.002.006</v>
      </c>
      <c r="J308" s="654" t="s">
        <v>374</v>
      </c>
      <c r="K308" s="630" t="s">
        <v>5</v>
      </c>
      <c r="L308" s="631">
        <f>SUM(SUPRA!I$27:I$31)</f>
        <v>4780</v>
      </c>
      <c r="M308" s="631">
        <f>VLOOKUP(J308,Preços!$C$7:$F$498,4,FALSE)</f>
        <v>6.8216999999999999</v>
      </c>
      <c r="N308" s="646">
        <f t="shared" si="26"/>
        <v>32607.725999999999</v>
      </c>
      <c r="O308" s="767" t="s">
        <v>530</v>
      </c>
      <c r="P308" s="632" t="s">
        <v>333</v>
      </c>
      <c r="R308" s="742"/>
      <c r="S308" s="742"/>
    </row>
    <row r="309" spans="1:19" s="761" customFormat="1" ht="22.5" hidden="1" outlineLevel="3" x14ac:dyDescent="0.2">
      <c r="A309" s="762" t="e">
        <f ca="1">IF($H309="UNIDADE CONSTRUTIVA",OFFSET(A309,-1,0)+1,LARGE(A$3:A279,1))</f>
        <v>#NUM!</v>
      </c>
      <c r="B309" s="762">
        <f t="shared" ca="1" si="21"/>
        <v>3</v>
      </c>
      <c r="C309" s="762">
        <f t="shared" ca="1" si="22"/>
        <v>3</v>
      </c>
      <c r="D309" s="763">
        <f t="shared" ca="1" si="23"/>
        <v>2</v>
      </c>
      <c r="E309" s="763">
        <f t="shared" ca="1" si="24"/>
        <v>7</v>
      </c>
      <c r="G309" s="628"/>
      <c r="H309" s="766" t="s">
        <v>368</v>
      </c>
      <c r="I309" s="629" t="str">
        <f t="shared" ca="1" si="25"/>
        <v>03.003.002.007</v>
      </c>
      <c r="J309" s="654" t="s">
        <v>1229</v>
      </c>
      <c r="K309" s="630" t="s">
        <v>5</v>
      </c>
      <c r="L309" s="631">
        <f>SUPRA!N29</f>
        <v>411.6</v>
      </c>
      <c r="M309" s="631">
        <f>VLOOKUP(J309,Preços!$C$7:$F$498,4,FALSE)</f>
        <v>9.24</v>
      </c>
      <c r="N309" s="646">
        <f t="shared" si="26"/>
        <v>3803.1840000000002</v>
      </c>
      <c r="O309" s="767" t="s">
        <v>530</v>
      </c>
      <c r="P309" s="632" t="s">
        <v>333</v>
      </c>
      <c r="R309" s="742"/>
      <c r="S309" s="742"/>
    </row>
    <row r="310" spans="1:19" s="761" customFormat="1" hidden="1" outlineLevel="2" collapsed="1" x14ac:dyDescent="0.2">
      <c r="A310" s="762" t="e">
        <f ca="1">IF($H310="UNIDADE CONSTRUTIVA",OFFSET(A310,-1,0)+1,LARGE(A$3:A308,1))</f>
        <v>#NUM!</v>
      </c>
      <c r="B310" s="762">
        <f t="shared" ca="1" si="21"/>
        <v>3</v>
      </c>
      <c r="C310" s="762">
        <f t="shared" ca="1" si="22"/>
        <v>3</v>
      </c>
      <c r="D310" s="763">
        <f t="shared" ca="1" si="23"/>
        <v>3</v>
      </c>
      <c r="E310" s="763">
        <f t="shared" ca="1" si="24"/>
        <v>0</v>
      </c>
      <c r="G310" s="628"/>
      <c r="H310" s="766" t="s">
        <v>367</v>
      </c>
      <c r="I310" s="629" t="str">
        <f t="shared" ca="1" si="25"/>
        <v>03.003.003</v>
      </c>
      <c r="J310" s="654" t="s">
        <v>375</v>
      </c>
      <c r="K310" s="630"/>
      <c r="L310" s="631"/>
      <c r="M310" s="631"/>
      <c r="N310" s="646">
        <f>SUM(N311)</f>
        <v>84751.454039999997</v>
      </c>
      <c r="O310" s="767"/>
      <c r="P310" s="632"/>
      <c r="R310" s="742"/>
      <c r="S310" s="742"/>
    </row>
    <row r="311" spans="1:19" s="761" customFormat="1" ht="33.75" hidden="1" outlineLevel="3" x14ac:dyDescent="0.2">
      <c r="A311" s="762" t="e">
        <f ca="1">IF($H311="UNIDADE CONSTRUTIVA",OFFSET(A311,-1,0)+1,LARGE(A$3:A310,1))</f>
        <v>#NUM!</v>
      </c>
      <c r="B311" s="762">
        <f t="shared" ca="1" si="21"/>
        <v>3</v>
      </c>
      <c r="C311" s="762">
        <f t="shared" ca="1" si="22"/>
        <v>3</v>
      </c>
      <c r="D311" s="763">
        <f t="shared" ca="1" si="23"/>
        <v>3</v>
      </c>
      <c r="E311" s="763">
        <f t="shared" ca="1" si="24"/>
        <v>1</v>
      </c>
      <c r="G311" s="628"/>
      <c r="H311" s="766" t="s">
        <v>368</v>
      </c>
      <c r="I311" s="629" t="str">
        <f t="shared" ca="1" si="25"/>
        <v>03.003.003.001</v>
      </c>
      <c r="J311" s="654" t="s">
        <v>1444</v>
      </c>
      <c r="K311" s="630" t="s">
        <v>4</v>
      </c>
      <c r="L311" s="631">
        <f>SUPRA!K32</f>
        <v>152.02000000000001</v>
      </c>
      <c r="M311" s="631">
        <f>VLOOKUP(J311,Preços!$C$7:$F$498,4,FALSE)</f>
        <v>557.50199999999995</v>
      </c>
      <c r="N311" s="646">
        <f>L311*M311</f>
        <v>84751.454039999997</v>
      </c>
      <c r="O311" s="767" t="s">
        <v>530</v>
      </c>
      <c r="P311" s="632" t="s">
        <v>333</v>
      </c>
      <c r="R311" s="742"/>
      <c r="S311" s="742"/>
    </row>
    <row r="312" spans="1:19" s="761" customFormat="1" hidden="1" outlineLevel="2" collapsed="1" x14ac:dyDescent="0.2">
      <c r="A312" s="762" t="e">
        <f ca="1">IF($H312="UNIDADE CONSTRUTIVA",OFFSET(A312,-1,0)+1,LARGE(A$3:A311,1))</f>
        <v>#NUM!</v>
      </c>
      <c r="B312" s="762">
        <f t="shared" ca="1" si="21"/>
        <v>3</v>
      </c>
      <c r="C312" s="762">
        <f t="shared" ca="1" si="22"/>
        <v>3</v>
      </c>
      <c r="D312" s="763">
        <f t="shared" ca="1" si="23"/>
        <v>4</v>
      </c>
      <c r="E312" s="763">
        <f t="shared" ca="1" si="24"/>
        <v>0</v>
      </c>
      <c r="G312" s="628"/>
      <c r="H312" s="766" t="s">
        <v>367</v>
      </c>
      <c r="I312" s="629" t="str">
        <f t="shared" ca="1" si="25"/>
        <v>03.003.004</v>
      </c>
      <c r="J312" s="654" t="s">
        <v>1440</v>
      </c>
      <c r="K312" s="630"/>
      <c r="L312" s="631"/>
      <c r="M312" s="631"/>
      <c r="N312" s="646">
        <f>SUM(N313)</f>
        <v>26082</v>
      </c>
      <c r="O312" s="767"/>
      <c r="P312" s="632"/>
      <c r="R312" s="742"/>
      <c r="S312" s="742"/>
    </row>
    <row r="313" spans="1:19" s="761" customFormat="1" ht="22.5" hidden="1" outlineLevel="3" x14ac:dyDescent="0.2">
      <c r="A313" s="762" t="e">
        <f ca="1">IF($H313="UNIDADE CONSTRUTIVA",OFFSET(A313,-1,0)+1,LARGE(A$3:A312,1))</f>
        <v>#NUM!</v>
      </c>
      <c r="B313" s="762">
        <f t="shared" ca="1" si="21"/>
        <v>3</v>
      </c>
      <c r="C313" s="762">
        <f t="shared" ca="1" si="22"/>
        <v>3</v>
      </c>
      <c r="D313" s="763">
        <f t="shared" ca="1" si="23"/>
        <v>4</v>
      </c>
      <c r="E313" s="763">
        <f t="shared" ca="1" si="24"/>
        <v>1</v>
      </c>
      <c r="G313" s="628"/>
      <c r="H313" s="766" t="s">
        <v>368</v>
      </c>
      <c r="I313" s="629" t="str">
        <f t="shared" ca="1" si="25"/>
        <v>03.003.004.001</v>
      </c>
      <c r="J313" s="654" t="s">
        <v>1058</v>
      </c>
      <c r="K313" s="630" t="s">
        <v>1223</v>
      </c>
      <c r="L313" s="631">
        <v>2</v>
      </c>
      <c r="M313" s="631">
        <f>VLOOKUP(J313,Preços!$C$7:$F$498,4,FALSE)</f>
        <v>13041</v>
      </c>
      <c r="N313" s="646">
        <f>L313*M313</f>
        <v>26082</v>
      </c>
      <c r="O313" s="767"/>
      <c r="P313" s="632"/>
      <c r="R313" s="742"/>
      <c r="S313" s="742"/>
    </row>
    <row r="314" spans="1:19" s="761" customFormat="1" hidden="1" outlineLevel="2" collapsed="1" x14ac:dyDescent="0.2">
      <c r="A314" s="762" t="e">
        <f ca="1">IF($H314="UNIDADE CONSTRUTIVA",OFFSET(A314,-1,0)+1,LARGE(A$3:A312,1))</f>
        <v>#NUM!</v>
      </c>
      <c r="B314" s="762">
        <f t="shared" ca="1" si="21"/>
        <v>3</v>
      </c>
      <c r="C314" s="762">
        <f t="shared" ca="1" si="22"/>
        <v>3</v>
      </c>
      <c r="D314" s="763">
        <f t="shared" ca="1" si="23"/>
        <v>5</v>
      </c>
      <c r="E314" s="763">
        <f t="shared" ca="1" si="24"/>
        <v>0</v>
      </c>
      <c r="G314" s="628"/>
      <c r="H314" s="766" t="s">
        <v>367</v>
      </c>
      <c r="I314" s="629" t="str">
        <f t="shared" ca="1" si="25"/>
        <v>03.003.005</v>
      </c>
      <c r="J314" s="654" t="s">
        <v>211</v>
      </c>
      <c r="K314" s="630"/>
      <c r="L314" s="631"/>
      <c r="M314" s="631"/>
      <c r="N314" s="646">
        <f>SUM(N315:N315)</f>
        <v>182854</v>
      </c>
      <c r="O314" s="767"/>
      <c r="P314" s="632"/>
      <c r="R314" s="742"/>
      <c r="S314" s="742"/>
    </row>
    <row r="315" spans="1:19" s="761" customFormat="1" ht="22.5" hidden="1" outlineLevel="3" x14ac:dyDescent="0.2">
      <c r="A315" s="762" t="e">
        <f ca="1">IF($H315="UNIDADE CONSTRUTIVA",OFFSET(A315,-1,0)+1,LARGE(A$3:A314,1))</f>
        <v>#NUM!</v>
      </c>
      <c r="B315" s="762">
        <f t="shared" ca="1" si="21"/>
        <v>3</v>
      </c>
      <c r="C315" s="762">
        <f t="shared" ca="1" si="22"/>
        <v>3</v>
      </c>
      <c r="D315" s="763">
        <f t="shared" ca="1" si="23"/>
        <v>5</v>
      </c>
      <c r="E315" s="763">
        <f t="shared" ca="1" si="24"/>
        <v>1</v>
      </c>
      <c r="G315" s="628"/>
      <c r="H315" s="766" t="s">
        <v>368</v>
      </c>
      <c r="I315" s="629" t="str">
        <f t="shared" ca="1" si="25"/>
        <v>03.003.005.001</v>
      </c>
      <c r="J315" s="654" t="s">
        <v>1133</v>
      </c>
      <c r="K315" s="630" t="s">
        <v>1</v>
      </c>
      <c r="L315" s="631">
        <f>'Projeção torre'!F48</f>
        <v>653.04999999999995</v>
      </c>
      <c r="M315" s="631">
        <f>VLOOKUP(J315,Preços!$C$7:$F$498,4,FALSE)</f>
        <v>280</v>
      </c>
      <c r="N315" s="646">
        <f>L315*M315</f>
        <v>182854</v>
      </c>
      <c r="O315" s="767"/>
      <c r="P315" s="632" t="s">
        <v>333</v>
      </c>
      <c r="R315" s="742"/>
      <c r="S315" s="742"/>
    </row>
    <row r="316" spans="1:19" s="761" customFormat="1" hidden="1" outlineLevel="1" collapsed="1" x14ac:dyDescent="0.2">
      <c r="A316" s="762" t="e">
        <f ca="1">IF($H316="UNIDADE CONSTRUTIVA",OFFSET(A316,-1,0)+1,LARGE(A$3:A226,1))</f>
        <v>#NUM!</v>
      </c>
      <c r="B316" s="762">
        <f t="shared" ref="B316:B335" ca="1" si="27">IF(H316="UNIDADE CONSTRUTIVA",0,IF(H316="CÉLULA CONSTRUTIVA",OFFSET(B316,-1,0)+1,OFFSET(B316,-1,0)))</f>
        <v>3</v>
      </c>
      <c r="C316" s="762">
        <f t="shared" ref="C316:C335" ca="1" si="28">IF(H316="CÉLULA CONSTRUTIVA",0,IF(H316="ETAPA",OFFSET(C316,-1,0)+1,OFFSET(C316,-1,0)))</f>
        <v>4</v>
      </c>
      <c r="D316" s="763">
        <f t="shared" ref="D316:D335" ca="1" si="29">IF(H316="ETAPA",0,IF(H316="SUBETAPA",OFFSET(D316,-1,0)+1,OFFSET(D316,-1,0)))</f>
        <v>0</v>
      </c>
      <c r="E316" s="763">
        <f t="shared" ref="E316:E335" ca="1" si="30">IF(H316="Subetapa",0,IF(H316="serviço",OFFSET(E316,-1,0)+1,OFFSET(E316,-1,0)))</f>
        <v>1</v>
      </c>
      <c r="G316" s="628"/>
      <c r="H316" s="766" t="s">
        <v>366</v>
      </c>
      <c r="I316" s="629" t="str">
        <f t="shared" ref="I316:I335" ca="1" si="31">IF(H316="Unidade Construtiva",TEXT(A316,"00"),IF(H316="Célula Construtiva",TEXT(B316,"00"),IF(H316="Etapa",CONCATENATE(TEXT(B316,"00"),".",TEXT(C316,"000")),IF(H316="Subetapa",CONCATENATE(TEXT(B316,"00"),".",TEXT(C316,"000"),".",TEXT(D316,"000")),IF(H316="Serviço",CONCATENATE(TEXT(B316,"00"),".",TEXT(C316,"000"),".",TEXT(D316,"000"),".",TEXT(E316,"000")),"")))))</f>
        <v>03.004</v>
      </c>
      <c r="J316" s="654" t="s">
        <v>465</v>
      </c>
      <c r="K316" s="630"/>
      <c r="L316" s="631"/>
      <c r="M316" s="631"/>
      <c r="N316" s="646">
        <f>N317+N322+N330+N332+N334</f>
        <v>891379.08937723993</v>
      </c>
      <c r="O316" s="767"/>
      <c r="P316" s="632"/>
      <c r="R316" s="742"/>
      <c r="S316" s="742"/>
    </row>
    <row r="317" spans="1:19" s="761" customFormat="1" hidden="1" outlineLevel="2" x14ac:dyDescent="0.2">
      <c r="A317" s="762" t="e">
        <f ca="1">IF($H317="UNIDADE CONSTRUTIVA",OFFSET(A317,-1,0)+1,LARGE(A$3:A316,1))</f>
        <v>#NUM!</v>
      </c>
      <c r="B317" s="762">
        <f t="shared" ca="1" si="27"/>
        <v>3</v>
      </c>
      <c r="C317" s="762">
        <f t="shared" ca="1" si="28"/>
        <v>4</v>
      </c>
      <c r="D317" s="763">
        <f t="shared" ca="1" si="29"/>
        <v>1</v>
      </c>
      <c r="E317" s="763">
        <f t="shared" ca="1" si="30"/>
        <v>0</v>
      </c>
      <c r="G317" s="628"/>
      <c r="H317" s="766" t="s">
        <v>367</v>
      </c>
      <c r="I317" s="629" t="str">
        <f t="shared" ca="1" si="31"/>
        <v>03.004.001</v>
      </c>
      <c r="J317" s="654" t="s">
        <v>187</v>
      </c>
      <c r="K317" s="630"/>
      <c r="L317" s="631"/>
      <c r="M317" s="631"/>
      <c r="N317" s="646">
        <f>SUM(N318:N321)</f>
        <v>157325.63769723999</v>
      </c>
      <c r="O317" s="767"/>
      <c r="P317" s="632"/>
      <c r="R317" s="742"/>
      <c r="S317" s="742"/>
    </row>
    <row r="318" spans="1:19" s="761" customFormat="1" ht="22.5" hidden="1" outlineLevel="3" x14ac:dyDescent="0.2">
      <c r="A318" s="762" t="e">
        <f ca="1">IF($H318="UNIDADE CONSTRUTIVA",OFFSET(A318,-1,0)+1,LARGE(A$3:A317,1))</f>
        <v>#NUM!</v>
      </c>
      <c r="B318" s="762">
        <f t="shared" ca="1" si="27"/>
        <v>3</v>
      </c>
      <c r="C318" s="762">
        <f t="shared" ca="1" si="28"/>
        <v>4</v>
      </c>
      <c r="D318" s="763">
        <f t="shared" ca="1" si="29"/>
        <v>1</v>
      </c>
      <c r="E318" s="763">
        <f t="shared" ca="1" si="30"/>
        <v>1</v>
      </c>
      <c r="G318" s="628"/>
      <c r="H318" s="766" t="s">
        <v>368</v>
      </c>
      <c r="I318" s="629" t="str">
        <f t="shared" ca="1" si="31"/>
        <v>03.004.001.001</v>
      </c>
      <c r="J318" s="654" t="s">
        <v>2112</v>
      </c>
      <c r="K318" s="630" t="s">
        <v>1</v>
      </c>
      <c r="L318" s="631">
        <f>Vigas!Q9</f>
        <v>594.61</v>
      </c>
      <c r="M318" s="631">
        <f>VLOOKUP(J318,Preços!$C$7:$F$498,4,FALSE)</f>
        <v>108.4393</v>
      </c>
      <c r="N318" s="646">
        <f>L318*M318</f>
        <v>64479.092173000005</v>
      </c>
      <c r="O318" s="1228" t="s">
        <v>2113</v>
      </c>
      <c r="P318" s="632" t="s">
        <v>333</v>
      </c>
      <c r="R318" s="742"/>
      <c r="S318" s="742"/>
    </row>
    <row r="319" spans="1:19" s="761" customFormat="1" ht="22.5" hidden="1" outlineLevel="3" x14ac:dyDescent="0.2">
      <c r="A319" s="762" t="e">
        <f ca="1">IF($H319="UNIDADE CONSTRUTIVA",OFFSET(A319,-1,0)+1,LARGE(A$3:A318,1))</f>
        <v>#NUM!</v>
      </c>
      <c r="B319" s="762">
        <f t="shared" ca="1" si="27"/>
        <v>3</v>
      </c>
      <c r="C319" s="762">
        <f t="shared" ca="1" si="28"/>
        <v>4</v>
      </c>
      <c r="D319" s="763">
        <f t="shared" ca="1" si="29"/>
        <v>1</v>
      </c>
      <c r="E319" s="763">
        <f t="shared" ca="1" si="30"/>
        <v>2</v>
      </c>
      <c r="G319" s="628"/>
      <c r="H319" s="766" t="s">
        <v>368</v>
      </c>
      <c r="I319" s="629" t="str">
        <f t="shared" ca="1" si="31"/>
        <v>03.004.001.002</v>
      </c>
      <c r="J319" s="654" t="s">
        <v>2110</v>
      </c>
      <c r="K319" s="630" t="s">
        <v>1</v>
      </c>
      <c r="L319" s="631">
        <f>Pilares!P10</f>
        <v>345.98999999999995</v>
      </c>
      <c r="M319" s="631">
        <f>VLOOKUP(J319,Preços!$C$7:$F$498,4,FALSE)</f>
        <v>180.05500000000001</v>
      </c>
      <c r="N319" s="646">
        <f>L319*M319</f>
        <v>62297.229449999992</v>
      </c>
      <c r="O319" s="1228" t="s">
        <v>2113</v>
      </c>
      <c r="P319" s="632" t="s">
        <v>333</v>
      </c>
      <c r="R319" s="742"/>
      <c r="S319" s="742"/>
    </row>
    <row r="320" spans="1:19" s="761" customFormat="1" ht="22.5" hidden="1" outlineLevel="3" x14ac:dyDescent="0.2">
      <c r="A320" s="762" t="e">
        <f ca="1">IF($H320="UNIDADE CONSTRUTIVA",OFFSET(A320,-1,0)+1,LARGE(A$3:A319,1))</f>
        <v>#NUM!</v>
      </c>
      <c r="B320" s="762">
        <f t="shared" ca="1" si="27"/>
        <v>3</v>
      </c>
      <c r="C320" s="762">
        <f t="shared" ca="1" si="28"/>
        <v>4</v>
      </c>
      <c r="D320" s="763">
        <f t="shared" ca="1" si="29"/>
        <v>1</v>
      </c>
      <c r="E320" s="763">
        <f t="shared" ca="1" si="30"/>
        <v>3</v>
      </c>
      <c r="G320" s="628"/>
      <c r="H320" s="766" t="s">
        <v>368</v>
      </c>
      <c r="I320" s="629" t="str">
        <f t="shared" ca="1" si="31"/>
        <v>03.004.001.003</v>
      </c>
      <c r="J320" s="654" t="s">
        <v>2111</v>
      </c>
      <c r="K320" s="630" t="s">
        <v>1</v>
      </c>
      <c r="L320" s="631">
        <f>Lajes!S10</f>
        <v>376.7</v>
      </c>
      <c r="M320" s="631">
        <f>VLOOKUP(J320,Preços!$C$7:$F$498,4,FALSE)</f>
        <v>75.526799999999994</v>
      </c>
      <c r="N320" s="646">
        <f>L320*M320</f>
        <v>28450.945559999996</v>
      </c>
      <c r="O320" s="1228" t="s">
        <v>2113</v>
      </c>
      <c r="P320" s="632" t="s">
        <v>333</v>
      </c>
      <c r="R320" s="742"/>
      <c r="S320" s="742"/>
    </row>
    <row r="321" spans="1:24" s="761" customFormat="1" ht="22.5" hidden="1" outlineLevel="3" x14ac:dyDescent="0.2">
      <c r="A321" s="762" t="e">
        <f ca="1">IF($H321="UNIDADE CONSTRUTIVA",OFFSET(A321,-1,0)+1,LARGE(A$3:A320,1))</f>
        <v>#NUM!</v>
      </c>
      <c r="B321" s="762">
        <f t="shared" ca="1" si="27"/>
        <v>3</v>
      </c>
      <c r="C321" s="762">
        <f t="shared" ca="1" si="28"/>
        <v>4</v>
      </c>
      <c r="D321" s="763">
        <f t="shared" ca="1" si="29"/>
        <v>1</v>
      </c>
      <c r="E321" s="763">
        <f t="shared" ca="1" si="30"/>
        <v>4</v>
      </c>
      <c r="G321" s="628"/>
      <c r="H321" s="766" t="s">
        <v>368</v>
      </c>
      <c r="I321" s="629" t="str">
        <f t="shared" ca="1" si="31"/>
        <v>03.004.001.004</v>
      </c>
      <c r="J321" s="654" t="s">
        <v>1441</v>
      </c>
      <c r="K321" s="630" t="s">
        <v>1</v>
      </c>
      <c r="L321" s="631">
        <f>Escadas!W10</f>
        <v>26.672799999999999</v>
      </c>
      <c r="M321" s="631">
        <f>VLOOKUP(J321,Preços!$C$7:$F$498,4,FALSE)</f>
        <v>78.6708</v>
      </c>
      <c r="N321" s="646">
        <f>L321*M321</f>
        <v>2098.3705142399999</v>
      </c>
      <c r="O321" s="1228" t="s">
        <v>2113</v>
      </c>
      <c r="P321" s="632" t="s">
        <v>333</v>
      </c>
      <c r="R321" s="742"/>
      <c r="S321" s="742"/>
    </row>
    <row r="322" spans="1:24" s="761" customFormat="1" hidden="1" outlineLevel="2" collapsed="1" x14ac:dyDescent="0.2">
      <c r="A322" s="762" t="e">
        <f ca="1">IF($H322="UNIDADE CONSTRUTIVA",OFFSET(A322,-1,0)+1,LARGE(A$3:A320,1))</f>
        <v>#NUM!</v>
      </c>
      <c r="B322" s="762">
        <f t="shared" ca="1" si="27"/>
        <v>3</v>
      </c>
      <c r="C322" s="762">
        <f t="shared" ca="1" si="28"/>
        <v>4</v>
      </c>
      <c r="D322" s="763">
        <f t="shared" ca="1" si="29"/>
        <v>2</v>
      </c>
      <c r="E322" s="763">
        <f t="shared" ca="1" si="30"/>
        <v>0</v>
      </c>
      <c r="G322" s="628"/>
      <c r="H322" s="766" t="s">
        <v>367</v>
      </c>
      <c r="I322" s="629" t="str">
        <f t="shared" ca="1" si="31"/>
        <v>03.004.002</v>
      </c>
      <c r="J322" s="654" t="s">
        <v>185</v>
      </c>
      <c r="K322" s="630"/>
      <c r="L322" s="631"/>
      <c r="M322" s="631"/>
      <c r="N322" s="646">
        <f>SUM(N323:N329)</f>
        <v>249340.2065</v>
      </c>
      <c r="O322" s="767"/>
      <c r="P322" s="632"/>
      <c r="R322" s="742"/>
      <c r="S322" s="742"/>
    </row>
    <row r="323" spans="1:24" s="761" customFormat="1" ht="22.5" hidden="1" outlineLevel="3" x14ac:dyDescent="0.2">
      <c r="A323" s="762" t="e">
        <f ca="1">IF($H323="UNIDADE CONSTRUTIVA",OFFSET(A323,-1,0)+1,LARGE(A$3:A322,1))</f>
        <v>#NUM!</v>
      </c>
      <c r="B323" s="762">
        <f t="shared" ca="1" si="27"/>
        <v>3</v>
      </c>
      <c r="C323" s="762">
        <f t="shared" ca="1" si="28"/>
        <v>4</v>
      </c>
      <c r="D323" s="763">
        <f t="shared" ca="1" si="29"/>
        <v>2</v>
      </c>
      <c r="E323" s="763">
        <f t="shared" ca="1" si="30"/>
        <v>1</v>
      </c>
      <c r="G323" s="628"/>
      <c r="H323" s="766" t="s">
        <v>368</v>
      </c>
      <c r="I323" s="629" t="str">
        <f t="shared" ca="1" si="31"/>
        <v>03.004.002.001</v>
      </c>
      <c r="J323" s="654" t="s">
        <v>369</v>
      </c>
      <c r="K323" s="630" t="s">
        <v>5</v>
      </c>
      <c r="L323" s="631">
        <f>SUM(SUPRA!D33:D36)</f>
        <v>545</v>
      </c>
      <c r="M323" s="631">
        <f>VLOOKUP(J323,Preços!$C$7:$F$498,4,FALSE)</f>
        <v>7.5498000000000003</v>
      </c>
      <c r="N323" s="646">
        <f t="shared" ref="N323:N329" si="32">L323*M323</f>
        <v>4114.6410000000005</v>
      </c>
      <c r="O323" s="767" t="s">
        <v>530</v>
      </c>
      <c r="P323" s="632" t="s">
        <v>333</v>
      </c>
      <c r="R323" s="741"/>
      <c r="X323" s="741"/>
    </row>
    <row r="324" spans="1:24" s="761" customFormat="1" ht="22.5" hidden="1" outlineLevel="3" x14ac:dyDescent="0.2">
      <c r="A324" s="762" t="e">
        <f ca="1">IF($H324="UNIDADE CONSTRUTIVA",OFFSET(A324,-1,0)+1,LARGE(A$3:A323,1))</f>
        <v>#NUM!</v>
      </c>
      <c r="B324" s="762">
        <f t="shared" ca="1" si="27"/>
        <v>3</v>
      </c>
      <c r="C324" s="762">
        <f t="shared" ca="1" si="28"/>
        <v>4</v>
      </c>
      <c r="D324" s="763">
        <f t="shared" ca="1" si="29"/>
        <v>2</v>
      </c>
      <c r="E324" s="763">
        <f t="shared" ca="1" si="30"/>
        <v>2</v>
      </c>
      <c r="G324" s="628"/>
      <c r="H324" s="766" t="s">
        <v>368</v>
      </c>
      <c r="I324" s="629" t="str">
        <f t="shared" ca="1" si="31"/>
        <v>03.004.002.002</v>
      </c>
      <c r="J324" s="654" t="s">
        <v>370</v>
      </c>
      <c r="K324" s="630" t="s">
        <v>5</v>
      </c>
      <c r="L324" s="631">
        <f>SUM(SUPRA!E33:E36)</f>
        <v>2305</v>
      </c>
      <c r="M324" s="631">
        <f>VLOOKUP(J324,Preços!$C$7:$F$498,4,FALSE)</f>
        <v>7.2104999999999997</v>
      </c>
      <c r="N324" s="646">
        <f t="shared" si="32"/>
        <v>16620.202499999999</v>
      </c>
      <c r="O324" s="767" t="s">
        <v>530</v>
      </c>
      <c r="P324" s="632" t="s">
        <v>333</v>
      </c>
      <c r="R324" s="742"/>
      <c r="S324" s="742"/>
    </row>
    <row r="325" spans="1:24" s="761" customFormat="1" ht="22.5" hidden="1" outlineLevel="3" x14ac:dyDescent="0.2">
      <c r="A325" s="762" t="e">
        <f ca="1">IF($H325="UNIDADE CONSTRUTIVA",OFFSET(A325,-1,0)+1,LARGE(A$3:A324,1))</f>
        <v>#NUM!</v>
      </c>
      <c r="B325" s="762">
        <f t="shared" ca="1" si="27"/>
        <v>3</v>
      </c>
      <c r="C325" s="762">
        <f t="shared" ca="1" si="28"/>
        <v>4</v>
      </c>
      <c r="D325" s="763">
        <f t="shared" ca="1" si="29"/>
        <v>2</v>
      </c>
      <c r="E325" s="763">
        <f t="shared" ca="1" si="30"/>
        <v>3</v>
      </c>
      <c r="G325" s="628"/>
      <c r="H325" s="766" t="s">
        <v>368</v>
      </c>
      <c r="I325" s="629" t="str">
        <f t="shared" ca="1" si="31"/>
        <v>03.004.002.003</v>
      </c>
      <c r="J325" s="654" t="s">
        <v>371</v>
      </c>
      <c r="K325" s="630" t="s">
        <v>5</v>
      </c>
      <c r="L325" s="631">
        <f>SUM(SUPRA!F33:F36)</f>
        <v>4230</v>
      </c>
      <c r="M325" s="631">
        <f>VLOOKUP(J325,Preços!$C$7:$F$498,4,FALSE)</f>
        <v>6.9927999999999999</v>
      </c>
      <c r="N325" s="646">
        <f t="shared" si="32"/>
        <v>29579.543999999998</v>
      </c>
      <c r="O325" s="767" t="s">
        <v>530</v>
      </c>
      <c r="P325" s="632" t="s">
        <v>333</v>
      </c>
      <c r="R325" s="742"/>
      <c r="S325" s="742"/>
    </row>
    <row r="326" spans="1:24" s="761" customFormat="1" ht="22.5" hidden="1" outlineLevel="3" x14ac:dyDescent="0.2">
      <c r="A326" s="762" t="e">
        <f ca="1">IF($H326="UNIDADE CONSTRUTIVA",OFFSET(A326,-1,0)+1,LARGE(A$3:A325,1))</f>
        <v>#NUM!</v>
      </c>
      <c r="B326" s="762">
        <f t="shared" ca="1" si="27"/>
        <v>3</v>
      </c>
      <c r="C326" s="762">
        <f t="shared" ca="1" si="28"/>
        <v>4</v>
      </c>
      <c r="D326" s="763">
        <f t="shared" ca="1" si="29"/>
        <v>2</v>
      </c>
      <c r="E326" s="763">
        <f t="shared" ca="1" si="30"/>
        <v>4</v>
      </c>
      <c r="G326" s="628"/>
      <c r="H326" s="766" t="s">
        <v>368</v>
      </c>
      <c r="I326" s="629" t="str">
        <f t="shared" ca="1" si="31"/>
        <v>03.004.002.004</v>
      </c>
      <c r="J326" s="654" t="s">
        <v>372</v>
      </c>
      <c r="K326" s="630" t="s">
        <v>5</v>
      </c>
      <c r="L326" s="631">
        <f>SUM(SUPRA!G33:G36)</f>
        <v>3355</v>
      </c>
      <c r="M326" s="631">
        <f>VLOOKUP(J326,Preços!$C$7:$F$498,4,FALSE)</f>
        <v>6.8563999999999998</v>
      </c>
      <c r="N326" s="646">
        <f t="shared" si="32"/>
        <v>23003.221999999998</v>
      </c>
      <c r="O326" s="767" t="s">
        <v>530</v>
      </c>
      <c r="P326" s="632" t="s">
        <v>333</v>
      </c>
      <c r="R326" s="742"/>
      <c r="S326" s="742"/>
    </row>
    <row r="327" spans="1:24" s="761" customFormat="1" ht="22.5" hidden="1" outlineLevel="3" x14ac:dyDescent="0.2">
      <c r="A327" s="762" t="e">
        <f ca="1">IF($H327="UNIDADE CONSTRUTIVA",OFFSET(A327,-1,0)+1,LARGE(A$3:A326,1))</f>
        <v>#NUM!</v>
      </c>
      <c r="B327" s="762">
        <f t="shared" ca="1" si="27"/>
        <v>3</v>
      </c>
      <c r="C327" s="762">
        <f t="shared" ca="1" si="28"/>
        <v>4</v>
      </c>
      <c r="D327" s="763">
        <f t="shared" ca="1" si="29"/>
        <v>2</v>
      </c>
      <c r="E327" s="763">
        <f t="shared" ca="1" si="30"/>
        <v>5</v>
      </c>
      <c r="G327" s="628"/>
      <c r="H327" s="766" t="s">
        <v>368</v>
      </c>
      <c r="I327" s="629" t="str">
        <f t="shared" ca="1" si="31"/>
        <v>03.004.002.005</v>
      </c>
      <c r="J327" s="654" t="s">
        <v>373</v>
      </c>
      <c r="K327" s="630" t="s">
        <v>5</v>
      </c>
      <c r="L327" s="631">
        <f>SUM(SUPRA!H33:H36)</f>
        <v>8510</v>
      </c>
      <c r="M327" s="631">
        <f>VLOOKUP(J327,Preços!$C$7:$F$498,4,FALSE)</f>
        <v>6.8331</v>
      </c>
      <c r="N327" s="646">
        <f t="shared" si="32"/>
        <v>58149.680999999997</v>
      </c>
      <c r="O327" s="767" t="s">
        <v>530</v>
      </c>
      <c r="P327" s="632" t="s">
        <v>333</v>
      </c>
      <c r="R327" s="742"/>
      <c r="S327" s="742"/>
    </row>
    <row r="328" spans="1:24" s="761" customFormat="1" ht="22.5" hidden="1" outlineLevel="3" x14ac:dyDescent="0.2">
      <c r="A328" s="762" t="e">
        <f ca="1">IF($H328="UNIDADE CONSTRUTIVA",OFFSET(A328,-1,0)+1,LARGE(A$3:A327,1))</f>
        <v>#NUM!</v>
      </c>
      <c r="B328" s="762">
        <f t="shared" ca="1" si="27"/>
        <v>3</v>
      </c>
      <c r="C328" s="762">
        <f t="shared" ca="1" si="28"/>
        <v>4</v>
      </c>
      <c r="D328" s="763">
        <f t="shared" ca="1" si="29"/>
        <v>2</v>
      </c>
      <c r="E328" s="763">
        <f t="shared" ca="1" si="30"/>
        <v>6</v>
      </c>
      <c r="G328" s="628"/>
      <c r="H328" s="766" t="s">
        <v>368</v>
      </c>
      <c r="I328" s="629" t="str">
        <f t="shared" ca="1" si="31"/>
        <v>03.004.002.006</v>
      </c>
      <c r="J328" s="654" t="s">
        <v>374</v>
      </c>
      <c r="K328" s="630" t="s">
        <v>5</v>
      </c>
      <c r="L328" s="631">
        <f>SUM(SUPRA!I33:I36)</f>
        <v>17080</v>
      </c>
      <c r="M328" s="631">
        <f>VLOOKUP(J328,Preços!$C$7:$F$498,4,FALSE)</f>
        <v>6.8216999999999999</v>
      </c>
      <c r="N328" s="646">
        <f t="shared" si="32"/>
        <v>116514.636</v>
      </c>
      <c r="O328" s="767" t="s">
        <v>530</v>
      </c>
      <c r="P328" s="632" t="s">
        <v>333</v>
      </c>
      <c r="R328" s="742"/>
      <c r="S328" s="742"/>
    </row>
    <row r="329" spans="1:24" s="761" customFormat="1" ht="22.5" hidden="1" outlineLevel="3" x14ac:dyDescent="0.2">
      <c r="A329" s="762" t="e">
        <f ca="1">IF($H329="UNIDADE CONSTRUTIVA",OFFSET(A329,-1,0)+1,LARGE(A$3:A298,1))</f>
        <v>#NUM!</v>
      </c>
      <c r="B329" s="762">
        <f t="shared" ca="1" si="27"/>
        <v>3</v>
      </c>
      <c r="C329" s="762">
        <f t="shared" ca="1" si="28"/>
        <v>4</v>
      </c>
      <c r="D329" s="763">
        <f t="shared" ca="1" si="29"/>
        <v>2</v>
      </c>
      <c r="E329" s="763">
        <f t="shared" ca="1" si="30"/>
        <v>7</v>
      </c>
      <c r="G329" s="628"/>
      <c r="H329" s="766" t="s">
        <v>368</v>
      </c>
      <c r="I329" s="629" t="str">
        <f t="shared" ca="1" si="31"/>
        <v>03.004.002.007</v>
      </c>
      <c r="J329" s="654" t="s">
        <v>1229</v>
      </c>
      <c r="K329" s="630" t="s">
        <v>5</v>
      </c>
      <c r="L329" s="631">
        <f>SUPRA!N35</f>
        <v>147</v>
      </c>
      <c r="M329" s="631">
        <f>VLOOKUP(J329,Preços!$C$7:$F$498,4,FALSE)</f>
        <v>9.24</v>
      </c>
      <c r="N329" s="646">
        <f t="shared" si="32"/>
        <v>1358.28</v>
      </c>
      <c r="O329" s="767" t="s">
        <v>530</v>
      </c>
      <c r="P329" s="632" t="s">
        <v>333</v>
      </c>
      <c r="R329" s="742"/>
      <c r="S329" s="742"/>
    </row>
    <row r="330" spans="1:24" s="761" customFormat="1" hidden="1" outlineLevel="2" collapsed="1" x14ac:dyDescent="0.2">
      <c r="A330" s="762" t="e">
        <f ca="1">IF($H330="UNIDADE CONSTRUTIVA",OFFSET(A330,-1,0)+1,LARGE(A$3:A328,1))</f>
        <v>#NUM!</v>
      </c>
      <c r="B330" s="762">
        <f t="shared" ca="1" si="27"/>
        <v>3</v>
      </c>
      <c r="C330" s="762">
        <f t="shared" ca="1" si="28"/>
        <v>4</v>
      </c>
      <c r="D330" s="763">
        <f t="shared" ca="1" si="29"/>
        <v>3</v>
      </c>
      <c r="E330" s="763">
        <f t="shared" ca="1" si="30"/>
        <v>0</v>
      </c>
      <c r="G330" s="628"/>
      <c r="H330" s="766" t="s">
        <v>367</v>
      </c>
      <c r="I330" s="629" t="str">
        <f t="shared" ca="1" si="31"/>
        <v>03.004.003</v>
      </c>
      <c r="J330" s="654" t="s">
        <v>375</v>
      </c>
      <c r="K330" s="630"/>
      <c r="L330" s="631"/>
      <c r="M330" s="631"/>
      <c r="N330" s="646">
        <f>SUM(N331)</f>
        <v>158938.24518</v>
      </c>
      <c r="O330" s="767"/>
      <c r="P330" s="632"/>
      <c r="R330" s="742"/>
      <c r="S330" s="742"/>
    </row>
    <row r="331" spans="1:24" s="761" customFormat="1" ht="33.75" hidden="1" outlineLevel="3" x14ac:dyDescent="0.2">
      <c r="A331" s="762" t="e">
        <f ca="1">IF($H331="UNIDADE CONSTRUTIVA",OFFSET(A331,-1,0)+1,LARGE(A$3:A330,1))</f>
        <v>#NUM!</v>
      </c>
      <c r="B331" s="762">
        <f t="shared" ca="1" si="27"/>
        <v>3</v>
      </c>
      <c r="C331" s="762">
        <f t="shared" ca="1" si="28"/>
        <v>4</v>
      </c>
      <c r="D331" s="763">
        <f t="shared" ca="1" si="29"/>
        <v>3</v>
      </c>
      <c r="E331" s="763">
        <f t="shared" ca="1" si="30"/>
        <v>1</v>
      </c>
      <c r="G331" s="628"/>
      <c r="H331" s="766" t="s">
        <v>368</v>
      </c>
      <c r="I331" s="629" t="str">
        <f t="shared" ca="1" si="31"/>
        <v>03.004.003.001</v>
      </c>
      <c r="J331" s="654" t="s">
        <v>1444</v>
      </c>
      <c r="K331" s="630" t="s">
        <v>4</v>
      </c>
      <c r="L331" s="631">
        <f>SUPRA!K37</f>
        <v>285.09000000000003</v>
      </c>
      <c r="M331" s="631">
        <f>VLOOKUP(J331,Preços!$C$7:$F$498,4,FALSE)</f>
        <v>557.50199999999995</v>
      </c>
      <c r="N331" s="646">
        <f>L331*M331</f>
        <v>158938.24518</v>
      </c>
      <c r="O331" s="767" t="s">
        <v>530</v>
      </c>
      <c r="P331" s="632" t="s">
        <v>333</v>
      </c>
      <c r="R331" s="742"/>
      <c r="S331" s="742"/>
    </row>
    <row r="332" spans="1:24" s="761" customFormat="1" hidden="1" outlineLevel="2" collapsed="1" x14ac:dyDescent="0.2">
      <c r="A332" s="762" t="e">
        <f ca="1">IF($H332="UNIDADE CONSTRUTIVA",OFFSET(A332,-1,0)+1,LARGE(A$3:A331,1))</f>
        <v>#NUM!</v>
      </c>
      <c r="B332" s="762">
        <f t="shared" ca="1" si="27"/>
        <v>3</v>
      </c>
      <c r="C332" s="762">
        <f t="shared" ca="1" si="28"/>
        <v>4</v>
      </c>
      <c r="D332" s="763">
        <f t="shared" ca="1" si="29"/>
        <v>4</v>
      </c>
      <c r="E332" s="763">
        <f t="shared" ca="1" si="30"/>
        <v>0</v>
      </c>
      <c r="G332" s="628"/>
      <c r="H332" s="766" t="s">
        <v>367</v>
      </c>
      <c r="I332" s="629" t="str">
        <f t="shared" ca="1" si="31"/>
        <v>03.004.004</v>
      </c>
      <c r="J332" s="654" t="s">
        <v>1440</v>
      </c>
      <c r="K332" s="630"/>
      <c r="L332" s="631"/>
      <c r="M332" s="631"/>
      <c r="N332" s="646">
        <f>SUM(N333)</f>
        <v>26082</v>
      </c>
      <c r="O332" s="767"/>
      <c r="P332" s="632"/>
      <c r="R332" s="742"/>
      <c r="S332" s="742"/>
    </row>
    <row r="333" spans="1:24" s="761" customFormat="1" ht="22.5" hidden="1" outlineLevel="3" x14ac:dyDescent="0.2">
      <c r="A333" s="762" t="e">
        <f ca="1">IF($H333="UNIDADE CONSTRUTIVA",OFFSET(A333,-1,0)+1,LARGE(A$3:A332,1))</f>
        <v>#NUM!</v>
      </c>
      <c r="B333" s="762">
        <f t="shared" ca="1" si="27"/>
        <v>3</v>
      </c>
      <c r="C333" s="762">
        <f t="shared" ca="1" si="28"/>
        <v>4</v>
      </c>
      <c r="D333" s="763">
        <f t="shared" ca="1" si="29"/>
        <v>4</v>
      </c>
      <c r="E333" s="763">
        <f t="shared" ca="1" si="30"/>
        <v>1</v>
      </c>
      <c r="G333" s="628"/>
      <c r="H333" s="766" t="s">
        <v>368</v>
      </c>
      <c r="I333" s="629" t="str">
        <f t="shared" ca="1" si="31"/>
        <v>03.004.004.001</v>
      </c>
      <c r="J333" s="654" t="s">
        <v>1058</v>
      </c>
      <c r="K333" s="630" t="s">
        <v>1223</v>
      </c>
      <c r="L333" s="631">
        <v>2</v>
      </c>
      <c r="M333" s="631">
        <f>VLOOKUP(J333,Preços!$C$7:$F$498,4,FALSE)</f>
        <v>13041</v>
      </c>
      <c r="N333" s="646">
        <f>L333*M333</f>
        <v>26082</v>
      </c>
      <c r="O333" s="767"/>
      <c r="P333" s="632"/>
      <c r="R333" s="742"/>
      <c r="S333" s="742"/>
    </row>
    <row r="334" spans="1:24" s="761" customFormat="1" hidden="1" outlineLevel="2" x14ac:dyDescent="0.2">
      <c r="A334" s="762" t="e">
        <f ca="1">IF($H334="UNIDADE CONSTRUTIVA",OFFSET(A334,-1,0)+1,LARGE(A$3:A332,1))</f>
        <v>#NUM!</v>
      </c>
      <c r="B334" s="762">
        <f t="shared" ca="1" si="27"/>
        <v>3</v>
      </c>
      <c r="C334" s="762">
        <f t="shared" ca="1" si="28"/>
        <v>4</v>
      </c>
      <c r="D334" s="763">
        <f t="shared" ca="1" si="29"/>
        <v>5</v>
      </c>
      <c r="E334" s="763">
        <f t="shared" ca="1" si="30"/>
        <v>0</v>
      </c>
      <c r="G334" s="628"/>
      <c r="H334" s="766" t="s">
        <v>367</v>
      </c>
      <c r="I334" s="629" t="str">
        <f t="shared" ca="1" si="31"/>
        <v>03.004.005</v>
      </c>
      <c r="J334" s="654" t="s">
        <v>211</v>
      </c>
      <c r="K334" s="630"/>
      <c r="L334" s="631"/>
      <c r="M334" s="631"/>
      <c r="N334" s="646">
        <f>SUM(N335:N335)</f>
        <v>299693</v>
      </c>
      <c r="O334" s="767"/>
      <c r="P334" s="632"/>
      <c r="R334" s="742"/>
      <c r="S334" s="742"/>
    </row>
    <row r="335" spans="1:24" s="761" customFormat="1" ht="22.5" hidden="1" outlineLevel="3" x14ac:dyDescent="0.2">
      <c r="A335" s="762" t="e">
        <f ca="1">IF($H335="UNIDADE CONSTRUTIVA",OFFSET(A335,-1,0)+1,LARGE(A$3:A334,1))</f>
        <v>#NUM!</v>
      </c>
      <c r="B335" s="762">
        <f t="shared" ca="1" si="27"/>
        <v>3</v>
      </c>
      <c r="C335" s="762">
        <f t="shared" ca="1" si="28"/>
        <v>4</v>
      </c>
      <c r="D335" s="763">
        <f t="shared" ca="1" si="29"/>
        <v>5</v>
      </c>
      <c r="E335" s="763">
        <f t="shared" ca="1" si="30"/>
        <v>1</v>
      </c>
      <c r="G335" s="628"/>
      <c r="H335" s="766" t="s">
        <v>368</v>
      </c>
      <c r="I335" s="629" t="str">
        <f t="shared" ca="1" si="31"/>
        <v>03.004.005.001</v>
      </c>
      <c r="J335" s="654" t="s">
        <v>1133</v>
      </c>
      <c r="K335" s="630" t="s">
        <v>250</v>
      </c>
      <c r="L335" s="631">
        <v>1</v>
      </c>
      <c r="M335" s="631">
        <v>299693</v>
      </c>
      <c r="N335" s="646">
        <f>L335*M335</f>
        <v>299693</v>
      </c>
      <c r="O335" s="1228" t="s">
        <v>2084</v>
      </c>
      <c r="P335" s="632" t="s">
        <v>333</v>
      </c>
      <c r="R335" s="742"/>
      <c r="S335" s="742"/>
    </row>
    <row r="336" spans="1:24" s="761" customFormat="1" hidden="1" outlineLevel="1" collapsed="1" x14ac:dyDescent="0.2">
      <c r="A336" s="762" t="e">
        <f ca="1">IF($H336="UNIDADE CONSTRUTIVA",OFFSET(A336,-1,0)+1,LARGE(A$3:A254,1))</f>
        <v>#NUM!</v>
      </c>
      <c r="B336" s="762">
        <f t="shared" ca="1" si="21"/>
        <v>3</v>
      </c>
      <c r="C336" s="762">
        <f t="shared" ca="1" si="22"/>
        <v>5</v>
      </c>
      <c r="D336" s="763">
        <f t="shared" ca="1" si="23"/>
        <v>0</v>
      </c>
      <c r="E336" s="763">
        <f t="shared" ca="1" si="24"/>
        <v>1</v>
      </c>
      <c r="G336" s="628"/>
      <c r="H336" s="766" t="s">
        <v>366</v>
      </c>
      <c r="I336" s="629" t="str">
        <f t="shared" ref="I336:I355" ca="1" si="33">IF(H336="Unidade Construtiva",TEXT(A336,"00"),IF(H336="Célula Construtiva",TEXT(B336,"00"),IF(H336="Etapa",CONCATENATE(TEXT(B336,"00"),".",TEXT(C336,"000")),IF(H336="Subetapa",CONCATENATE(TEXT(B336,"00"),".",TEXT(C336,"000"),".",TEXT(D336,"000")),IF(H336="Serviço",CONCATENATE(TEXT(B336,"00"),".",TEXT(C336,"000"),".",TEXT(D336,"000"),".",TEXT(E336,"000")),"")))))</f>
        <v>03.005</v>
      </c>
      <c r="J336" s="654" t="s">
        <v>466</v>
      </c>
      <c r="K336" s="630"/>
      <c r="L336" s="631"/>
      <c r="M336" s="631"/>
      <c r="N336" s="646">
        <f>N337+N342+N350+N352+N354</f>
        <v>4599326.9433881305</v>
      </c>
      <c r="O336" s="767"/>
      <c r="P336" s="632"/>
      <c r="R336" s="742"/>
      <c r="S336" s="742"/>
    </row>
    <row r="337" spans="1:24" s="761" customFormat="1" hidden="1" outlineLevel="2" x14ac:dyDescent="0.2">
      <c r="A337" s="762" t="e">
        <f ca="1">IF($H337="UNIDADE CONSTRUTIVA",OFFSET(A337,-1,0)+1,LARGE(A$3:A336,1))</f>
        <v>#NUM!</v>
      </c>
      <c r="B337" s="762">
        <f t="shared" ca="1" si="21"/>
        <v>3</v>
      </c>
      <c r="C337" s="762">
        <f t="shared" ca="1" si="22"/>
        <v>5</v>
      </c>
      <c r="D337" s="763">
        <f t="shared" ca="1" si="23"/>
        <v>1</v>
      </c>
      <c r="E337" s="763">
        <f t="shared" ca="1" si="24"/>
        <v>0</v>
      </c>
      <c r="G337" s="628"/>
      <c r="H337" s="766" t="s">
        <v>367</v>
      </c>
      <c r="I337" s="629" t="str">
        <f t="shared" ca="1" si="33"/>
        <v>03.005.001</v>
      </c>
      <c r="J337" s="654" t="s">
        <v>187</v>
      </c>
      <c r="K337" s="630"/>
      <c r="L337" s="631"/>
      <c r="M337" s="631"/>
      <c r="N337" s="646">
        <f>SUM(N338:N341)</f>
        <v>1145207.5685481299</v>
      </c>
      <c r="O337" s="767"/>
      <c r="P337" s="632"/>
      <c r="R337" s="742"/>
      <c r="S337" s="742"/>
    </row>
    <row r="338" spans="1:24" s="761" customFormat="1" ht="22.5" hidden="1" outlineLevel="3" x14ac:dyDescent="0.2">
      <c r="A338" s="762" t="e">
        <f ca="1">IF($H338="UNIDADE CONSTRUTIVA",OFFSET(A338,-1,0)+1,LARGE(A$3:A337,1))</f>
        <v>#NUM!</v>
      </c>
      <c r="B338" s="762">
        <f t="shared" ca="1" si="21"/>
        <v>3</v>
      </c>
      <c r="C338" s="762">
        <f t="shared" ca="1" si="22"/>
        <v>5</v>
      </c>
      <c r="D338" s="763">
        <f t="shared" ca="1" si="23"/>
        <v>1</v>
      </c>
      <c r="E338" s="763">
        <f t="shared" ca="1" si="24"/>
        <v>1</v>
      </c>
      <c r="G338" s="628"/>
      <c r="H338" s="766" t="s">
        <v>368</v>
      </c>
      <c r="I338" s="629" t="str">
        <f t="shared" ca="1" si="33"/>
        <v>03.005.001.001</v>
      </c>
      <c r="J338" s="654" t="s">
        <v>2112</v>
      </c>
      <c r="K338" s="630" t="s">
        <v>1</v>
      </c>
      <c r="L338" s="631">
        <f>Vigas!Q10</f>
        <v>2288.3699999999994</v>
      </c>
      <c r="M338" s="631">
        <f>VLOOKUP(J338,Preços!$C$7:$F$498,4,FALSE)</f>
        <v>108.4393</v>
      </c>
      <c r="N338" s="646">
        <f>L338*M338</f>
        <v>248149.24094099994</v>
      </c>
      <c r="O338" s="1228" t="s">
        <v>2113</v>
      </c>
      <c r="P338" s="632" t="s">
        <v>333</v>
      </c>
      <c r="R338" s="742"/>
      <c r="S338" s="742"/>
    </row>
    <row r="339" spans="1:24" s="761" customFormat="1" ht="22.5" hidden="1" outlineLevel="3" x14ac:dyDescent="0.2">
      <c r="A339" s="762" t="e">
        <f ca="1">IF($H339="UNIDADE CONSTRUTIVA",OFFSET(A339,-1,0)+1,LARGE(A$3:A338,1))</f>
        <v>#NUM!</v>
      </c>
      <c r="B339" s="762">
        <f t="shared" ca="1" si="21"/>
        <v>3</v>
      </c>
      <c r="C339" s="762">
        <f t="shared" ca="1" si="22"/>
        <v>5</v>
      </c>
      <c r="D339" s="763">
        <f t="shared" ca="1" si="23"/>
        <v>1</v>
      </c>
      <c r="E339" s="763">
        <f t="shared" ca="1" si="24"/>
        <v>2</v>
      </c>
      <c r="G339" s="628"/>
      <c r="H339" s="766" t="s">
        <v>368</v>
      </c>
      <c r="I339" s="629" t="str">
        <f t="shared" ca="1" si="33"/>
        <v>03.005.001.002</v>
      </c>
      <c r="J339" s="654" t="s">
        <v>2110</v>
      </c>
      <c r="K339" s="630" t="s">
        <v>1</v>
      </c>
      <c r="L339" s="631">
        <f>Pilares!P11</f>
        <v>4413.1499999999996</v>
      </c>
      <c r="M339" s="631">
        <f>VLOOKUP(J339,Preços!$C$7:$F$498,4,FALSE)</f>
        <v>180.05500000000001</v>
      </c>
      <c r="N339" s="646">
        <f>L339*M339</f>
        <v>794609.72324999992</v>
      </c>
      <c r="O339" s="1228" t="s">
        <v>2113</v>
      </c>
      <c r="P339" s="632" t="s">
        <v>333</v>
      </c>
      <c r="R339" s="742"/>
      <c r="S339" s="742"/>
    </row>
    <row r="340" spans="1:24" s="761" customFormat="1" ht="22.5" hidden="1" outlineLevel="3" x14ac:dyDescent="0.2">
      <c r="A340" s="762" t="e">
        <f ca="1">IF($H340="UNIDADE CONSTRUTIVA",OFFSET(A340,-1,0)+1,LARGE(A$3:A339,1))</f>
        <v>#NUM!</v>
      </c>
      <c r="B340" s="762">
        <f t="shared" ca="1" si="21"/>
        <v>3</v>
      </c>
      <c r="C340" s="762">
        <f t="shared" ca="1" si="22"/>
        <v>5</v>
      </c>
      <c r="D340" s="763">
        <f t="shared" ca="1" si="23"/>
        <v>1</v>
      </c>
      <c r="E340" s="763">
        <f t="shared" ca="1" si="24"/>
        <v>3</v>
      </c>
      <c r="G340" s="628"/>
      <c r="H340" s="766" t="s">
        <v>368</v>
      </c>
      <c r="I340" s="629" t="str">
        <f t="shared" ca="1" si="33"/>
        <v>03.005.001.003</v>
      </c>
      <c r="J340" s="654" t="s">
        <v>2111</v>
      </c>
      <c r="K340" s="630" t="s">
        <v>1</v>
      </c>
      <c r="L340" s="631">
        <f>Lajes!S11</f>
        <v>822.8</v>
      </c>
      <c r="M340" s="631">
        <f>VLOOKUP(J340,Preços!$C$7:$F$498,4,FALSE)</f>
        <v>75.526799999999994</v>
      </c>
      <c r="N340" s="646">
        <f>L340*M340</f>
        <v>62143.451039999993</v>
      </c>
      <c r="O340" s="1228" t="s">
        <v>2113</v>
      </c>
      <c r="P340" s="632" t="s">
        <v>333</v>
      </c>
      <c r="R340" s="742"/>
      <c r="S340" s="742"/>
    </row>
    <row r="341" spans="1:24" s="761" customFormat="1" ht="22.5" hidden="1" outlineLevel="3" x14ac:dyDescent="0.2">
      <c r="A341" s="762" t="e">
        <f ca="1">IF($H341="UNIDADE CONSTRUTIVA",OFFSET(A341,-1,0)+1,LARGE(A$3:A340,1))</f>
        <v>#NUM!</v>
      </c>
      <c r="B341" s="762">
        <f t="shared" ca="1" si="21"/>
        <v>3</v>
      </c>
      <c r="C341" s="762">
        <f t="shared" ca="1" si="22"/>
        <v>5</v>
      </c>
      <c r="D341" s="763">
        <f t="shared" ca="1" si="23"/>
        <v>1</v>
      </c>
      <c r="E341" s="763">
        <f t="shared" ca="1" si="24"/>
        <v>4</v>
      </c>
      <c r="G341" s="628"/>
      <c r="H341" s="766" t="s">
        <v>368</v>
      </c>
      <c r="I341" s="629" t="str">
        <f t="shared" ca="1" si="33"/>
        <v>03.005.001.004</v>
      </c>
      <c r="J341" s="654" t="s">
        <v>1441</v>
      </c>
      <c r="K341" s="630" t="s">
        <v>1</v>
      </c>
      <c r="L341" s="631">
        <f>Escadas!W11</f>
        <v>512.32672500000001</v>
      </c>
      <c r="M341" s="631">
        <f>VLOOKUP(J341,Preços!$C$7:$F$498,4,FALSE)</f>
        <v>78.6708</v>
      </c>
      <c r="N341" s="646">
        <f>L341*M341</f>
        <v>40305.153317130003</v>
      </c>
      <c r="O341" s="1228" t="s">
        <v>2113</v>
      </c>
      <c r="P341" s="632" t="s">
        <v>333</v>
      </c>
      <c r="R341" s="742"/>
      <c r="S341" s="742"/>
    </row>
    <row r="342" spans="1:24" s="761" customFormat="1" hidden="1" outlineLevel="2" collapsed="1" x14ac:dyDescent="0.2">
      <c r="A342" s="762" t="e">
        <f ca="1">IF($H342="UNIDADE CONSTRUTIVA",OFFSET(A342,-1,0)+1,LARGE(A$3:A340,1))</f>
        <v>#NUM!</v>
      </c>
      <c r="B342" s="762">
        <f t="shared" ca="1" si="21"/>
        <v>3</v>
      </c>
      <c r="C342" s="762">
        <f t="shared" ca="1" si="22"/>
        <v>5</v>
      </c>
      <c r="D342" s="763">
        <f t="shared" ca="1" si="23"/>
        <v>2</v>
      </c>
      <c r="E342" s="763">
        <f t="shared" ca="1" si="24"/>
        <v>0</v>
      </c>
      <c r="G342" s="628"/>
      <c r="H342" s="766" t="s">
        <v>367</v>
      </c>
      <c r="I342" s="629" t="str">
        <f t="shared" ca="1" si="33"/>
        <v>03.005.002</v>
      </c>
      <c r="J342" s="654" t="s">
        <v>185</v>
      </c>
      <c r="K342" s="630"/>
      <c r="L342" s="631"/>
      <c r="M342" s="631"/>
      <c r="N342" s="646">
        <f>SUM(N343:N349)</f>
        <v>954890.85600000003</v>
      </c>
      <c r="O342" s="767"/>
      <c r="P342" s="632"/>
      <c r="R342" s="742"/>
      <c r="S342" s="742"/>
    </row>
    <row r="343" spans="1:24" s="761" customFormat="1" ht="22.5" hidden="1" outlineLevel="3" x14ac:dyDescent="0.2">
      <c r="A343" s="762" t="e">
        <f ca="1">IF($H343="UNIDADE CONSTRUTIVA",OFFSET(A343,-1,0)+1,LARGE(A$3:A342,1))</f>
        <v>#NUM!</v>
      </c>
      <c r="B343" s="762">
        <f t="shared" ca="1" si="21"/>
        <v>3</v>
      </c>
      <c r="C343" s="762">
        <f t="shared" ca="1" si="22"/>
        <v>5</v>
      </c>
      <c r="D343" s="763">
        <f t="shared" ca="1" si="23"/>
        <v>2</v>
      </c>
      <c r="E343" s="763">
        <f t="shared" ca="1" si="24"/>
        <v>1</v>
      </c>
      <c r="G343" s="628"/>
      <c r="H343" s="766" t="s">
        <v>368</v>
      </c>
      <c r="I343" s="629" t="str">
        <f t="shared" ca="1" si="33"/>
        <v>03.005.002.001</v>
      </c>
      <c r="J343" s="654" t="s">
        <v>369</v>
      </c>
      <c r="K343" s="630" t="s">
        <v>5</v>
      </c>
      <c r="L343" s="631">
        <f>SUM(SUPRA!D38:D41)</f>
        <v>10535</v>
      </c>
      <c r="M343" s="631">
        <f>VLOOKUP(J343,Preços!$C$7:$F$498,4,FALSE)</f>
        <v>7.5498000000000003</v>
      </c>
      <c r="N343" s="646">
        <f t="shared" ref="N343:N349" si="34">L343*M343</f>
        <v>79537.142999999996</v>
      </c>
      <c r="O343" s="767" t="s">
        <v>530</v>
      </c>
      <c r="P343" s="632" t="s">
        <v>333</v>
      </c>
      <c r="R343" s="741"/>
      <c r="X343" s="741"/>
    </row>
    <row r="344" spans="1:24" s="761" customFormat="1" ht="22.5" hidden="1" outlineLevel="3" x14ac:dyDescent="0.2">
      <c r="A344" s="762" t="e">
        <f ca="1">IF($H344="UNIDADE CONSTRUTIVA",OFFSET(A344,-1,0)+1,LARGE(A$3:A343,1))</f>
        <v>#NUM!</v>
      </c>
      <c r="B344" s="762">
        <f t="shared" ca="1" si="21"/>
        <v>3</v>
      </c>
      <c r="C344" s="762">
        <f t="shared" ca="1" si="22"/>
        <v>5</v>
      </c>
      <c r="D344" s="763">
        <f t="shared" ca="1" si="23"/>
        <v>2</v>
      </c>
      <c r="E344" s="763">
        <f t="shared" ca="1" si="24"/>
        <v>2</v>
      </c>
      <c r="G344" s="628"/>
      <c r="H344" s="766" t="s">
        <v>368</v>
      </c>
      <c r="I344" s="629" t="str">
        <f t="shared" ca="1" si="33"/>
        <v>03.005.002.002</v>
      </c>
      <c r="J344" s="654" t="s">
        <v>370</v>
      </c>
      <c r="K344" s="630" t="s">
        <v>5</v>
      </c>
      <c r="L344" s="631">
        <f>SUM(SUPRA!E38:E41)</f>
        <v>27865</v>
      </c>
      <c r="M344" s="631">
        <f>VLOOKUP(J344,Preços!$C$7:$F$498,4,FALSE)</f>
        <v>7.2104999999999997</v>
      </c>
      <c r="N344" s="646">
        <f t="shared" si="34"/>
        <v>200920.58249999999</v>
      </c>
      <c r="O344" s="767" t="s">
        <v>530</v>
      </c>
      <c r="P344" s="632" t="s">
        <v>333</v>
      </c>
      <c r="R344" s="742"/>
      <c r="S344" s="742"/>
    </row>
    <row r="345" spans="1:24" s="761" customFormat="1" ht="22.5" hidden="1" outlineLevel="3" x14ac:dyDescent="0.2">
      <c r="A345" s="762" t="e">
        <f ca="1">IF($H345="UNIDADE CONSTRUTIVA",OFFSET(A345,-1,0)+1,LARGE(A$3:A344,1))</f>
        <v>#NUM!</v>
      </c>
      <c r="B345" s="762">
        <f t="shared" ca="1" si="21"/>
        <v>3</v>
      </c>
      <c r="C345" s="762">
        <f t="shared" ca="1" si="22"/>
        <v>5</v>
      </c>
      <c r="D345" s="763">
        <f t="shared" ca="1" si="23"/>
        <v>2</v>
      </c>
      <c r="E345" s="763">
        <f t="shared" ca="1" si="24"/>
        <v>3</v>
      </c>
      <c r="G345" s="628"/>
      <c r="H345" s="766" t="s">
        <v>368</v>
      </c>
      <c r="I345" s="629" t="str">
        <f t="shared" ca="1" si="33"/>
        <v>03.005.002.003</v>
      </c>
      <c r="J345" s="654" t="s">
        <v>371</v>
      </c>
      <c r="K345" s="630" t="s">
        <v>5</v>
      </c>
      <c r="L345" s="631">
        <f>SUM(SUPRA!F38:F41)</f>
        <v>14535</v>
      </c>
      <c r="M345" s="631">
        <f>VLOOKUP(J345,Preços!$C$7:$F$498,4,FALSE)</f>
        <v>6.9927999999999999</v>
      </c>
      <c r="N345" s="646">
        <f t="shared" si="34"/>
        <v>101640.348</v>
      </c>
      <c r="O345" s="767" t="s">
        <v>530</v>
      </c>
      <c r="P345" s="632" t="s">
        <v>333</v>
      </c>
      <c r="R345" s="742"/>
      <c r="S345" s="742"/>
    </row>
    <row r="346" spans="1:24" s="761" customFormat="1" ht="22.5" hidden="1" outlineLevel="3" x14ac:dyDescent="0.2">
      <c r="A346" s="762" t="e">
        <f ca="1">IF($H346="UNIDADE CONSTRUTIVA",OFFSET(A346,-1,0)+1,LARGE(A$3:A345,1))</f>
        <v>#NUM!</v>
      </c>
      <c r="B346" s="762">
        <f t="shared" ca="1" si="21"/>
        <v>3</v>
      </c>
      <c r="C346" s="762">
        <f t="shared" ca="1" si="22"/>
        <v>5</v>
      </c>
      <c r="D346" s="763">
        <f t="shared" ca="1" si="23"/>
        <v>2</v>
      </c>
      <c r="E346" s="763">
        <f t="shared" ca="1" si="24"/>
        <v>4</v>
      </c>
      <c r="G346" s="628"/>
      <c r="H346" s="766" t="s">
        <v>368</v>
      </c>
      <c r="I346" s="629" t="str">
        <f t="shared" ca="1" si="33"/>
        <v>03.005.002.004</v>
      </c>
      <c r="J346" s="654" t="s">
        <v>372</v>
      </c>
      <c r="K346" s="630" t="s">
        <v>5</v>
      </c>
      <c r="L346" s="631">
        <f>SUM(SUPRA!G38:G41)</f>
        <v>4800</v>
      </c>
      <c r="M346" s="631">
        <f>VLOOKUP(J346,Preços!$C$7:$F$498,4,FALSE)</f>
        <v>6.8563999999999998</v>
      </c>
      <c r="N346" s="646">
        <f t="shared" si="34"/>
        <v>32910.720000000001</v>
      </c>
      <c r="O346" s="767" t="s">
        <v>530</v>
      </c>
      <c r="P346" s="632" t="s">
        <v>333</v>
      </c>
      <c r="R346" s="742"/>
      <c r="S346" s="742"/>
    </row>
    <row r="347" spans="1:24" s="761" customFormat="1" ht="22.5" hidden="1" outlineLevel="3" x14ac:dyDescent="0.2">
      <c r="A347" s="762" t="e">
        <f ca="1">IF($H347="UNIDADE CONSTRUTIVA",OFFSET(A347,-1,0)+1,LARGE(A$3:A346,1))</f>
        <v>#NUM!</v>
      </c>
      <c r="B347" s="762">
        <f t="shared" ca="1" si="21"/>
        <v>3</v>
      </c>
      <c r="C347" s="762">
        <f t="shared" ca="1" si="22"/>
        <v>5</v>
      </c>
      <c r="D347" s="763">
        <f t="shared" ca="1" si="23"/>
        <v>2</v>
      </c>
      <c r="E347" s="763">
        <f t="shared" ca="1" si="24"/>
        <v>5</v>
      </c>
      <c r="G347" s="628"/>
      <c r="H347" s="766" t="s">
        <v>368</v>
      </c>
      <c r="I347" s="629" t="str">
        <f t="shared" ca="1" si="33"/>
        <v>03.005.002.005</v>
      </c>
      <c r="J347" s="654" t="s">
        <v>373</v>
      </c>
      <c r="K347" s="630" t="s">
        <v>5</v>
      </c>
      <c r="L347" s="631">
        <f>SUM(SUPRA!H38:H41)</f>
        <v>60880</v>
      </c>
      <c r="M347" s="631">
        <f>VLOOKUP(J347,Preços!$C$7:$F$498,4,FALSE)</f>
        <v>6.8331</v>
      </c>
      <c r="N347" s="646">
        <f t="shared" si="34"/>
        <v>415999.12800000003</v>
      </c>
      <c r="O347" s="767" t="s">
        <v>530</v>
      </c>
      <c r="P347" s="632" t="s">
        <v>333</v>
      </c>
      <c r="R347" s="742"/>
      <c r="S347" s="742"/>
    </row>
    <row r="348" spans="1:24" s="761" customFormat="1" ht="22.5" hidden="1" outlineLevel="3" x14ac:dyDescent="0.2">
      <c r="A348" s="762" t="e">
        <f ca="1">IF($H348="UNIDADE CONSTRUTIVA",OFFSET(A348,-1,0)+1,LARGE(A$3:A347,1))</f>
        <v>#NUM!</v>
      </c>
      <c r="B348" s="762">
        <f t="shared" ca="1" si="21"/>
        <v>3</v>
      </c>
      <c r="C348" s="762">
        <f t="shared" ca="1" si="22"/>
        <v>5</v>
      </c>
      <c r="D348" s="763">
        <f t="shared" ca="1" si="23"/>
        <v>2</v>
      </c>
      <c r="E348" s="763">
        <f t="shared" ca="1" si="24"/>
        <v>6</v>
      </c>
      <c r="G348" s="628"/>
      <c r="H348" s="766" t="s">
        <v>368</v>
      </c>
      <c r="I348" s="629" t="str">
        <f t="shared" ca="1" si="33"/>
        <v>03.005.002.006</v>
      </c>
      <c r="J348" s="654" t="s">
        <v>374</v>
      </c>
      <c r="K348" s="630" t="s">
        <v>5</v>
      </c>
      <c r="L348" s="631">
        <f>SUM(SUPRA!I38:I41)</f>
        <v>12585</v>
      </c>
      <c r="M348" s="631">
        <f>VLOOKUP(J348,Preços!$C$7:$F$498,4,FALSE)</f>
        <v>6.8216999999999999</v>
      </c>
      <c r="N348" s="646">
        <f t="shared" si="34"/>
        <v>85851.094499999992</v>
      </c>
      <c r="O348" s="767" t="s">
        <v>530</v>
      </c>
      <c r="P348" s="632" t="s">
        <v>333</v>
      </c>
      <c r="R348" s="742"/>
      <c r="S348" s="742"/>
    </row>
    <row r="349" spans="1:24" s="761" customFormat="1" ht="22.5" hidden="1" outlineLevel="3" x14ac:dyDescent="0.2">
      <c r="A349" s="762" t="e">
        <f ca="1">IF($H349="UNIDADE CONSTRUTIVA",OFFSET(A349,-1,0)+1,LARGE(A$3:A317,1))</f>
        <v>#NUM!</v>
      </c>
      <c r="B349" s="762">
        <f t="shared" ca="1" si="21"/>
        <v>3</v>
      </c>
      <c r="C349" s="762">
        <f t="shared" ca="1" si="22"/>
        <v>5</v>
      </c>
      <c r="D349" s="763">
        <f t="shared" ca="1" si="23"/>
        <v>2</v>
      </c>
      <c r="E349" s="763">
        <f t="shared" ca="1" si="24"/>
        <v>7</v>
      </c>
      <c r="G349" s="628"/>
      <c r="H349" s="766" t="s">
        <v>368</v>
      </c>
      <c r="I349" s="629" t="str">
        <f t="shared" ca="1" si="33"/>
        <v>03.005.002.007</v>
      </c>
      <c r="J349" s="654" t="s">
        <v>1229</v>
      </c>
      <c r="K349" s="630" t="s">
        <v>5</v>
      </c>
      <c r="L349" s="631">
        <f>SUPRA!N40</f>
        <v>4116</v>
      </c>
      <c r="M349" s="631">
        <f>VLOOKUP(J349,Preços!$C$7:$F$498,4,FALSE)</f>
        <v>9.24</v>
      </c>
      <c r="N349" s="646">
        <f t="shared" si="34"/>
        <v>38031.840000000004</v>
      </c>
      <c r="O349" s="767" t="s">
        <v>530</v>
      </c>
      <c r="P349" s="632" t="s">
        <v>333</v>
      </c>
      <c r="R349" s="742"/>
      <c r="S349" s="742"/>
    </row>
    <row r="350" spans="1:24" s="761" customFormat="1" hidden="1" outlineLevel="2" collapsed="1" x14ac:dyDescent="0.2">
      <c r="A350" s="762" t="e">
        <f ca="1">IF($H350="UNIDADE CONSTRUTIVA",OFFSET(A350,-1,0)+1,LARGE(A$3:A348,1))</f>
        <v>#NUM!</v>
      </c>
      <c r="B350" s="762">
        <f t="shared" ca="1" si="21"/>
        <v>3</v>
      </c>
      <c r="C350" s="762">
        <f t="shared" ca="1" si="22"/>
        <v>5</v>
      </c>
      <c r="D350" s="763">
        <f t="shared" ca="1" si="23"/>
        <v>3</v>
      </c>
      <c r="E350" s="763">
        <f t="shared" ca="1" si="24"/>
        <v>0</v>
      </c>
      <c r="G350" s="628"/>
      <c r="H350" s="766" t="s">
        <v>367</v>
      </c>
      <c r="I350" s="629" t="str">
        <f t="shared" ca="1" si="33"/>
        <v>03.005.003</v>
      </c>
      <c r="J350" s="654" t="s">
        <v>375</v>
      </c>
      <c r="K350" s="630"/>
      <c r="L350" s="631"/>
      <c r="M350" s="631"/>
      <c r="N350" s="646">
        <f>SUM(N351)</f>
        <v>803818.51884000015</v>
      </c>
      <c r="O350" s="767"/>
      <c r="P350" s="632"/>
      <c r="R350" s="742"/>
      <c r="S350" s="742"/>
    </row>
    <row r="351" spans="1:24" s="761" customFormat="1" ht="33.75" hidden="1" outlineLevel="3" x14ac:dyDescent="0.2">
      <c r="A351" s="762" t="e">
        <f ca="1">IF($H351="UNIDADE CONSTRUTIVA",OFFSET(A351,-1,0)+1,LARGE(A$3:A350,1))</f>
        <v>#NUM!</v>
      </c>
      <c r="B351" s="762">
        <f t="shared" ca="1" si="21"/>
        <v>3</v>
      </c>
      <c r="C351" s="762">
        <f t="shared" ca="1" si="22"/>
        <v>5</v>
      </c>
      <c r="D351" s="763">
        <f t="shared" ca="1" si="23"/>
        <v>3</v>
      </c>
      <c r="E351" s="763">
        <f t="shared" ca="1" si="24"/>
        <v>1</v>
      </c>
      <c r="G351" s="628"/>
      <c r="H351" s="766" t="s">
        <v>368</v>
      </c>
      <c r="I351" s="629" t="str">
        <f t="shared" ca="1" si="33"/>
        <v>03.005.003.001</v>
      </c>
      <c r="J351" s="654" t="s">
        <v>1443</v>
      </c>
      <c r="K351" s="630" t="s">
        <v>4</v>
      </c>
      <c r="L351" s="631">
        <f>SUPRA!K42</f>
        <v>1420.42</v>
      </c>
      <c r="M351" s="631">
        <f>VLOOKUP(J351,Preços!$C$7:$F$498,4,FALSE)</f>
        <v>565.90200000000004</v>
      </c>
      <c r="N351" s="646">
        <f>L351*M351</f>
        <v>803818.51884000015</v>
      </c>
      <c r="O351" s="767" t="s">
        <v>530</v>
      </c>
      <c r="P351" s="632" t="s">
        <v>333</v>
      </c>
      <c r="R351" s="742"/>
      <c r="S351" s="742"/>
    </row>
    <row r="352" spans="1:24" s="761" customFormat="1" hidden="1" outlineLevel="2" collapsed="1" x14ac:dyDescent="0.2">
      <c r="A352" s="762" t="e">
        <f ca="1">IF($H352="UNIDADE CONSTRUTIVA",OFFSET(A352,-1,0)+1,LARGE(A$3:A351,1))</f>
        <v>#NUM!</v>
      </c>
      <c r="B352" s="762">
        <f t="shared" ca="1" si="21"/>
        <v>3</v>
      </c>
      <c r="C352" s="762">
        <f t="shared" ca="1" si="22"/>
        <v>5</v>
      </c>
      <c r="D352" s="763">
        <f t="shared" ca="1" si="23"/>
        <v>4</v>
      </c>
      <c r="E352" s="763">
        <f t="shared" ca="1" si="24"/>
        <v>0</v>
      </c>
      <c r="G352" s="628"/>
      <c r="H352" s="766" t="s">
        <v>367</v>
      </c>
      <c r="I352" s="629" t="str">
        <f t="shared" ca="1" si="33"/>
        <v>03.005.004</v>
      </c>
      <c r="J352" s="654" t="s">
        <v>1440</v>
      </c>
      <c r="K352" s="630"/>
      <c r="L352" s="631"/>
      <c r="M352" s="631"/>
      <c r="N352" s="646">
        <f>SUM(N353)</f>
        <v>130410</v>
      </c>
      <c r="O352" s="767"/>
      <c r="P352" s="632"/>
      <c r="R352" s="742"/>
      <c r="S352" s="742"/>
    </row>
    <row r="353" spans="1:19" s="761" customFormat="1" ht="22.5" hidden="1" outlineLevel="3" x14ac:dyDescent="0.2">
      <c r="A353" s="762" t="e">
        <f ca="1">IF($H353="UNIDADE CONSTRUTIVA",OFFSET(A353,-1,0)+1,LARGE(A$3:A352,1))</f>
        <v>#NUM!</v>
      </c>
      <c r="B353" s="762">
        <f t="shared" ca="1" si="21"/>
        <v>3</v>
      </c>
      <c r="C353" s="762">
        <f t="shared" ca="1" si="22"/>
        <v>5</v>
      </c>
      <c r="D353" s="763">
        <f t="shared" ca="1" si="23"/>
        <v>4</v>
      </c>
      <c r="E353" s="763">
        <f t="shared" ca="1" si="24"/>
        <v>1</v>
      </c>
      <c r="G353" s="628"/>
      <c r="H353" s="766" t="s">
        <v>368</v>
      </c>
      <c r="I353" s="629" t="str">
        <f t="shared" ca="1" si="33"/>
        <v>03.005.004.001</v>
      </c>
      <c r="J353" s="654" t="s">
        <v>1058</v>
      </c>
      <c r="K353" s="630" t="s">
        <v>1223</v>
      </c>
      <c r="L353" s="631">
        <v>10</v>
      </c>
      <c r="M353" s="631">
        <f>VLOOKUP(J353,Preços!$C$7:$F$498,4,FALSE)</f>
        <v>13041</v>
      </c>
      <c r="N353" s="646">
        <f>L353*M353</f>
        <v>130410</v>
      </c>
      <c r="O353" s="767"/>
      <c r="P353" s="632"/>
      <c r="R353" s="742"/>
      <c r="S353" s="742"/>
    </row>
    <row r="354" spans="1:19" s="761" customFormat="1" hidden="1" outlineLevel="2" x14ac:dyDescent="0.2">
      <c r="A354" s="762" t="e">
        <f ca="1">IF($H354="UNIDADE CONSTRUTIVA",OFFSET(A354,-1,0)+1,LARGE(A$3:A352,1))</f>
        <v>#NUM!</v>
      </c>
      <c r="B354" s="762">
        <f t="shared" ca="1" si="21"/>
        <v>3</v>
      </c>
      <c r="C354" s="762">
        <f t="shared" ca="1" si="22"/>
        <v>5</v>
      </c>
      <c r="D354" s="763">
        <f t="shared" ca="1" si="23"/>
        <v>5</v>
      </c>
      <c r="E354" s="763">
        <f t="shared" ca="1" si="24"/>
        <v>0</v>
      </c>
      <c r="G354" s="628"/>
      <c r="H354" s="766" t="s">
        <v>367</v>
      </c>
      <c r="I354" s="629" t="str">
        <f t="shared" ca="1" si="33"/>
        <v>03.005.005</v>
      </c>
      <c r="J354" s="654" t="s">
        <v>211</v>
      </c>
      <c r="K354" s="630"/>
      <c r="L354" s="631"/>
      <c r="M354" s="631"/>
      <c r="N354" s="646">
        <f>SUM(N355:N355)</f>
        <v>1565000</v>
      </c>
      <c r="O354" s="767"/>
      <c r="P354" s="632"/>
      <c r="R354" s="742"/>
      <c r="S354" s="742"/>
    </row>
    <row r="355" spans="1:19" s="761" customFormat="1" ht="22.5" hidden="1" outlineLevel="3" x14ac:dyDescent="0.2">
      <c r="A355" s="762" t="e">
        <f ca="1">IF($H355="UNIDADE CONSTRUTIVA",OFFSET(A355,-1,0)+1,LARGE(A$3:A354,1))</f>
        <v>#NUM!</v>
      </c>
      <c r="B355" s="762">
        <f t="shared" ca="1" si="21"/>
        <v>3</v>
      </c>
      <c r="C355" s="762">
        <f t="shared" ca="1" si="22"/>
        <v>5</v>
      </c>
      <c r="D355" s="763">
        <f t="shared" ca="1" si="23"/>
        <v>5</v>
      </c>
      <c r="E355" s="763">
        <f t="shared" ca="1" si="24"/>
        <v>1</v>
      </c>
      <c r="G355" s="628"/>
      <c r="H355" s="766" t="s">
        <v>368</v>
      </c>
      <c r="I355" s="629" t="str">
        <f t="shared" ca="1" si="33"/>
        <v>03.005.005.001</v>
      </c>
      <c r="J355" s="654" t="s">
        <v>1133</v>
      </c>
      <c r="K355" s="630" t="s">
        <v>250</v>
      </c>
      <c r="L355" s="631">
        <v>1</v>
      </c>
      <c r="M355" s="631">
        <v>1565000</v>
      </c>
      <c r="N355" s="646">
        <f>L355*M355</f>
        <v>1565000</v>
      </c>
      <c r="O355" s="1228" t="s">
        <v>2084</v>
      </c>
      <c r="P355" s="632" t="s">
        <v>333</v>
      </c>
      <c r="R355" s="742"/>
      <c r="S355" s="742"/>
    </row>
    <row r="356" spans="1:19" s="761" customFormat="1" hidden="1" outlineLevel="1" collapsed="1" x14ac:dyDescent="0.2">
      <c r="A356" s="762" t="e">
        <f ca="1">IF($H356="UNIDADE CONSTRUTIVA",OFFSET(A356,-1,0)+1,LARGE(A$3:A254,1))</f>
        <v>#NUM!</v>
      </c>
      <c r="B356" s="762">
        <f t="shared" ref="B356:B374" ca="1" si="35">IF(H356="UNIDADE CONSTRUTIVA",0,IF(H356="CÉLULA CONSTRUTIVA",OFFSET(B356,-1,0)+1,OFFSET(B356,-1,0)))</f>
        <v>3</v>
      </c>
      <c r="C356" s="762">
        <f t="shared" ref="C356:C374" ca="1" si="36">IF(H356="CÉLULA CONSTRUTIVA",0,IF(H356="ETAPA",OFFSET(C356,-1,0)+1,OFFSET(C356,-1,0)))</f>
        <v>6</v>
      </c>
      <c r="D356" s="763">
        <f t="shared" ref="D356:D374" ca="1" si="37">IF(H356="ETAPA",0,IF(H356="SUBETAPA",OFFSET(D356,-1,0)+1,OFFSET(D356,-1,0)))</f>
        <v>0</v>
      </c>
      <c r="E356" s="763">
        <f t="shared" ref="E356:E374" ca="1" si="38">IF(H356="Subetapa",0,IF(H356="serviço",OFFSET(E356,-1,0)+1,OFFSET(E356,-1,0)))</f>
        <v>1</v>
      </c>
      <c r="G356" s="628"/>
      <c r="H356" s="766" t="s">
        <v>366</v>
      </c>
      <c r="I356" s="629" t="str">
        <f t="shared" ref="I356:I374" ca="1" si="39">IF(H356="Unidade Construtiva",TEXT(A356,"00"),IF(H356="Célula Construtiva",TEXT(B356,"00"),IF(H356="Etapa",CONCATENATE(TEXT(B356,"00"),".",TEXT(C356,"000")),IF(H356="Subetapa",CONCATENATE(TEXT(B356,"00"),".",TEXT(C356,"000"),".",TEXT(D356,"000")),IF(H356="Serviço",CONCATENATE(TEXT(B356,"00"),".",TEXT(C356,"000"),".",TEXT(D356,"000"),".",TEXT(E356,"000")),"")))))</f>
        <v>03.006</v>
      </c>
      <c r="J356" s="654" t="s">
        <v>467</v>
      </c>
      <c r="K356" s="630"/>
      <c r="L356" s="631"/>
      <c r="M356" s="631"/>
      <c r="N356" s="646">
        <f>N357+N362+N369+N371+N373</f>
        <v>223729.97016864002</v>
      </c>
      <c r="O356" s="767"/>
      <c r="P356" s="632"/>
      <c r="R356" s="742"/>
      <c r="S356" s="742"/>
    </row>
    <row r="357" spans="1:19" s="761" customFormat="1" hidden="1" outlineLevel="2" x14ac:dyDescent="0.2">
      <c r="A357" s="762" t="e">
        <f ca="1">IF($H357="UNIDADE CONSTRUTIVA",OFFSET(A357,-1,0)+1,LARGE(A$3:A356,1))</f>
        <v>#NUM!</v>
      </c>
      <c r="B357" s="762">
        <f t="shared" ca="1" si="35"/>
        <v>3</v>
      </c>
      <c r="C357" s="762">
        <f t="shared" ca="1" si="36"/>
        <v>6</v>
      </c>
      <c r="D357" s="763">
        <f t="shared" ca="1" si="37"/>
        <v>1</v>
      </c>
      <c r="E357" s="763">
        <f t="shared" ca="1" si="38"/>
        <v>0</v>
      </c>
      <c r="G357" s="628"/>
      <c r="H357" s="766" t="s">
        <v>367</v>
      </c>
      <c r="I357" s="629" t="str">
        <f t="shared" ca="1" si="39"/>
        <v>03.006.001</v>
      </c>
      <c r="J357" s="654" t="s">
        <v>187</v>
      </c>
      <c r="K357" s="630"/>
      <c r="L357" s="631"/>
      <c r="M357" s="631"/>
      <c r="N357" s="646">
        <f>SUM(N358:N361)</f>
        <v>57269.410528639994</v>
      </c>
      <c r="O357" s="767"/>
      <c r="P357" s="632"/>
      <c r="R357" s="742"/>
      <c r="S357" s="742"/>
    </row>
    <row r="358" spans="1:19" s="761" customFormat="1" ht="22.5" hidden="1" outlineLevel="3" x14ac:dyDescent="0.2">
      <c r="A358" s="762" t="e">
        <f ca="1">IF($H358="UNIDADE CONSTRUTIVA",OFFSET(A358,-1,0)+1,LARGE(A$3:A357,1))</f>
        <v>#NUM!</v>
      </c>
      <c r="B358" s="762">
        <f t="shared" ca="1" si="35"/>
        <v>3</v>
      </c>
      <c r="C358" s="762">
        <f t="shared" ca="1" si="36"/>
        <v>6</v>
      </c>
      <c r="D358" s="763">
        <f t="shared" ca="1" si="37"/>
        <v>1</v>
      </c>
      <c r="E358" s="763">
        <f t="shared" ca="1" si="38"/>
        <v>1</v>
      </c>
      <c r="G358" s="628"/>
      <c r="H358" s="766" t="s">
        <v>368</v>
      </c>
      <c r="I358" s="629" t="str">
        <f t="shared" ca="1" si="39"/>
        <v>03.006.001.001</v>
      </c>
      <c r="J358" s="654" t="s">
        <v>2112</v>
      </c>
      <c r="K358" s="630" t="s">
        <v>1</v>
      </c>
      <c r="L358" s="631">
        <f>Vigas!Q11</f>
        <v>115.58999999999999</v>
      </c>
      <c r="M358" s="631">
        <f>VLOOKUP(J358,Preços!$C$7:$F$498,4,FALSE)</f>
        <v>108.4393</v>
      </c>
      <c r="N358" s="646">
        <f>L358*M358</f>
        <v>12534.498686999999</v>
      </c>
      <c r="O358" s="1228" t="s">
        <v>2113</v>
      </c>
      <c r="P358" s="632" t="s">
        <v>333</v>
      </c>
      <c r="R358" s="742"/>
      <c r="S358" s="742"/>
    </row>
    <row r="359" spans="1:19" s="761" customFormat="1" ht="22.5" hidden="1" outlineLevel="3" x14ac:dyDescent="0.2">
      <c r="A359" s="762" t="e">
        <f ca="1">IF($H359="UNIDADE CONSTRUTIVA",OFFSET(A359,-1,0)+1,LARGE(A$3:A358,1))</f>
        <v>#NUM!</v>
      </c>
      <c r="B359" s="762">
        <f t="shared" ca="1" si="35"/>
        <v>3</v>
      </c>
      <c r="C359" s="762">
        <f t="shared" ca="1" si="36"/>
        <v>6</v>
      </c>
      <c r="D359" s="763">
        <f t="shared" ca="1" si="37"/>
        <v>1</v>
      </c>
      <c r="E359" s="763">
        <f t="shared" ca="1" si="38"/>
        <v>2</v>
      </c>
      <c r="G359" s="628"/>
      <c r="H359" s="766" t="s">
        <v>368</v>
      </c>
      <c r="I359" s="629" t="str">
        <f t="shared" ca="1" si="39"/>
        <v>03.006.001.002</v>
      </c>
      <c r="J359" s="654" t="s">
        <v>2110</v>
      </c>
      <c r="K359" s="630" t="s">
        <v>1</v>
      </c>
      <c r="L359" s="631">
        <f>Pilares!P12</f>
        <v>220.01</v>
      </c>
      <c r="M359" s="631">
        <f>VLOOKUP(J359,Preços!$C$7:$F$498,4,FALSE)</f>
        <v>180.05500000000001</v>
      </c>
      <c r="N359" s="646">
        <f>L359*M359</f>
        <v>39613.900549999998</v>
      </c>
      <c r="O359" s="1228" t="s">
        <v>2113</v>
      </c>
      <c r="P359" s="632" t="s">
        <v>333</v>
      </c>
      <c r="R359" s="742"/>
      <c r="S359" s="742"/>
    </row>
    <row r="360" spans="1:19" s="761" customFormat="1" ht="22.5" hidden="1" outlineLevel="3" x14ac:dyDescent="0.2">
      <c r="A360" s="762" t="e">
        <f ca="1">IF($H360="UNIDADE CONSTRUTIVA",OFFSET(A360,-1,0)+1,LARGE(A$3:A359,1))</f>
        <v>#NUM!</v>
      </c>
      <c r="B360" s="762">
        <f t="shared" ca="1" si="35"/>
        <v>3</v>
      </c>
      <c r="C360" s="762">
        <f t="shared" ca="1" si="36"/>
        <v>6</v>
      </c>
      <c r="D360" s="763">
        <f t="shared" ca="1" si="37"/>
        <v>1</v>
      </c>
      <c r="E360" s="763">
        <f t="shared" ca="1" si="38"/>
        <v>3</v>
      </c>
      <c r="G360" s="628"/>
      <c r="H360" s="766" t="s">
        <v>368</v>
      </c>
      <c r="I360" s="629" t="str">
        <f t="shared" ca="1" si="39"/>
        <v>03.006.001.003</v>
      </c>
      <c r="J360" s="654" t="s">
        <v>2111</v>
      </c>
      <c r="K360" s="630" t="s">
        <v>1</v>
      </c>
      <c r="L360" s="631">
        <f>Lajes!S12</f>
        <v>41.14</v>
      </c>
      <c r="M360" s="631">
        <f>VLOOKUP(J360,Preços!$C$7:$F$498,4,FALSE)</f>
        <v>75.526799999999994</v>
      </c>
      <c r="N360" s="646">
        <f>L360*M360</f>
        <v>3107.172552</v>
      </c>
      <c r="O360" s="1228" t="s">
        <v>2113</v>
      </c>
      <c r="P360" s="632" t="s">
        <v>333</v>
      </c>
      <c r="R360" s="742"/>
      <c r="S360" s="742"/>
    </row>
    <row r="361" spans="1:19" s="761" customFormat="1" ht="22.5" hidden="1" outlineLevel="3" x14ac:dyDescent="0.2">
      <c r="A361" s="762" t="e">
        <f ca="1">IF($H361="UNIDADE CONSTRUTIVA",OFFSET(A361,-1,0)+1,LARGE(A$3:A360,1))</f>
        <v>#NUM!</v>
      </c>
      <c r="B361" s="762">
        <f t="shared" ca="1" si="35"/>
        <v>3</v>
      </c>
      <c r="C361" s="762">
        <f t="shared" ca="1" si="36"/>
        <v>6</v>
      </c>
      <c r="D361" s="763">
        <f t="shared" ca="1" si="37"/>
        <v>1</v>
      </c>
      <c r="E361" s="763">
        <f t="shared" ca="1" si="38"/>
        <v>4</v>
      </c>
      <c r="G361" s="628"/>
      <c r="H361" s="766" t="s">
        <v>368</v>
      </c>
      <c r="I361" s="629" t="str">
        <f t="shared" ca="1" si="39"/>
        <v>03.006.001.004</v>
      </c>
      <c r="J361" s="654" t="s">
        <v>1441</v>
      </c>
      <c r="K361" s="630" t="s">
        <v>1</v>
      </c>
      <c r="L361" s="631">
        <f>Escadas!W12</f>
        <v>25.598299999999998</v>
      </c>
      <c r="M361" s="631">
        <f>VLOOKUP(J361,Preços!$C$7:$F$498,4,FALSE)</f>
        <v>78.6708</v>
      </c>
      <c r="N361" s="646">
        <f>L361*M361</f>
        <v>2013.8387396399999</v>
      </c>
      <c r="O361" s="1228" t="s">
        <v>2113</v>
      </c>
      <c r="P361" s="632" t="s">
        <v>333</v>
      </c>
      <c r="R361" s="742"/>
      <c r="S361" s="742"/>
    </row>
    <row r="362" spans="1:19" s="761" customFormat="1" hidden="1" outlineLevel="2" collapsed="1" x14ac:dyDescent="0.2">
      <c r="A362" s="762" t="e">
        <f ca="1">IF($H362="UNIDADE CONSTRUTIVA",OFFSET(A362,-1,0)+1,LARGE(A$3:A360,1))</f>
        <v>#NUM!</v>
      </c>
      <c r="B362" s="762">
        <f t="shared" ca="1" si="35"/>
        <v>3</v>
      </c>
      <c r="C362" s="762">
        <f t="shared" ca="1" si="36"/>
        <v>6</v>
      </c>
      <c r="D362" s="763">
        <f t="shared" ca="1" si="37"/>
        <v>2</v>
      </c>
      <c r="E362" s="763">
        <f t="shared" ca="1" si="38"/>
        <v>0</v>
      </c>
      <c r="G362" s="628"/>
      <c r="H362" s="766" t="s">
        <v>367</v>
      </c>
      <c r="I362" s="629" t="str">
        <f t="shared" ca="1" si="39"/>
        <v>03.006.002</v>
      </c>
      <c r="J362" s="654" t="s">
        <v>185</v>
      </c>
      <c r="K362" s="630"/>
      <c r="L362" s="631"/>
      <c r="M362" s="631"/>
      <c r="N362" s="646">
        <f>SUM(N363:N368)</f>
        <v>37970.655499999993</v>
      </c>
      <c r="O362" s="767"/>
      <c r="P362" s="632"/>
      <c r="R362" s="742"/>
      <c r="S362" s="742"/>
    </row>
    <row r="363" spans="1:19" s="761" customFormat="1" ht="22.5" hidden="1" outlineLevel="3" x14ac:dyDescent="0.2">
      <c r="A363" s="762" t="e">
        <f ca="1">IF($H363="UNIDADE CONSTRUTIVA",OFFSET(A363,-1,0)+1,LARGE(A$3:A362,1))</f>
        <v>#NUM!</v>
      </c>
      <c r="B363" s="762">
        <f t="shared" ca="1" si="35"/>
        <v>3</v>
      </c>
      <c r="C363" s="762">
        <f t="shared" ca="1" si="36"/>
        <v>6</v>
      </c>
      <c r="D363" s="763">
        <f t="shared" ca="1" si="37"/>
        <v>2</v>
      </c>
      <c r="E363" s="763">
        <f t="shared" ca="1" si="38"/>
        <v>1</v>
      </c>
      <c r="G363" s="628"/>
      <c r="H363" s="766" t="s">
        <v>368</v>
      </c>
      <c r="I363" s="629" t="str">
        <f t="shared" ca="1" si="39"/>
        <v>03.006.002.001</v>
      </c>
      <c r="J363" s="654" t="s">
        <v>369</v>
      </c>
      <c r="K363" s="630" t="s">
        <v>5</v>
      </c>
      <c r="L363" s="631">
        <f>SUM(SUPRA!D43:D46)</f>
        <v>625</v>
      </c>
      <c r="M363" s="631">
        <f>VLOOKUP(J363,Preços!$C$7:$F$498,4,FALSE)</f>
        <v>7.5498000000000003</v>
      </c>
      <c r="N363" s="646">
        <f t="shared" ref="N363:N368" si="40">L363*M363</f>
        <v>4718.625</v>
      </c>
      <c r="O363" s="767" t="s">
        <v>530</v>
      </c>
      <c r="P363" s="632" t="s">
        <v>333</v>
      </c>
      <c r="R363" s="742"/>
    </row>
    <row r="364" spans="1:19" s="761" customFormat="1" ht="22.5" hidden="1" outlineLevel="3" x14ac:dyDescent="0.2">
      <c r="A364" s="762" t="e">
        <f ca="1">IF($H364="UNIDADE CONSTRUTIVA",OFFSET(A364,-1,0)+1,LARGE(A$3:A363,1))</f>
        <v>#NUM!</v>
      </c>
      <c r="B364" s="762">
        <f t="shared" ca="1" si="35"/>
        <v>3</v>
      </c>
      <c r="C364" s="762">
        <f t="shared" ca="1" si="36"/>
        <v>6</v>
      </c>
      <c r="D364" s="763">
        <f t="shared" ca="1" si="37"/>
        <v>2</v>
      </c>
      <c r="E364" s="763">
        <f t="shared" ca="1" si="38"/>
        <v>2</v>
      </c>
      <c r="G364" s="628"/>
      <c r="H364" s="766" t="s">
        <v>368</v>
      </c>
      <c r="I364" s="629" t="str">
        <f t="shared" ca="1" si="39"/>
        <v>03.006.002.002</v>
      </c>
      <c r="J364" s="654" t="s">
        <v>370</v>
      </c>
      <c r="K364" s="630" t="s">
        <v>5</v>
      </c>
      <c r="L364" s="631">
        <f>SUM(SUPRA!E43:E46)</f>
        <v>1190</v>
      </c>
      <c r="M364" s="631">
        <f>VLOOKUP(J364,Preços!$C$7:$F$498,4,FALSE)</f>
        <v>7.2104999999999997</v>
      </c>
      <c r="N364" s="646">
        <f t="shared" si="40"/>
        <v>8580.494999999999</v>
      </c>
      <c r="O364" s="767" t="s">
        <v>530</v>
      </c>
      <c r="P364" s="632" t="s">
        <v>333</v>
      </c>
      <c r="R364" s="742"/>
    </row>
    <row r="365" spans="1:19" s="761" customFormat="1" ht="22.5" hidden="1" outlineLevel="3" x14ac:dyDescent="0.2">
      <c r="A365" s="762" t="e">
        <f ca="1">IF($H365="UNIDADE CONSTRUTIVA",OFFSET(A365,-1,0)+1,LARGE(A$3:A364,1))</f>
        <v>#NUM!</v>
      </c>
      <c r="B365" s="762">
        <f t="shared" ca="1" si="35"/>
        <v>3</v>
      </c>
      <c r="C365" s="762">
        <f t="shared" ca="1" si="36"/>
        <v>6</v>
      </c>
      <c r="D365" s="763">
        <f t="shared" ca="1" si="37"/>
        <v>2</v>
      </c>
      <c r="E365" s="763">
        <f t="shared" ca="1" si="38"/>
        <v>3</v>
      </c>
      <c r="G365" s="628"/>
      <c r="H365" s="766" t="s">
        <v>368</v>
      </c>
      <c r="I365" s="629" t="str">
        <f t="shared" ca="1" si="39"/>
        <v>03.006.002.003</v>
      </c>
      <c r="J365" s="654" t="s">
        <v>371</v>
      </c>
      <c r="K365" s="630" t="s">
        <v>5</v>
      </c>
      <c r="L365" s="631">
        <f>SUM(SUPRA!F43:F46)</f>
        <v>660</v>
      </c>
      <c r="M365" s="631">
        <f>VLOOKUP(J365,Preços!$C$7:$F$498,4,FALSE)</f>
        <v>6.9927999999999999</v>
      </c>
      <c r="N365" s="646">
        <f t="shared" si="40"/>
        <v>4615.2479999999996</v>
      </c>
      <c r="O365" s="767" t="s">
        <v>530</v>
      </c>
      <c r="P365" s="632" t="s">
        <v>333</v>
      </c>
      <c r="R365" s="742"/>
    </row>
    <row r="366" spans="1:19" s="761" customFormat="1" ht="22.5" hidden="1" outlineLevel="3" x14ac:dyDescent="0.2">
      <c r="A366" s="762" t="e">
        <f ca="1">IF($H366="UNIDADE CONSTRUTIVA",OFFSET(A366,-1,0)+1,LARGE(A$3:A365,1))</f>
        <v>#NUM!</v>
      </c>
      <c r="B366" s="762">
        <f t="shared" ca="1" si="35"/>
        <v>3</v>
      </c>
      <c r="C366" s="762">
        <f t="shared" ca="1" si="36"/>
        <v>6</v>
      </c>
      <c r="D366" s="763">
        <f t="shared" ca="1" si="37"/>
        <v>2</v>
      </c>
      <c r="E366" s="763">
        <f t="shared" ca="1" si="38"/>
        <v>4</v>
      </c>
      <c r="G366" s="628"/>
      <c r="H366" s="766" t="s">
        <v>368</v>
      </c>
      <c r="I366" s="629" t="str">
        <f t="shared" ca="1" si="39"/>
        <v>03.006.002.004</v>
      </c>
      <c r="J366" s="654" t="s">
        <v>372</v>
      </c>
      <c r="K366" s="630" t="s">
        <v>5</v>
      </c>
      <c r="L366" s="631">
        <f>SUM(SUPRA!G43:G46)</f>
        <v>550</v>
      </c>
      <c r="M366" s="631">
        <f>VLOOKUP(J366,Preços!$C$7:$F$498,4,FALSE)</f>
        <v>6.8563999999999998</v>
      </c>
      <c r="N366" s="646">
        <f t="shared" si="40"/>
        <v>3771.02</v>
      </c>
      <c r="O366" s="767" t="s">
        <v>530</v>
      </c>
      <c r="P366" s="632" t="s">
        <v>333</v>
      </c>
      <c r="R366" s="742"/>
    </row>
    <row r="367" spans="1:19" s="761" customFormat="1" ht="22.5" hidden="1" outlineLevel="3" x14ac:dyDescent="0.2">
      <c r="A367" s="762" t="e">
        <f ca="1">IF($H367="UNIDADE CONSTRUTIVA",OFFSET(A367,-1,0)+1,LARGE(A$3:A366,1))</f>
        <v>#NUM!</v>
      </c>
      <c r="B367" s="762">
        <f t="shared" ca="1" si="35"/>
        <v>3</v>
      </c>
      <c r="C367" s="762">
        <f t="shared" ca="1" si="36"/>
        <v>6</v>
      </c>
      <c r="D367" s="763">
        <f t="shared" ca="1" si="37"/>
        <v>2</v>
      </c>
      <c r="E367" s="763">
        <f t="shared" ca="1" si="38"/>
        <v>5</v>
      </c>
      <c r="G367" s="628"/>
      <c r="H367" s="766" t="s">
        <v>368</v>
      </c>
      <c r="I367" s="629" t="str">
        <f t="shared" ca="1" si="39"/>
        <v>03.006.002.005</v>
      </c>
      <c r="J367" s="654" t="s">
        <v>373</v>
      </c>
      <c r="K367" s="630" t="s">
        <v>5</v>
      </c>
      <c r="L367" s="631">
        <f>SUM(SUPRA!H43:H46)</f>
        <v>2105</v>
      </c>
      <c r="M367" s="631">
        <f>VLOOKUP(J367,Preços!$C$7:$F$498,4,FALSE)</f>
        <v>6.8331</v>
      </c>
      <c r="N367" s="646">
        <f t="shared" si="40"/>
        <v>14383.675499999999</v>
      </c>
      <c r="O367" s="767" t="s">
        <v>530</v>
      </c>
      <c r="P367" s="632" t="s">
        <v>333</v>
      </c>
      <c r="R367" s="742"/>
      <c r="S367" s="742"/>
    </row>
    <row r="368" spans="1:19" s="761" customFormat="1" ht="22.5" hidden="1" outlineLevel="3" x14ac:dyDescent="0.2">
      <c r="A368" s="762" t="e">
        <f ca="1">IF($H368="UNIDADE CONSTRUTIVA",OFFSET(A368,-1,0)+1,LARGE(A$3:A337,1))</f>
        <v>#NUM!</v>
      </c>
      <c r="B368" s="762">
        <f t="shared" ca="1" si="35"/>
        <v>3</v>
      </c>
      <c r="C368" s="762">
        <f t="shared" ca="1" si="36"/>
        <v>6</v>
      </c>
      <c r="D368" s="763">
        <f t="shared" ca="1" si="37"/>
        <v>2</v>
      </c>
      <c r="E368" s="763">
        <f t="shared" ca="1" si="38"/>
        <v>6</v>
      </c>
      <c r="G368" s="628"/>
      <c r="H368" s="766" t="s">
        <v>368</v>
      </c>
      <c r="I368" s="629" t="str">
        <f t="shared" ca="1" si="39"/>
        <v>03.006.002.006</v>
      </c>
      <c r="J368" s="654" t="s">
        <v>1229</v>
      </c>
      <c r="K368" s="630" t="s">
        <v>5</v>
      </c>
      <c r="L368" s="631">
        <f>SUPRA!N45</f>
        <v>205.8</v>
      </c>
      <c r="M368" s="631">
        <f>VLOOKUP(J368,Preços!$C$7:$F$498,4,FALSE)</f>
        <v>9.24</v>
      </c>
      <c r="N368" s="646">
        <f t="shared" si="40"/>
        <v>1901.5920000000001</v>
      </c>
      <c r="O368" s="767" t="s">
        <v>530</v>
      </c>
      <c r="P368" s="632" t="s">
        <v>333</v>
      </c>
      <c r="R368" s="742"/>
      <c r="S368" s="742"/>
    </row>
    <row r="369" spans="1:26" s="761" customFormat="1" hidden="1" outlineLevel="2" collapsed="1" x14ac:dyDescent="0.2">
      <c r="A369" s="762" t="e">
        <f ca="1">IF($H369="UNIDADE CONSTRUTIVA",OFFSET(A369,-1,0)+1,LARGE(A$3:A367,1))</f>
        <v>#NUM!</v>
      </c>
      <c r="B369" s="762">
        <f t="shared" ca="1" si="35"/>
        <v>3</v>
      </c>
      <c r="C369" s="762">
        <f t="shared" ca="1" si="36"/>
        <v>6</v>
      </c>
      <c r="D369" s="763">
        <f t="shared" ca="1" si="37"/>
        <v>3</v>
      </c>
      <c r="E369" s="763">
        <f t="shared" ca="1" si="38"/>
        <v>0</v>
      </c>
      <c r="G369" s="628"/>
      <c r="H369" s="766" t="s">
        <v>367</v>
      </c>
      <c r="I369" s="629" t="str">
        <f t="shared" ca="1" si="39"/>
        <v>03.006.003</v>
      </c>
      <c r="J369" s="654" t="s">
        <v>375</v>
      </c>
      <c r="K369" s="630"/>
      <c r="L369" s="631"/>
      <c r="M369" s="631"/>
      <c r="N369" s="646">
        <f>SUM(N370)</f>
        <v>39935.704140000002</v>
      </c>
      <c r="O369" s="767"/>
      <c r="P369" s="632"/>
      <c r="R369" s="742"/>
      <c r="S369" s="742"/>
    </row>
    <row r="370" spans="1:26" s="761" customFormat="1" ht="33.75" hidden="1" outlineLevel="3" x14ac:dyDescent="0.2">
      <c r="A370" s="762" t="e">
        <f ca="1">IF($H370="UNIDADE CONSTRUTIVA",OFFSET(A370,-1,0)+1,LARGE(A$3:A369,1))</f>
        <v>#NUM!</v>
      </c>
      <c r="B370" s="762">
        <f t="shared" ca="1" si="35"/>
        <v>3</v>
      </c>
      <c r="C370" s="762">
        <f t="shared" ca="1" si="36"/>
        <v>6</v>
      </c>
      <c r="D370" s="763">
        <f t="shared" ca="1" si="37"/>
        <v>3</v>
      </c>
      <c r="E370" s="763">
        <f t="shared" ca="1" si="38"/>
        <v>1</v>
      </c>
      <c r="G370" s="628"/>
      <c r="H370" s="766" t="s">
        <v>368</v>
      </c>
      <c r="I370" s="629" t="str">
        <f t="shared" ca="1" si="39"/>
        <v>03.006.003.001</v>
      </c>
      <c r="J370" s="654" t="s">
        <v>1443</v>
      </c>
      <c r="K370" s="630" t="s">
        <v>4</v>
      </c>
      <c r="L370" s="631">
        <f>SUPRA!K47</f>
        <v>70.569999999999993</v>
      </c>
      <c r="M370" s="631">
        <f>VLOOKUP(J370,Preços!$C$7:$F$498,4,FALSE)</f>
        <v>565.90200000000004</v>
      </c>
      <c r="N370" s="646">
        <f>L370*M370</f>
        <v>39935.704140000002</v>
      </c>
      <c r="O370" s="767" t="s">
        <v>530</v>
      </c>
      <c r="P370" s="632" t="s">
        <v>333</v>
      </c>
      <c r="R370" s="742"/>
      <c r="S370" s="742"/>
    </row>
    <row r="371" spans="1:26" s="761" customFormat="1" hidden="1" outlineLevel="2" collapsed="1" x14ac:dyDescent="0.2">
      <c r="A371" s="762" t="e">
        <f ca="1">IF($H371="UNIDADE CONSTRUTIVA",OFFSET(A371,-1,0)+1,LARGE(A$3:A370,1))</f>
        <v>#NUM!</v>
      </c>
      <c r="B371" s="762">
        <f t="shared" ca="1" si="35"/>
        <v>3</v>
      </c>
      <c r="C371" s="762">
        <f t="shared" ca="1" si="36"/>
        <v>6</v>
      </c>
      <c r="D371" s="763">
        <f t="shared" ca="1" si="37"/>
        <v>4</v>
      </c>
      <c r="E371" s="763">
        <f t="shared" ca="1" si="38"/>
        <v>0</v>
      </c>
      <c r="G371" s="628"/>
      <c r="H371" s="766" t="s">
        <v>367</v>
      </c>
      <c r="I371" s="629" t="str">
        <f t="shared" ca="1" si="39"/>
        <v>03.006.004</v>
      </c>
      <c r="J371" s="654" t="s">
        <v>1440</v>
      </c>
      <c r="K371" s="630"/>
      <c r="L371" s="631"/>
      <c r="M371" s="631"/>
      <c r="N371" s="646">
        <f>SUM(N372)</f>
        <v>13041</v>
      </c>
      <c r="O371" s="767"/>
      <c r="P371" s="632"/>
      <c r="R371" s="742"/>
      <c r="S371" s="742"/>
    </row>
    <row r="372" spans="1:26" s="761" customFormat="1" ht="22.5" hidden="1" outlineLevel="3" x14ac:dyDescent="0.2">
      <c r="A372" s="762" t="e">
        <f ca="1">IF($H372="UNIDADE CONSTRUTIVA",OFFSET(A372,-1,0)+1,LARGE(A$3:A371,1))</f>
        <v>#NUM!</v>
      </c>
      <c r="B372" s="762">
        <f t="shared" ca="1" si="35"/>
        <v>3</v>
      </c>
      <c r="C372" s="762">
        <f t="shared" ca="1" si="36"/>
        <v>6</v>
      </c>
      <c r="D372" s="763">
        <f t="shared" ca="1" si="37"/>
        <v>4</v>
      </c>
      <c r="E372" s="763">
        <f t="shared" ca="1" si="38"/>
        <v>1</v>
      </c>
      <c r="G372" s="628"/>
      <c r="H372" s="766" t="s">
        <v>368</v>
      </c>
      <c r="I372" s="629" t="str">
        <f t="shared" ca="1" si="39"/>
        <v>03.006.004.001</v>
      </c>
      <c r="J372" s="654" t="s">
        <v>1058</v>
      </c>
      <c r="K372" s="630" t="s">
        <v>1223</v>
      </c>
      <c r="L372" s="631">
        <v>1</v>
      </c>
      <c r="M372" s="631">
        <f>VLOOKUP(J372,Preços!$C$7:$F$498,4,FALSE)</f>
        <v>13041</v>
      </c>
      <c r="N372" s="646">
        <f>L372*M372</f>
        <v>13041</v>
      </c>
      <c r="O372" s="767"/>
      <c r="P372" s="632"/>
      <c r="R372" s="742"/>
      <c r="S372" s="742"/>
    </row>
    <row r="373" spans="1:26" s="761" customFormat="1" hidden="1" outlineLevel="2" x14ac:dyDescent="0.2">
      <c r="A373" s="762" t="e">
        <f ca="1">IF($H373="UNIDADE CONSTRUTIVA",OFFSET(A373,-1,0)+1,LARGE(A$3:A371,1))</f>
        <v>#NUM!</v>
      </c>
      <c r="B373" s="762">
        <f t="shared" ca="1" si="35"/>
        <v>3</v>
      </c>
      <c r="C373" s="762">
        <f t="shared" ca="1" si="36"/>
        <v>6</v>
      </c>
      <c r="D373" s="763">
        <f t="shared" ca="1" si="37"/>
        <v>5</v>
      </c>
      <c r="E373" s="763">
        <f t="shared" ca="1" si="38"/>
        <v>0</v>
      </c>
      <c r="G373" s="628"/>
      <c r="H373" s="766" t="s">
        <v>367</v>
      </c>
      <c r="I373" s="629" t="str">
        <f t="shared" ca="1" si="39"/>
        <v>03.006.005</v>
      </c>
      <c r="J373" s="654" t="s">
        <v>211</v>
      </c>
      <c r="K373" s="630"/>
      <c r="L373" s="631"/>
      <c r="M373" s="631"/>
      <c r="N373" s="646">
        <f>SUM(N374:N374)</f>
        <v>75513.2</v>
      </c>
      <c r="O373" s="767"/>
      <c r="P373" s="632"/>
      <c r="R373" s="742"/>
      <c r="S373" s="742"/>
    </row>
    <row r="374" spans="1:26" s="761" customFormat="1" ht="22.5" hidden="1" outlineLevel="3" x14ac:dyDescent="0.2">
      <c r="A374" s="762" t="e">
        <f ca="1">IF($H374="UNIDADE CONSTRUTIVA",OFFSET(A374,-1,0)+1,LARGE(A$3:A373,1))</f>
        <v>#NUM!</v>
      </c>
      <c r="B374" s="762">
        <f t="shared" ca="1" si="35"/>
        <v>3</v>
      </c>
      <c r="C374" s="762">
        <f t="shared" ca="1" si="36"/>
        <v>6</v>
      </c>
      <c r="D374" s="763">
        <f t="shared" ca="1" si="37"/>
        <v>5</v>
      </c>
      <c r="E374" s="763">
        <f t="shared" ca="1" si="38"/>
        <v>1</v>
      </c>
      <c r="G374" s="628"/>
      <c r="H374" s="766" t="s">
        <v>368</v>
      </c>
      <c r="I374" s="629" t="str">
        <f t="shared" ca="1" si="39"/>
        <v>03.006.005.001</v>
      </c>
      <c r="J374" s="654" t="s">
        <v>1133</v>
      </c>
      <c r="K374" s="630" t="s">
        <v>1</v>
      </c>
      <c r="L374" s="631">
        <f>'Projeção torre'!F51</f>
        <v>269.69</v>
      </c>
      <c r="M374" s="631">
        <f>VLOOKUP(J374,Preços!$C$7:$F$498,4,FALSE)</f>
        <v>280</v>
      </c>
      <c r="N374" s="646">
        <f>L374*M374</f>
        <v>75513.2</v>
      </c>
      <c r="O374" s="767"/>
      <c r="P374" s="632" t="s">
        <v>333</v>
      </c>
      <c r="R374" s="742"/>
      <c r="S374" s="742"/>
    </row>
    <row r="375" spans="1:26" s="761" customFormat="1" hidden="1" outlineLevel="1" collapsed="1" x14ac:dyDescent="0.2">
      <c r="A375" s="762" t="e">
        <f ca="1">IF($H375="UNIDADE CONSTRUTIVA",OFFSET(A375,-1,0)+1,LARGE(A$3:A275,1))</f>
        <v>#NUM!</v>
      </c>
      <c r="B375" s="762">
        <f t="shared" ca="1" si="21"/>
        <v>3</v>
      </c>
      <c r="C375" s="762">
        <f t="shared" ca="1" si="22"/>
        <v>7</v>
      </c>
      <c r="D375" s="763">
        <f t="shared" ca="1" si="23"/>
        <v>0</v>
      </c>
      <c r="E375" s="763">
        <f t="shared" ca="1" si="24"/>
        <v>1</v>
      </c>
      <c r="G375" s="628"/>
      <c r="H375" s="766" t="s">
        <v>366</v>
      </c>
      <c r="I375" s="629" t="str">
        <f t="shared" ref="I375:I380" ca="1" si="41">IF(H375="Unidade Construtiva",TEXT(A375,"00"),IF(H375="Célula Construtiva",TEXT(B375,"00"),IF(H375="Etapa",CONCATENATE(TEXT(B375,"00"),".",TEXT(C375,"000")),IF(H375="Subetapa",CONCATENATE(TEXT(B375,"00"),".",TEXT(C375,"000"),".",TEXT(D375,"000")),IF(H375="Serviço",CONCATENATE(TEXT(B375,"00"),".",TEXT(C375,"000"),".",TEXT(D375,"000"),".",TEXT(E375,"000")),"")))))</f>
        <v>03.007</v>
      </c>
      <c r="J375" s="654" t="s">
        <v>468</v>
      </c>
      <c r="K375" s="630"/>
      <c r="L375" s="631"/>
      <c r="M375" s="631"/>
      <c r="N375" s="646">
        <f>N376+N380+N386+N388</f>
        <v>140396.23992600001</v>
      </c>
      <c r="O375" s="767"/>
      <c r="P375" s="632"/>
      <c r="R375" s="742"/>
      <c r="S375" s="742"/>
    </row>
    <row r="376" spans="1:26" s="761" customFormat="1" hidden="1" outlineLevel="2" x14ac:dyDescent="0.2">
      <c r="A376" s="762" t="e">
        <f ca="1">IF($H376="UNIDADE CONSTRUTIVA",OFFSET(A376,-1,0)+1,LARGE(A$3:A375,1))</f>
        <v>#NUM!</v>
      </c>
      <c r="B376" s="762">
        <f t="shared" ca="1" si="21"/>
        <v>3</v>
      </c>
      <c r="C376" s="762">
        <f t="shared" ca="1" si="22"/>
        <v>7</v>
      </c>
      <c r="D376" s="763">
        <f t="shared" ca="1" si="23"/>
        <v>1</v>
      </c>
      <c r="E376" s="763">
        <f t="shared" ca="1" si="24"/>
        <v>0</v>
      </c>
      <c r="G376" s="628"/>
      <c r="H376" s="766" t="s">
        <v>367</v>
      </c>
      <c r="I376" s="629" t="str">
        <f t="shared" ca="1" si="41"/>
        <v>03.007.001</v>
      </c>
      <c r="J376" s="654" t="s">
        <v>187</v>
      </c>
      <c r="K376" s="630"/>
      <c r="L376" s="631"/>
      <c r="M376" s="631"/>
      <c r="N376" s="646">
        <f>SUM(N377:N379)</f>
        <v>58518.768965999996</v>
      </c>
      <c r="O376" s="767"/>
      <c r="P376" s="632"/>
      <c r="R376" s="742"/>
      <c r="S376" s="742"/>
    </row>
    <row r="377" spans="1:26" s="761" customFormat="1" ht="22.5" hidden="1" outlineLevel="3" x14ac:dyDescent="0.2">
      <c r="A377" s="762" t="e">
        <f ca="1">IF($H377="UNIDADE CONSTRUTIVA",OFFSET(A377,-1,0)+1,LARGE(A$3:A376,1))</f>
        <v>#NUM!</v>
      </c>
      <c r="B377" s="762">
        <f t="shared" ca="1" si="21"/>
        <v>3</v>
      </c>
      <c r="C377" s="762">
        <f t="shared" ca="1" si="22"/>
        <v>7</v>
      </c>
      <c r="D377" s="763">
        <f t="shared" ca="1" si="23"/>
        <v>1</v>
      </c>
      <c r="E377" s="763">
        <f t="shared" ca="1" si="24"/>
        <v>1</v>
      </c>
      <c r="G377" s="628"/>
      <c r="H377" s="766" t="s">
        <v>368</v>
      </c>
      <c r="I377" s="629" t="str">
        <f t="shared" ca="1" si="41"/>
        <v>03.007.001.001</v>
      </c>
      <c r="J377" s="654" t="s">
        <v>2112</v>
      </c>
      <c r="K377" s="630" t="s">
        <v>1</v>
      </c>
      <c r="L377" s="631">
        <f>Vigas!Q12</f>
        <v>111.53999999999999</v>
      </c>
      <c r="M377" s="631">
        <f>VLOOKUP(J377,Preços!$C$7:$F$498,4,FALSE)</f>
        <v>108.4393</v>
      </c>
      <c r="N377" s="646">
        <f>L377*M377</f>
        <v>12095.319522</v>
      </c>
      <c r="O377" s="1228" t="s">
        <v>2113</v>
      </c>
      <c r="P377" s="632" t="s">
        <v>333</v>
      </c>
      <c r="R377" s="742"/>
      <c r="S377" s="742"/>
    </row>
    <row r="378" spans="1:26" s="761" customFormat="1" ht="22.5" hidden="1" outlineLevel="3" x14ac:dyDescent="0.2">
      <c r="A378" s="762" t="e">
        <f ca="1">IF($H378="UNIDADE CONSTRUTIVA",OFFSET(A378,-1,0)+1,LARGE(A$3:A377,1))</f>
        <v>#NUM!</v>
      </c>
      <c r="B378" s="762">
        <f t="shared" ca="1" si="21"/>
        <v>3</v>
      </c>
      <c r="C378" s="762">
        <f t="shared" ca="1" si="22"/>
        <v>7</v>
      </c>
      <c r="D378" s="763">
        <f t="shared" ca="1" si="23"/>
        <v>1</v>
      </c>
      <c r="E378" s="763">
        <f t="shared" ca="1" si="24"/>
        <v>2</v>
      </c>
      <c r="G378" s="628"/>
      <c r="H378" s="766" t="s">
        <v>368</v>
      </c>
      <c r="I378" s="629" t="str">
        <f t="shared" ca="1" si="41"/>
        <v>03.007.001.002</v>
      </c>
      <c r="J378" s="654" t="s">
        <v>2110</v>
      </c>
      <c r="K378" s="630" t="s">
        <v>1</v>
      </c>
      <c r="L378" s="631">
        <f>Pilares!P13</f>
        <v>215.22000000000003</v>
      </c>
      <c r="M378" s="631">
        <f>VLOOKUP(J378,Preços!$C$7:$F$498,4,FALSE)</f>
        <v>180.05500000000001</v>
      </c>
      <c r="N378" s="646">
        <f>L378*M378</f>
        <v>38751.437100000003</v>
      </c>
      <c r="O378" s="1228" t="s">
        <v>2113</v>
      </c>
      <c r="P378" s="632" t="s">
        <v>333</v>
      </c>
      <c r="R378" s="742"/>
      <c r="S378" s="742"/>
    </row>
    <row r="379" spans="1:26" s="761" customFormat="1" ht="22.5" hidden="1" outlineLevel="3" x14ac:dyDescent="0.2">
      <c r="A379" s="762" t="e">
        <f ca="1">IF($H379="UNIDADE CONSTRUTIVA",OFFSET(A379,-1,0)+1,LARGE(A$3:A378,1))</f>
        <v>#NUM!</v>
      </c>
      <c r="B379" s="762">
        <f t="shared" ca="1" si="21"/>
        <v>3</v>
      </c>
      <c r="C379" s="762">
        <f t="shared" ca="1" si="22"/>
        <v>7</v>
      </c>
      <c r="D379" s="763">
        <f t="shared" ca="1" si="23"/>
        <v>1</v>
      </c>
      <c r="E379" s="763">
        <f t="shared" ca="1" si="24"/>
        <v>3</v>
      </c>
      <c r="G379" s="628"/>
      <c r="H379" s="766" t="s">
        <v>368</v>
      </c>
      <c r="I379" s="629" t="str">
        <f t="shared" ca="1" si="41"/>
        <v>03.007.001.003</v>
      </c>
      <c r="J379" s="654" t="s">
        <v>2111</v>
      </c>
      <c r="K379" s="630" t="s">
        <v>1</v>
      </c>
      <c r="L379" s="631">
        <f>Lajes!S13</f>
        <v>101.57999999999998</v>
      </c>
      <c r="M379" s="631">
        <f>VLOOKUP(J379,Preços!$C$7:$F$498,4,FALSE)</f>
        <v>75.526799999999994</v>
      </c>
      <c r="N379" s="646">
        <f>L379*M379</f>
        <v>7672.0123439999979</v>
      </c>
      <c r="O379" s="1228" t="s">
        <v>2113</v>
      </c>
      <c r="P379" s="632" t="s">
        <v>333</v>
      </c>
      <c r="S379" s="742"/>
    </row>
    <row r="380" spans="1:26" s="761" customFormat="1" hidden="1" outlineLevel="2" collapsed="1" x14ac:dyDescent="0.2">
      <c r="A380" s="762" t="e">
        <f ca="1">IF($H380="UNIDADE CONSTRUTIVA",OFFSET(A380,-1,0)+1,LARGE(A$3:A379,1))</f>
        <v>#NUM!</v>
      </c>
      <c r="B380" s="762">
        <f t="shared" ca="1" si="21"/>
        <v>3</v>
      </c>
      <c r="C380" s="762">
        <f t="shared" ca="1" si="22"/>
        <v>7</v>
      </c>
      <c r="D380" s="763">
        <f t="shared" ca="1" si="23"/>
        <v>2</v>
      </c>
      <c r="E380" s="763">
        <f t="shared" ca="1" si="24"/>
        <v>0</v>
      </c>
      <c r="G380" s="628"/>
      <c r="H380" s="766" t="s">
        <v>367</v>
      </c>
      <c r="I380" s="629" t="str">
        <f t="shared" ca="1" si="41"/>
        <v>03.007.002</v>
      </c>
      <c r="J380" s="654" t="s">
        <v>185</v>
      </c>
      <c r="K380" s="630"/>
      <c r="L380" s="631"/>
      <c r="M380" s="631"/>
      <c r="N380" s="646">
        <f>SUM(N381:N385)</f>
        <v>31932.854500000001</v>
      </c>
      <c r="O380" s="767"/>
      <c r="P380" s="632"/>
      <c r="R380" s="742"/>
      <c r="S380" s="742"/>
    </row>
    <row r="381" spans="1:26" s="761" customFormat="1" ht="22.5" hidden="1" outlineLevel="3" x14ac:dyDescent="0.2">
      <c r="A381" s="762" t="e">
        <f ca="1">IF($H381="UNIDADE CONSTRUTIVA",OFFSET(A381,-1,0)+1,LARGE(A$3:A380,1))</f>
        <v>#NUM!</v>
      </c>
      <c r="B381" s="762">
        <f t="shared" ca="1" si="21"/>
        <v>3</v>
      </c>
      <c r="C381" s="762">
        <f t="shared" ca="1" si="22"/>
        <v>7</v>
      </c>
      <c r="D381" s="763">
        <f t="shared" ca="1" si="23"/>
        <v>2</v>
      </c>
      <c r="E381" s="763">
        <f t="shared" ca="1" si="24"/>
        <v>1</v>
      </c>
      <c r="G381" s="628"/>
      <c r="H381" s="766" t="s">
        <v>368</v>
      </c>
      <c r="I381" s="629" t="str">
        <f t="shared" ref="I381:I389" ca="1" si="42">IF(H381="Unidade Construtiva",TEXT(A381,"00"),IF(H381="Célula Construtiva",TEXT(B381,"00"),IF(H381="Etapa",CONCATENATE(TEXT(B381,"00"),".",TEXT(C381,"000")),IF(H381="Subetapa",CONCATENATE(TEXT(B381,"00"),".",TEXT(C381,"000"),".",TEXT(D381,"000")),IF(H381="Serviço",CONCATENATE(TEXT(B381,"00"),".",TEXT(C381,"000"),".",TEXT(D381,"000"),".",TEXT(E381,"000")),"")))))</f>
        <v>03.007.002.001</v>
      </c>
      <c r="J381" s="654" t="s">
        <v>369</v>
      </c>
      <c r="K381" s="630" t="s">
        <v>5</v>
      </c>
      <c r="L381" s="631">
        <f>SUM(SUPRA!D48:D50)</f>
        <v>310</v>
      </c>
      <c r="M381" s="631">
        <f>VLOOKUP(J381,Preços!$C$7:$F$498,4,FALSE)</f>
        <v>7.5498000000000003</v>
      </c>
      <c r="N381" s="646">
        <f>L381*M381</f>
        <v>2340.4380000000001</v>
      </c>
      <c r="O381" s="767" t="s">
        <v>530</v>
      </c>
      <c r="P381" s="632" t="s">
        <v>333</v>
      </c>
      <c r="W381" s="741"/>
      <c r="X381" s="741"/>
      <c r="Y381" s="741"/>
      <c r="Z381" s="741"/>
    </row>
    <row r="382" spans="1:26" s="761" customFormat="1" ht="22.5" hidden="1" outlineLevel="3" x14ac:dyDescent="0.2">
      <c r="A382" s="762" t="e">
        <f ca="1">IF($H382="UNIDADE CONSTRUTIVA",OFFSET(A382,-1,0)+1,LARGE(A$3:A381,1))</f>
        <v>#NUM!</v>
      </c>
      <c r="B382" s="762">
        <f t="shared" ca="1" si="21"/>
        <v>3</v>
      </c>
      <c r="C382" s="762">
        <f t="shared" ca="1" si="22"/>
        <v>7</v>
      </c>
      <c r="D382" s="763">
        <f t="shared" ca="1" si="23"/>
        <v>2</v>
      </c>
      <c r="E382" s="763">
        <f t="shared" ca="1" si="24"/>
        <v>2</v>
      </c>
      <c r="G382" s="628"/>
      <c r="H382" s="766" t="s">
        <v>368</v>
      </c>
      <c r="I382" s="629" t="str">
        <f t="shared" ca="1" si="42"/>
        <v>03.007.002.002</v>
      </c>
      <c r="J382" s="654" t="s">
        <v>370</v>
      </c>
      <c r="K382" s="630" t="s">
        <v>5</v>
      </c>
      <c r="L382" s="631">
        <f>SUM(SUPRA!E48:E50)</f>
        <v>1160</v>
      </c>
      <c r="M382" s="631">
        <f>VLOOKUP(J382,Preços!$C$7:$F$498,4,FALSE)</f>
        <v>7.2104999999999997</v>
      </c>
      <c r="N382" s="646">
        <f>L382*M382</f>
        <v>8364.18</v>
      </c>
      <c r="O382" s="767" t="s">
        <v>530</v>
      </c>
      <c r="P382" s="632" t="s">
        <v>333</v>
      </c>
      <c r="R382" s="742"/>
      <c r="S382" s="742"/>
    </row>
    <row r="383" spans="1:26" s="761" customFormat="1" ht="22.5" hidden="1" outlineLevel="3" x14ac:dyDescent="0.2">
      <c r="A383" s="762" t="e">
        <f ca="1">IF($H383="UNIDADE CONSTRUTIVA",OFFSET(A383,-1,0)+1,LARGE(A$3:A382,1))</f>
        <v>#NUM!</v>
      </c>
      <c r="B383" s="762">
        <f t="shared" ca="1" si="21"/>
        <v>3</v>
      </c>
      <c r="C383" s="762">
        <f t="shared" ca="1" si="22"/>
        <v>7</v>
      </c>
      <c r="D383" s="763">
        <f t="shared" ca="1" si="23"/>
        <v>2</v>
      </c>
      <c r="E383" s="763">
        <f t="shared" ca="1" si="24"/>
        <v>3</v>
      </c>
      <c r="G383" s="628"/>
      <c r="H383" s="766" t="s">
        <v>368</v>
      </c>
      <c r="I383" s="629" t="str">
        <f t="shared" ca="1" si="42"/>
        <v>03.007.002.003</v>
      </c>
      <c r="J383" s="654" t="s">
        <v>371</v>
      </c>
      <c r="K383" s="630" t="s">
        <v>5</v>
      </c>
      <c r="L383" s="631">
        <f>SUM(SUPRA!F48:F50)</f>
        <v>910</v>
      </c>
      <c r="M383" s="631">
        <f>VLOOKUP(J383,Preços!$C$7:$F$498,4,FALSE)</f>
        <v>6.9927999999999999</v>
      </c>
      <c r="N383" s="646">
        <f>L383*M383</f>
        <v>6363.4480000000003</v>
      </c>
      <c r="O383" s="767" t="s">
        <v>530</v>
      </c>
      <c r="P383" s="632" t="s">
        <v>333</v>
      </c>
      <c r="R383" s="742"/>
      <c r="S383" s="742"/>
    </row>
    <row r="384" spans="1:26" s="761" customFormat="1" ht="22.5" hidden="1" outlineLevel="3" x14ac:dyDescent="0.2">
      <c r="A384" s="762" t="e">
        <f ca="1">IF($H384="UNIDADE CONSTRUTIVA",OFFSET(A384,-1,0)+1,LARGE(A$3:A383,1))</f>
        <v>#NUM!</v>
      </c>
      <c r="B384" s="762">
        <f t="shared" ca="1" si="21"/>
        <v>3</v>
      </c>
      <c r="C384" s="762">
        <f t="shared" ca="1" si="22"/>
        <v>7</v>
      </c>
      <c r="D384" s="763">
        <f t="shared" ca="1" si="23"/>
        <v>2</v>
      </c>
      <c r="E384" s="763">
        <f t="shared" ca="1" si="24"/>
        <v>4</v>
      </c>
      <c r="G384" s="628"/>
      <c r="H384" s="766" t="s">
        <v>368</v>
      </c>
      <c r="I384" s="629" t="str">
        <f t="shared" ca="1" si="42"/>
        <v>03.007.002.004</v>
      </c>
      <c r="J384" s="654" t="s">
        <v>372</v>
      </c>
      <c r="K384" s="630" t="s">
        <v>5</v>
      </c>
      <c r="L384" s="631">
        <f>SUM(SUPRA!G48:G50)</f>
        <v>120</v>
      </c>
      <c r="M384" s="631">
        <f>VLOOKUP(J384,Preços!$C$7:$F$498,4,FALSE)</f>
        <v>6.8563999999999998</v>
      </c>
      <c r="N384" s="646">
        <f>L384*M384</f>
        <v>822.76800000000003</v>
      </c>
      <c r="O384" s="767" t="s">
        <v>530</v>
      </c>
      <c r="P384" s="632" t="s">
        <v>333</v>
      </c>
      <c r="R384" s="742"/>
      <c r="S384" s="742"/>
    </row>
    <row r="385" spans="1:19" s="761" customFormat="1" ht="22.5" hidden="1" outlineLevel="3" x14ac:dyDescent="0.2">
      <c r="A385" s="762" t="e">
        <f ca="1">IF($H385="UNIDADE CONSTRUTIVA",OFFSET(A385,-1,0)+1,LARGE(A$3:A384,1))</f>
        <v>#NUM!</v>
      </c>
      <c r="B385" s="762">
        <f t="shared" ca="1" si="21"/>
        <v>3</v>
      </c>
      <c r="C385" s="762">
        <f t="shared" ca="1" si="22"/>
        <v>7</v>
      </c>
      <c r="D385" s="763">
        <f t="shared" ca="1" si="23"/>
        <v>2</v>
      </c>
      <c r="E385" s="763">
        <f t="shared" ca="1" si="24"/>
        <v>5</v>
      </c>
      <c r="G385" s="628"/>
      <c r="H385" s="766" t="s">
        <v>368</v>
      </c>
      <c r="I385" s="629" t="str">
        <f t="shared" ca="1" si="42"/>
        <v>03.007.002.005</v>
      </c>
      <c r="J385" s="654" t="s">
        <v>373</v>
      </c>
      <c r="K385" s="630" t="s">
        <v>5</v>
      </c>
      <c r="L385" s="631">
        <f>SUM(SUPRA!H48:H50)</f>
        <v>2055</v>
      </c>
      <c r="M385" s="631">
        <f>VLOOKUP(J385,Preços!$C$7:$F$498,4,FALSE)</f>
        <v>6.8331</v>
      </c>
      <c r="N385" s="646">
        <f>L385*M385</f>
        <v>14042.020500000001</v>
      </c>
      <c r="O385" s="767" t="s">
        <v>530</v>
      </c>
      <c r="P385" s="632" t="s">
        <v>333</v>
      </c>
      <c r="R385" s="742"/>
      <c r="S385" s="742"/>
    </row>
    <row r="386" spans="1:19" s="761" customFormat="1" hidden="1" outlineLevel="2" collapsed="1" x14ac:dyDescent="0.2">
      <c r="A386" s="762" t="e">
        <f ca="1">IF($H386="UNIDADE CONSTRUTIVA",OFFSET(A386,-1,0)+1,LARGE(A$3:A385,1))</f>
        <v>#NUM!</v>
      </c>
      <c r="B386" s="762">
        <f t="shared" ca="1" si="21"/>
        <v>3</v>
      </c>
      <c r="C386" s="762">
        <f t="shared" ca="1" si="22"/>
        <v>7</v>
      </c>
      <c r="D386" s="763">
        <f t="shared" ca="1" si="23"/>
        <v>3</v>
      </c>
      <c r="E386" s="763">
        <f t="shared" ca="1" si="24"/>
        <v>0</v>
      </c>
      <c r="G386" s="628"/>
      <c r="H386" s="766" t="s">
        <v>367</v>
      </c>
      <c r="I386" s="629" t="str">
        <f t="shared" ca="1" si="42"/>
        <v>03.007.003</v>
      </c>
      <c r="J386" s="654" t="s">
        <v>375</v>
      </c>
      <c r="K386" s="630"/>
      <c r="L386" s="631"/>
      <c r="M386" s="631"/>
      <c r="N386" s="646">
        <f>SUM(N387)</f>
        <v>30971.816460000005</v>
      </c>
      <c r="O386" s="767"/>
      <c r="P386" s="632"/>
      <c r="R386" s="742"/>
      <c r="S386" s="742"/>
    </row>
    <row r="387" spans="1:19" s="761" customFormat="1" ht="33.75" hidden="1" outlineLevel="3" x14ac:dyDescent="0.2">
      <c r="A387" s="762" t="e">
        <f ca="1">IF($H387="UNIDADE CONSTRUTIVA",OFFSET(A387,-1,0)+1,LARGE(A$3:A386,1))</f>
        <v>#NUM!</v>
      </c>
      <c r="B387" s="762">
        <f t="shared" ca="1" si="21"/>
        <v>3</v>
      </c>
      <c r="C387" s="762">
        <f t="shared" ca="1" si="22"/>
        <v>7</v>
      </c>
      <c r="D387" s="763">
        <f t="shared" ca="1" si="23"/>
        <v>3</v>
      </c>
      <c r="E387" s="763">
        <f t="shared" ca="1" si="24"/>
        <v>1</v>
      </c>
      <c r="G387" s="628"/>
      <c r="H387" s="766" t="s">
        <v>368</v>
      </c>
      <c r="I387" s="629" t="str">
        <f t="shared" ca="1" si="42"/>
        <v>03.007.003.001</v>
      </c>
      <c r="J387" s="654" t="s">
        <v>1443</v>
      </c>
      <c r="K387" s="630" t="s">
        <v>4</v>
      </c>
      <c r="L387" s="631">
        <f>SUPRA!K51</f>
        <v>54.730000000000004</v>
      </c>
      <c r="M387" s="631">
        <f>VLOOKUP(J387,Preços!$C$7:$F$498,4,FALSE)</f>
        <v>565.90200000000004</v>
      </c>
      <c r="N387" s="646">
        <f>L387*M387</f>
        <v>30971.816460000005</v>
      </c>
      <c r="O387" s="767" t="s">
        <v>530</v>
      </c>
      <c r="P387" s="632" t="s">
        <v>333</v>
      </c>
      <c r="R387" s="742"/>
      <c r="S387" s="742"/>
    </row>
    <row r="388" spans="1:19" s="761" customFormat="1" hidden="1" outlineLevel="2" x14ac:dyDescent="0.2">
      <c r="A388" s="762" t="e">
        <f ca="1">IF($H388="UNIDADE CONSTRUTIVA",OFFSET(A388,-1,0)+1,LARGE(A$3:A387,1))</f>
        <v>#NUM!</v>
      </c>
      <c r="B388" s="762">
        <f t="shared" ca="1" si="21"/>
        <v>3</v>
      </c>
      <c r="C388" s="762">
        <f t="shared" ca="1" si="22"/>
        <v>7</v>
      </c>
      <c r="D388" s="763">
        <f t="shared" ca="1" si="23"/>
        <v>4</v>
      </c>
      <c r="E388" s="763">
        <f t="shared" ca="1" si="24"/>
        <v>0</v>
      </c>
      <c r="G388" s="628"/>
      <c r="H388" s="766" t="s">
        <v>367</v>
      </c>
      <c r="I388" s="629" t="str">
        <f t="shared" ca="1" si="42"/>
        <v>03.007.004</v>
      </c>
      <c r="J388" s="654" t="s">
        <v>211</v>
      </c>
      <c r="K388" s="630"/>
      <c r="L388" s="631"/>
      <c r="M388" s="631"/>
      <c r="N388" s="646">
        <f>SUM(N389:N389)</f>
        <v>18972.800000000003</v>
      </c>
      <c r="O388" s="767"/>
      <c r="P388" s="632"/>
      <c r="R388" s="742"/>
      <c r="S388" s="742"/>
    </row>
    <row r="389" spans="1:19" s="761" customFormat="1" ht="22.5" hidden="1" outlineLevel="3" x14ac:dyDescent="0.2">
      <c r="A389" s="762" t="e">
        <f ca="1">IF($H389="UNIDADE CONSTRUTIVA",OFFSET(A389,-1,0)+1,LARGE(A$3:A388,1))</f>
        <v>#NUM!</v>
      </c>
      <c r="B389" s="762">
        <f t="shared" ca="1" si="21"/>
        <v>3</v>
      </c>
      <c r="C389" s="762">
        <f t="shared" ca="1" si="22"/>
        <v>7</v>
      </c>
      <c r="D389" s="763">
        <f t="shared" ca="1" si="23"/>
        <v>4</v>
      </c>
      <c r="E389" s="763">
        <f t="shared" ca="1" si="24"/>
        <v>1</v>
      </c>
      <c r="G389" s="628"/>
      <c r="H389" s="766" t="s">
        <v>368</v>
      </c>
      <c r="I389" s="629" t="str">
        <f t="shared" ca="1" si="42"/>
        <v>03.007.004.001</v>
      </c>
      <c r="J389" s="654" t="s">
        <v>1133</v>
      </c>
      <c r="K389" s="630" t="s">
        <v>1</v>
      </c>
      <c r="L389" s="631">
        <f>'Projeção torre'!F52</f>
        <v>67.760000000000005</v>
      </c>
      <c r="M389" s="631">
        <f>VLOOKUP(J389,Preços!$C$7:$F$498,4,FALSE)</f>
        <v>280</v>
      </c>
      <c r="N389" s="646">
        <f>L389*M389</f>
        <v>18972.800000000003</v>
      </c>
      <c r="O389" s="767"/>
      <c r="P389" s="632" t="s">
        <v>333</v>
      </c>
      <c r="R389" s="742"/>
      <c r="S389" s="742"/>
    </row>
    <row r="390" spans="1:19" s="761" customFormat="1" collapsed="1" x14ac:dyDescent="0.2">
      <c r="A390" s="762" t="e">
        <f ca="1">IF($H390="UNIDADE CONSTRUTIVA",OFFSET(A390,-1,0)+1,LARGE(A$3:A254,1))</f>
        <v>#NUM!</v>
      </c>
      <c r="B390" s="762">
        <f t="shared" ref="B390:B417" ca="1" si="43">IF(H390="UNIDADE CONSTRUTIVA",0,IF(H390="CÉLULA CONSTRUTIVA",OFFSET(B390,-1,0)+1,OFFSET(B390,-1,0)))</f>
        <v>4</v>
      </c>
      <c r="C390" s="762">
        <f t="shared" ref="C390:C417" ca="1" si="44">IF(H390="CÉLULA CONSTRUTIVA",0,IF(H390="ETAPA",OFFSET(C390,-1,0)+1,OFFSET(C390,-1,0)))</f>
        <v>0</v>
      </c>
      <c r="D390" s="763">
        <f t="shared" ref="D390:D417" ca="1" si="45">IF(H390="ETAPA",0,IF(H390="SUBETAPA",OFFSET(D390,-1,0)+1,OFFSET(D390,-1,0)))</f>
        <v>4</v>
      </c>
      <c r="E390" s="763">
        <f t="shared" ref="E390:E417" ca="1" si="46">IF(H390="Subetapa",0,IF(H390="serviço",OFFSET(E390,-1,0)+1,OFFSET(E390,-1,0)))</f>
        <v>1</v>
      </c>
      <c r="G390" s="628"/>
      <c r="H390" s="766" t="s">
        <v>365</v>
      </c>
      <c r="I390" s="629" t="str">
        <f t="shared" ref="I390:I417" ca="1" si="47">IF(H390="Unidade Construtiva",TEXT(A390,"00"),IF(H390="Célula Construtiva",TEXT(B390,"00"),IF(H390="Etapa",CONCATENATE(TEXT(B390,"00"),".",TEXT(C390,"000")),IF(H390="Subetapa",CONCATENATE(TEXT(B390,"00"),".",TEXT(C390,"000"),".",TEXT(D390,"000")),IF(H390="Serviço",CONCATENATE(TEXT(B390,"00"),".",TEXT(C390,"000"),".",TEXT(D390,"000"),".",TEXT(E390,"000")),"")))))</f>
        <v>04</v>
      </c>
      <c r="J390" s="654" t="s">
        <v>769</v>
      </c>
      <c r="K390" s="630"/>
      <c r="L390" s="631"/>
      <c r="M390" s="631"/>
      <c r="N390" s="646">
        <f ca="1">SUM(N391,N404,N418,N432,N446,N459,N474,N487)</f>
        <v>1061156.693458</v>
      </c>
      <c r="O390" s="767"/>
      <c r="P390" s="632"/>
      <c r="R390" s="742"/>
      <c r="S390" s="742"/>
    </row>
    <row r="391" spans="1:19" s="761" customFormat="1" hidden="1" outlineLevel="1" collapsed="1" x14ac:dyDescent="0.2">
      <c r="A391" s="762" t="e">
        <f ca="1">IF($H391="UNIDADE CONSTRUTIVA",OFFSET(A391,-1,0)+1,LARGE(A$3:A390,1))</f>
        <v>#NUM!</v>
      </c>
      <c r="B391" s="762">
        <f t="shared" ca="1" si="43"/>
        <v>4</v>
      </c>
      <c r="C391" s="762">
        <f t="shared" ca="1" si="44"/>
        <v>1</v>
      </c>
      <c r="D391" s="763">
        <f t="shared" ca="1" si="45"/>
        <v>0</v>
      </c>
      <c r="E391" s="763">
        <f t="shared" ca="1" si="46"/>
        <v>1</v>
      </c>
      <c r="G391" s="628"/>
      <c r="H391" s="766" t="s">
        <v>366</v>
      </c>
      <c r="I391" s="629" t="str">
        <f t="shared" ca="1" si="47"/>
        <v>04.001</v>
      </c>
      <c r="J391" s="654" t="s">
        <v>770</v>
      </c>
      <c r="K391" s="630"/>
      <c r="L391" s="631"/>
      <c r="M391" s="631"/>
      <c r="N391" s="646">
        <f>SUM(N395,N397,N401,N392)</f>
        <v>67895.806031999993</v>
      </c>
      <c r="O391" s="767"/>
      <c r="P391" s="632"/>
      <c r="R391" s="742"/>
      <c r="S391" s="742"/>
    </row>
    <row r="392" spans="1:19" s="761" customFormat="1" hidden="1" outlineLevel="2" collapsed="1" x14ac:dyDescent="0.2">
      <c r="A392" s="762" t="e">
        <f ca="1">IF($H392="UNIDADE CONSTRUTIVA",OFFSET(A392,-1,0)+1,LARGE(A$3:A391,1))</f>
        <v>#NUM!</v>
      </c>
      <c r="B392" s="762">
        <f t="shared" ca="1" si="43"/>
        <v>4</v>
      </c>
      <c r="C392" s="762">
        <f t="shared" ca="1" si="44"/>
        <v>1</v>
      </c>
      <c r="D392" s="763">
        <f t="shared" ca="1" si="45"/>
        <v>1</v>
      </c>
      <c r="E392" s="763">
        <f t="shared" ca="1" si="46"/>
        <v>0</v>
      </c>
      <c r="G392" s="628"/>
      <c r="H392" s="766" t="s">
        <v>367</v>
      </c>
      <c r="I392" s="629" t="str">
        <f t="shared" ca="1" si="47"/>
        <v>04.001.001</v>
      </c>
      <c r="J392" s="654" t="s">
        <v>208</v>
      </c>
      <c r="K392" s="630"/>
      <c r="L392" s="631"/>
      <c r="M392" s="631"/>
      <c r="N392" s="646">
        <f>SUM(N393:N394)</f>
        <v>21947.4712</v>
      </c>
      <c r="O392" s="767"/>
      <c r="P392" s="632"/>
      <c r="R392" s="742"/>
      <c r="S392" s="742"/>
    </row>
    <row r="393" spans="1:19" s="761" customFormat="1" ht="33.75" hidden="1" outlineLevel="3" x14ac:dyDescent="0.2">
      <c r="A393" s="762" t="e">
        <f ca="1">IF($H393="UNIDADE CONSTRUTIVA",OFFSET(A393,-1,0)+1,LARGE(A$3:A392,1))</f>
        <v>#NUM!</v>
      </c>
      <c r="B393" s="762">
        <f t="shared" ca="1" si="43"/>
        <v>4</v>
      </c>
      <c r="C393" s="762">
        <f t="shared" ca="1" si="44"/>
        <v>1</v>
      </c>
      <c r="D393" s="763">
        <f t="shared" ca="1" si="45"/>
        <v>1</v>
      </c>
      <c r="E393" s="763">
        <f t="shared" ca="1" si="46"/>
        <v>1</v>
      </c>
      <c r="G393" s="628"/>
      <c r="H393" s="766" t="s">
        <v>368</v>
      </c>
      <c r="I393" s="629" t="str">
        <f t="shared" ca="1" si="47"/>
        <v>04.001.001.001</v>
      </c>
      <c r="J393" s="654" t="s">
        <v>1947</v>
      </c>
      <c r="K393" s="630" t="s">
        <v>1</v>
      </c>
      <c r="L393" s="631">
        <f>ARQ.!C6</f>
        <v>185.56</v>
      </c>
      <c r="M393" s="631">
        <f>VLOOKUP(J393,Preços!$C$7:$F$498,4,FALSE)</f>
        <v>32.662500000000001</v>
      </c>
      <c r="N393" s="646">
        <f>L393*M393</f>
        <v>6060.8535000000002</v>
      </c>
      <c r="O393" s="767"/>
      <c r="P393" s="632" t="s">
        <v>333</v>
      </c>
      <c r="R393" s="742"/>
      <c r="S393" s="742"/>
    </row>
    <row r="394" spans="1:19" s="761" customFormat="1" ht="33.75" hidden="1" outlineLevel="3" x14ac:dyDescent="0.2">
      <c r="A394" s="762" t="e">
        <f ca="1">IF($H394="UNIDADE CONSTRUTIVA",OFFSET(A394,-1,0)+1,LARGE(A$3:A393,1))</f>
        <v>#NUM!</v>
      </c>
      <c r="B394" s="762">
        <f t="shared" ca="1" si="43"/>
        <v>4</v>
      </c>
      <c r="C394" s="762">
        <f t="shared" ca="1" si="44"/>
        <v>1</v>
      </c>
      <c r="D394" s="763">
        <f t="shared" ca="1" si="45"/>
        <v>1</v>
      </c>
      <c r="E394" s="763">
        <f t="shared" ca="1" si="46"/>
        <v>2</v>
      </c>
      <c r="G394" s="628"/>
      <c r="H394" s="766" t="s">
        <v>368</v>
      </c>
      <c r="I394" s="629" t="str">
        <f t="shared" ca="1" si="47"/>
        <v>04.001.001.002</v>
      </c>
      <c r="J394" s="654" t="s">
        <v>1946</v>
      </c>
      <c r="K394" s="630" t="s">
        <v>1</v>
      </c>
      <c r="L394" s="631">
        <f>ARQ.!C7</f>
        <v>331.42</v>
      </c>
      <c r="M394" s="631">
        <f>VLOOKUP(J394,Preços!$C$7:$F$498,4,FALSE)</f>
        <v>47.935000000000002</v>
      </c>
      <c r="N394" s="646">
        <f>L394*M394</f>
        <v>15886.617700000001</v>
      </c>
      <c r="O394" s="767"/>
      <c r="P394" s="632" t="s">
        <v>333</v>
      </c>
      <c r="R394" s="742"/>
      <c r="S394" s="742"/>
    </row>
    <row r="395" spans="1:19" s="761" customFormat="1" hidden="1" outlineLevel="2" collapsed="1" x14ac:dyDescent="0.2">
      <c r="A395" s="762" t="e">
        <f ca="1">IF($H395="UNIDADE CONSTRUTIVA",OFFSET(A395,-1,0)+1,LARGE(A$3:A394,1))</f>
        <v>#NUM!</v>
      </c>
      <c r="B395" s="762">
        <f t="shared" ca="1" si="43"/>
        <v>4</v>
      </c>
      <c r="C395" s="762">
        <f t="shared" ca="1" si="44"/>
        <v>1</v>
      </c>
      <c r="D395" s="763">
        <f t="shared" ca="1" si="45"/>
        <v>2</v>
      </c>
      <c r="E395" s="763">
        <f t="shared" ca="1" si="46"/>
        <v>0</v>
      </c>
      <c r="G395" s="628"/>
      <c r="H395" s="766" t="s">
        <v>367</v>
      </c>
      <c r="I395" s="629" t="str">
        <f t="shared" ca="1" si="47"/>
        <v>04.001.002</v>
      </c>
      <c r="J395" s="654" t="s">
        <v>376</v>
      </c>
      <c r="K395" s="630"/>
      <c r="L395" s="631"/>
      <c r="M395" s="631"/>
      <c r="N395" s="646">
        <f>SUM(N396)</f>
        <v>15465.9138</v>
      </c>
      <c r="O395" s="767"/>
      <c r="P395" s="632"/>
      <c r="R395" s="742"/>
      <c r="S395" s="742"/>
    </row>
    <row r="396" spans="1:19" s="761" customFormat="1" ht="22.5" hidden="1" outlineLevel="3" x14ac:dyDescent="0.2">
      <c r="A396" s="762" t="e">
        <f ca="1">IF($H396="UNIDADE CONSTRUTIVA",OFFSET(A396,-1,0)+1,LARGE(A$3:A395,1))</f>
        <v>#NUM!</v>
      </c>
      <c r="B396" s="762">
        <f t="shared" ca="1" si="43"/>
        <v>4</v>
      </c>
      <c r="C396" s="762">
        <f t="shared" ca="1" si="44"/>
        <v>1</v>
      </c>
      <c r="D396" s="763">
        <f t="shared" ca="1" si="45"/>
        <v>2</v>
      </c>
      <c r="E396" s="763">
        <f t="shared" ca="1" si="46"/>
        <v>1</v>
      </c>
      <c r="G396" s="628"/>
      <c r="H396" s="766" t="s">
        <v>368</v>
      </c>
      <c r="I396" s="629" t="str">
        <f t="shared" ca="1" si="47"/>
        <v>04.001.002.001</v>
      </c>
      <c r="J396" s="654" t="s">
        <v>547</v>
      </c>
      <c r="K396" s="630" t="s">
        <v>1</v>
      </c>
      <c r="L396" s="631">
        <f>ARQ.!C9</f>
        <v>177.81</v>
      </c>
      <c r="M396" s="631">
        <f>VLOOKUP(J396,Preços!$C$7:$F$498,4,FALSE)</f>
        <v>86.98</v>
      </c>
      <c r="N396" s="646">
        <f>L396*M396</f>
        <v>15465.9138</v>
      </c>
      <c r="O396" s="767"/>
      <c r="P396" s="632" t="s">
        <v>333</v>
      </c>
      <c r="R396" s="742"/>
      <c r="S396" s="742"/>
    </row>
    <row r="397" spans="1:19" s="761" customFormat="1" hidden="1" outlineLevel="2" collapsed="1" x14ac:dyDescent="0.2">
      <c r="A397" s="762" t="e">
        <f ca="1">IF($H397="UNIDADE CONSTRUTIVA",OFFSET(A397,-1,0)+1,LARGE(A$3:A396,1))</f>
        <v>#NUM!</v>
      </c>
      <c r="B397" s="762">
        <f t="shared" ca="1" si="43"/>
        <v>4</v>
      </c>
      <c r="C397" s="762">
        <f t="shared" ca="1" si="44"/>
        <v>1</v>
      </c>
      <c r="D397" s="763">
        <f t="shared" ca="1" si="45"/>
        <v>3</v>
      </c>
      <c r="E397" s="763">
        <f t="shared" ca="1" si="46"/>
        <v>0</v>
      </c>
      <c r="G397" s="628"/>
      <c r="H397" s="766" t="s">
        <v>367</v>
      </c>
      <c r="I397" s="629" t="str">
        <f t="shared" ca="1" si="47"/>
        <v>04.001.003</v>
      </c>
      <c r="J397" s="654" t="s">
        <v>209</v>
      </c>
      <c r="K397" s="630"/>
      <c r="L397" s="631"/>
      <c r="M397" s="631"/>
      <c r="N397" s="646">
        <f>SUM(N398:N400)</f>
        <v>6503.9410319999988</v>
      </c>
      <c r="O397" s="767"/>
      <c r="P397" s="632"/>
      <c r="R397" s="742"/>
      <c r="S397" s="742"/>
    </row>
    <row r="398" spans="1:19" s="761" customFormat="1" ht="22.5" hidden="1" outlineLevel="3" x14ac:dyDescent="0.2">
      <c r="A398" s="762" t="e">
        <f ca="1">IF($H398="UNIDADE CONSTRUTIVA",OFFSET(A398,-1,0)+1,LARGE(A$3:A397,1))</f>
        <v>#NUM!</v>
      </c>
      <c r="B398" s="762">
        <f t="shared" ca="1" si="43"/>
        <v>4</v>
      </c>
      <c r="C398" s="762">
        <f t="shared" ca="1" si="44"/>
        <v>1</v>
      </c>
      <c r="D398" s="763">
        <f t="shared" ca="1" si="45"/>
        <v>3</v>
      </c>
      <c r="E398" s="763">
        <f t="shared" ca="1" si="46"/>
        <v>1</v>
      </c>
      <c r="G398" s="628"/>
      <c r="H398" s="766" t="s">
        <v>368</v>
      </c>
      <c r="I398" s="629" t="str">
        <f t="shared" ca="1" si="47"/>
        <v>04.001.003.001</v>
      </c>
      <c r="J398" s="654" t="s">
        <v>969</v>
      </c>
      <c r="K398" s="630" t="s">
        <v>3</v>
      </c>
      <c r="L398" s="631">
        <f>ARQ.!C11</f>
        <v>224.76</v>
      </c>
      <c r="M398" s="631">
        <f>VLOOKUP(J398,Preços!$C$7:$F$498,4,FALSE)</f>
        <v>15.04</v>
      </c>
      <c r="N398" s="646">
        <f>L398*M398</f>
        <v>3380.3903999999998</v>
      </c>
      <c r="O398" s="767"/>
      <c r="P398" s="632" t="s">
        <v>333</v>
      </c>
      <c r="R398" s="742"/>
      <c r="S398" s="742"/>
    </row>
    <row r="399" spans="1:19" s="761" customFormat="1" ht="22.5" hidden="1" outlineLevel="3" x14ac:dyDescent="0.2">
      <c r="A399" s="762" t="e">
        <f ca="1">IF($H399="UNIDADE CONSTRUTIVA",OFFSET(A399,-1,0)+1,LARGE(A$3:A399,1))</f>
        <v>#NUM!</v>
      </c>
      <c r="B399" s="762">
        <f t="shared" ca="1" si="43"/>
        <v>4</v>
      </c>
      <c r="C399" s="762">
        <f t="shared" ca="1" si="44"/>
        <v>1</v>
      </c>
      <c r="D399" s="763">
        <f t="shared" ca="1" si="45"/>
        <v>3</v>
      </c>
      <c r="E399" s="763">
        <f t="shared" ca="1" si="46"/>
        <v>2</v>
      </c>
      <c r="G399" s="628"/>
      <c r="H399" s="766" t="s">
        <v>368</v>
      </c>
      <c r="I399" s="629" t="str">
        <f t="shared" ca="1" si="47"/>
        <v>04.001.003.002</v>
      </c>
      <c r="J399" s="654" t="s">
        <v>210</v>
      </c>
      <c r="K399" s="630" t="s">
        <v>2</v>
      </c>
      <c r="L399" s="631">
        <f>ARQ.!C12</f>
        <v>348</v>
      </c>
      <c r="M399" s="631">
        <f>VLOOKUP(J399,Preços!$C$7:$F$498,4,FALSE)</f>
        <v>3.3159999999999998</v>
      </c>
      <c r="N399" s="646">
        <f>L399*M399</f>
        <v>1153.9679999999998</v>
      </c>
      <c r="O399" s="854"/>
      <c r="P399" s="632" t="s">
        <v>333</v>
      </c>
      <c r="R399" s="742"/>
      <c r="S399" s="742"/>
    </row>
    <row r="400" spans="1:19" s="761" customFormat="1" ht="22.5" hidden="1" outlineLevel="3" x14ac:dyDescent="0.2">
      <c r="A400" s="762" t="e">
        <f ca="1">IF($H400="UNIDADE CONSTRUTIVA",OFFSET(A400,-1,0)+1,LARGE(A$3:A399,1))</f>
        <v>#NUM!</v>
      </c>
      <c r="B400" s="762">
        <f t="shared" ca="1" si="43"/>
        <v>4</v>
      </c>
      <c r="C400" s="762">
        <f t="shared" ca="1" si="44"/>
        <v>1</v>
      </c>
      <c r="D400" s="763">
        <f t="shared" ca="1" si="45"/>
        <v>3</v>
      </c>
      <c r="E400" s="763">
        <f t="shared" ca="1" si="46"/>
        <v>3</v>
      </c>
      <c r="G400" s="628"/>
      <c r="H400" s="766" t="s">
        <v>368</v>
      </c>
      <c r="I400" s="629" t="str">
        <f t="shared" ca="1" si="47"/>
        <v>04.001.003.003</v>
      </c>
      <c r="J400" s="654" t="s">
        <v>1023</v>
      </c>
      <c r="K400" s="630" t="s">
        <v>3</v>
      </c>
      <c r="L400" s="631">
        <f>ARQ.!C13</f>
        <v>43.44</v>
      </c>
      <c r="M400" s="631">
        <f>VLOOKUP(J400,Preços!$C$7:$F$498,4,FALSE)</f>
        <v>45.340299999999999</v>
      </c>
      <c r="N400" s="646">
        <f>L400*M400</f>
        <v>1969.5826319999999</v>
      </c>
      <c r="O400" s="767"/>
      <c r="P400" s="632" t="s">
        <v>333</v>
      </c>
      <c r="R400" s="742"/>
      <c r="S400" s="742"/>
    </row>
    <row r="401" spans="1:19" s="761" customFormat="1" hidden="1" outlineLevel="2" collapsed="1" x14ac:dyDescent="0.2">
      <c r="A401" s="762" t="e">
        <f ca="1">IF($H401="UNIDADE CONSTRUTIVA",OFFSET(A401,-1,0)+1,LARGE(A$3:A400,1))</f>
        <v>#NUM!</v>
      </c>
      <c r="B401" s="762">
        <f t="shared" ca="1" si="43"/>
        <v>4</v>
      </c>
      <c r="C401" s="762">
        <f t="shared" ca="1" si="44"/>
        <v>1</v>
      </c>
      <c r="D401" s="763">
        <f t="shared" ca="1" si="45"/>
        <v>4</v>
      </c>
      <c r="E401" s="763">
        <f t="shared" ca="1" si="46"/>
        <v>0</v>
      </c>
      <c r="G401" s="628"/>
      <c r="H401" s="766" t="s">
        <v>367</v>
      </c>
      <c r="I401" s="629" t="str">
        <f t="shared" ca="1" si="47"/>
        <v>04.001.004</v>
      </c>
      <c r="J401" s="654" t="s">
        <v>1633</v>
      </c>
      <c r="K401" s="630"/>
      <c r="L401" s="631"/>
      <c r="M401" s="631"/>
      <c r="N401" s="646">
        <f>SUM(N402:N403)</f>
        <v>23978.48</v>
      </c>
      <c r="O401" s="767"/>
      <c r="P401" s="632"/>
      <c r="R401" s="742"/>
      <c r="S401" s="742"/>
    </row>
    <row r="402" spans="1:19" s="761" customFormat="1" ht="22.5" hidden="1" outlineLevel="2" x14ac:dyDescent="0.2">
      <c r="A402" s="762" t="e">
        <f ca="1">IF($H402="UNIDADE CONSTRUTIVA",OFFSET(A402,-1,0)+1,LARGE(A$3:A401,1))</f>
        <v>#NUM!</v>
      </c>
      <c r="B402" s="762">
        <f t="shared" ca="1" si="43"/>
        <v>4</v>
      </c>
      <c r="C402" s="762">
        <f t="shared" ca="1" si="44"/>
        <v>1</v>
      </c>
      <c r="D402" s="763">
        <f t="shared" ca="1" si="45"/>
        <v>4</v>
      </c>
      <c r="E402" s="763">
        <f t="shared" ca="1" si="46"/>
        <v>1</v>
      </c>
      <c r="G402" s="628"/>
      <c r="H402" s="766" t="s">
        <v>368</v>
      </c>
      <c r="I402" s="629" t="str">
        <f t="shared" ca="1" si="47"/>
        <v>04.001.004.001</v>
      </c>
      <c r="J402" s="654" t="s">
        <v>971</v>
      </c>
      <c r="K402" s="630" t="s">
        <v>1</v>
      </c>
      <c r="L402" s="631">
        <f>SUM(L392:L394)</f>
        <v>516.98</v>
      </c>
      <c r="M402" s="631">
        <f>VLOOKUP(J402,Preços!$C$7:$F$498,4,FALSE)</f>
        <v>34</v>
      </c>
      <c r="N402" s="646">
        <f>L402*M402</f>
        <v>17577.32</v>
      </c>
      <c r="O402" s="854"/>
      <c r="P402" s="632" t="s">
        <v>333</v>
      </c>
      <c r="R402" s="742"/>
      <c r="S402" s="742"/>
    </row>
    <row r="403" spans="1:19" s="761" customFormat="1" ht="22.5" hidden="1" outlineLevel="2" x14ac:dyDescent="0.2">
      <c r="A403" s="762" t="e">
        <f ca="1">IF($H403="UNIDADE CONSTRUTIVA",OFFSET(A403,-1,0)+1,LARGE(A$3:A402,1))</f>
        <v>#NUM!</v>
      </c>
      <c r="B403" s="762">
        <f t="shared" ca="1" si="43"/>
        <v>4</v>
      </c>
      <c r="C403" s="762">
        <f t="shared" ca="1" si="44"/>
        <v>1</v>
      </c>
      <c r="D403" s="763">
        <f t="shared" ca="1" si="45"/>
        <v>4</v>
      </c>
      <c r="E403" s="763">
        <f t="shared" ca="1" si="46"/>
        <v>2</v>
      </c>
      <c r="G403" s="628"/>
      <c r="H403" s="766" t="s">
        <v>368</v>
      </c>
      <c r="I403" s="629" t="str">
        <f t="shared" ca="1" si="47"/>
        <v>04.001.004.002</v>
      </c>
      <c r="J403" s="654" t="s">
        <v>970</v>
      </c>
      <c r="K403" s="630" t="s">
        <v>1</v>
      </c>
      <c r="L403" s="631">
        <f>SUM(L395:L396)</f>
        <v>177.81</v>
      </c>
      <c r="M403" s="631">
        <f>VLOOKUP(J403,Preços!$C$7:$F$498,4,FALSE)</f>
        <v>36</v>
      </c>
      <c r="N403" s="646">
        <f>L403*M403</f>
        <v>6401.16</v>
      </c>
      <c r="O403" s="854"/>
      <c r="P403" s="632" t="s">
        <v>333</v>
      </c>
      <c r="R403" s="742"/>
      <c r="S403" s="742"/>
    </row>
    <row r="404" spans="1:19" s="761" customFormat="1" ht="22.5" hidden="1" outlineLevel="1" collapsed="1" x14ac:dyDescent="0.2">
      <c r="A404" s="762" t="e">
        <f ca="1">IF($H404="UNIDADE CONSTRUTIVA",OFFSET(A404,-1,0)+1,LARGE(A$3:A328,1))</f>
        <v>#NUM!</v>
      </c>
      <c r="B404" s="762">
        <f t="shared" ca="1" si="43"/>
        <v>4</v>
      </c>
      <c r="C404" s="762">
        <f t="shared" ca="1" si="44"/>
        <v>2</v>
      </c>
      <c r="D404" s="763">
        <f t="shared" ca="1" si="45"/>
        <v>0</v>
      </c>
      <c r="E404" s="763">
        <f t="shared" ca="1" si="46"/>
        <v>2</v>
      </c>
      <c r="G404" s="628"/>
      <c r="H404" s="766" t="s">
        <v>366</v>
      </c>
      <c r="I404" s="629" t="str">
        <f t="shared" ca="1" si="47"/>
        <v>04.002</v>
      </c>
      <c r="J404" s="654" t="s">
        <v>771</v>
      </c>
      <c r="K404" s="630"/>
      <c r="L404" s="631"/>
      <c r="M404" s="631"/>
      <c r="N404" s="646">
        <f>SUM(N405,N409,N411,N415)</f>
        <v>36393.153918000004</v>
      </c>
      <c r="O404" s="767"/>
      <c r="P404" s="632"/>
      <c r="R404" s="742"/>
      <c r="S404" s="742"/>
    </row>
    <row r="405" spans="1:19" s="761" customFormat="1" hidden="1" outlineLevel="2" collapsed="1" x14ac:dyDescent="0.2">
      <c r="A405" s="762" t="e">
        <f ca="1">IF($H405="UNIDADE CONSTRUTIVA",OFFSET(A405,-1,0)+1,LARGE(A$3:A404,1))</f>
        <v>#NUM!</v>
      </c>
      <c r="B405" s="762">
        <f t="shared" ca="1" si="43"/>
        <v>4</v>
      </c>
      <c r="C405" s="762">
        <f t="shared" ca="1" si="44"/>
        <v>2</v>
      </c>
      <c r="D405" s="763">
        <f t="shared" ca="1" si="45"/>
        <v>1</v>
      </c>
      <c r="E405" s="763">
        <f t="shared" ca="1" si="46"/>
        <v>0</v>
      </c>
      <c r="G405" s="628"/>
      <c r="H405" s="766" t="s">
        <v>367</v>
      </c>
      <c r="I405" s="629" t="str">
        <f t="shared" ca="1" si="47"/>
        <v>04.002.001</v>
      </c>
      <c r="J405" s="654" t="s">
        <v>208</v>
      </c>
      <c r="K405" s="630"/>
      <c r="L405" s="631"/>
      <c r="M405" s="631"/>
      <c r="N405" s="646">
        <f>SUM(N406:N408)</f>
        <v>12856.104940000001</v>
      </c>
      <c r="O405" s="767"/>
      <c r="P405" s="632"/>
      <c r="R405" s="742"/>
      <c r="S405" s="742"/>
    </row>
    <row r="406" spans="1:19" s="761" customFormat="1" ht="33.75" hidden="1" outlineLevel="3" x14ac:dyDescent="0.2">
      <c r="A406" s="762" t="e">
        <f ca="1">IF($H406="UNIDADE CONSTRUTIVA",OFFSET(A406,-1,0)+1,LARGE(A$3:A405,1))</f>
        <v>#NUM!</v>
      </c>
      <c r="B406" s="762">
        <f t="shared" ca="1" si="43"/>
        <v>4</v>
      </c>
      <c r="C406" s="762">
        <f t="shared" ca="1" si="44"/>
        <v>2</v>
      </c>
      <c r="D406" s="763">
        <f t="shared" ca="1" si="45"/>
        <v>1</v>
      </c>
      <c r="E406" s="763">
        <f t="shared" ca="1" si="46"/>
        <v>1</v>
      </c>
      <c r="G406" s="628"/>
      <c r="H406" s="766" t="s">
        <v>368</v>
      </c>
      <c r="I406" s="629" t="str">
        <f t="shared" ca="1" si="47"/>
        <v>04.002.001.001</v>
      </c>
      <c r="J406" s="654" t="s">
        <v>1949</v>
      </c>
      <c r="K406" s="630" t="s">
        <v>1</v>
      </c>
      <c r="L406" s="631">
        <f>ARQ.!C124</f>
        <v>14.81</v>
      </c>
      <c r="M406" s="631">
        <f>VLOOKUP(J406,Preços!$C$7:$F$498,4,FALSE)</f>
        <v>49.014000000000003</v>
      </c>
      <c r="N406" s="646">
        <f>L406*M406</f>
        <v>725.8973400000001</v>
      </c>
      <c r="O406" s="767"/>
      <c r="P406" s="632" t="s">
        <v>333</v>
      </c>
      <c r="R406" s="742"/>
      <c r="S406" s="742"/>
    </row>
    <row r="407" spans="1:19" s="761" customFormat="1" ht="33.75" hidden="1" outlineLevel="3" x14ac:dyDescent="0.2">
      <c r="A407" s="762" t="e">
        <f ca="1">IF($H407="UNIDADE CONSTRUTIVA",OFFSET(A407,-1,0)+1,LARGE(A$3:A406,1))</f>
        <v>#NUM!</v>
      </c>
      <c r="B407" s="762">
        <f t="shared" ca="1" si="43"/>
        <v>4</v>
      </c>
      <c r="C407" s="762">
        <f t="shared" ca="1" si="44"/>
        <v>2</v>
      </c>
      <c r="D407" s="763">
        <f t="shared" ca="1" si="45"/>
        <v>1</v>
      </c>
      <c r="E407" s="763">
        <f t="shared" ca="1" si="46"/>
        <v>2</v>
      </c>
      <c r="G407" s="628"/>
      <c r="H407" s="766" t="s">
        <v>368</v>
      </c>
      <c r="I407" s="629" t="str">
        <f t="shared" ca="1" si="47"/>
        <v>04.002.001.002</v>
      </c>
      <c r="J407" s="654" t="s">
        <v>1947</v>
      </c>
      <c r="K407" s="630" t="s">
        <v>1</v>
      </c>
      <c r="L407" s="631">
        <f>ARQ.!C125</f>
        <v>74.84</v>
      </c>
      <c r="M407" s="631">
        <f>VLOOKUP(J407,Preços!$C$7:$F$498,4,FALSE)</f>
        <v>32.662500000000001</v>
      </c>
      <c r="N407" s="646">
        <f>L407*M407</f>
        <v>2444.4615000000003</v>
      </c>
      <c r="O407" s="767"/>
      <c r="P407" s="632" t="s">
        <v>333</v>
      </c>
      <c r="R407" s="742"/>
      <c r="S407" s="742"/>
    </row>
    <row r="408" spans="1:19" s="761" customFormat="1" ht="33.75" hidden="1" outlineLevel="3" x14ac:dyDescent="0.2">
      <c r="A408" s="762" t="e">
        <f ca="1">IF($H408="UNIDADE CONSTRUTIVA",OFFSET(A408,-1,0)+1,LARGE(A$3:A407,1))</f>
        <v>#NUM!</v>
      </c>
      <c r="B408" s="762">
        <f t="shared" ca="1" si="43"/>
        <v>4</v>
      </c>
      <c r="C408" s="762">
        <f t="shared" ca="1" si="44"/>
        <v>2</v>
      </c>
      <c r="D408" s="763">
        <f t="shared" ca="1" si="45"/>
        <v>1</v>
      </c>
      <c r="E408" s="763">
        <f t="shared" ca="1" si="46"/>
        <v>3</v>
      </c>
      <c r="G408" s="628"/>
      <c r="H408" s="766" t="s">
        <v>368</v>
      </c>
      <c r="I408" s="629" t="str">
        <f t="shared" ca="1" si="47"/>
        <v>04.002.001.003</v>
      </c>
      <c r="J408" s="654" t="s">
        <v>1946</v>
      </c>
      <c r="K408" s="630" t="s">
        <v>1</v>
      </c>
      <c r="L408" s="631">
        <f>ARQ.!C126</f>
        <v>202.06</v>
      </c>
      <c r="M408" s="631">
        <f>VLOOKUP(J408,Preços!$C$7:$F$498,4,FALSE)</f>
        <v>47.935000000000002</v>
      </c>
      <c r="N408" s="646">
        <f>L408*M408</f>
        <v>9685.7461000000003</v>
      </c>
      <c r="O408" s="767"/>
      <c r="P408" s="632" t="s">
        <v>333</v>
      </c>
      <c r="R408" s="742"/>
      <c r="S408" s="742"/>
    </row>
    <row r="409" spans="1:19" s="761" customFormat="1" hidden="1" outlineLevel="2" collapsed="1" x14ac:dyDescent="0.2">
      <c r="A409" s="762" t="e">
        <f ca="1">IF($H409="UNIDADE CONSTRUTIVA",OFFSET(A409,-1,0)+1,LARGE(A$3:A408,1))</f>
        <v>#NUM!</v>
      </c>
      <c r="B409" s="762">
        <f t="shared" ca="1" si="43"/>
        <v>4</v>
      </c>
      <c r="C409" s="762">
        <f t="shared" ca="1" si="44"/>
        <v>2</v>
      </c>
      <c r="D409" s="763">
        <f t="shared" ca="1" si="45"/>
        <v>2</v>
      </c>
      <c r="E409" s="763">
        <f t="shared" ca="1" si="46"/>
        <v>0</v>
      </c>
      <c r="G409" s="628"/>
      <c r="H409" s="766" t="s">
        <v>367</v>
      </c>
      <c r="I409" s="629" t="str">
        <f t="shared" ca="1" si="47"/>
        <v>04.002.002</v>
      </c>
      <c r="J409" s="654" t="s">
        <v>376</v>
      </c>
      <c r="K409" s="630"/>
      <c r="L409" s="631"/>
      <c r="M409" s="631"/>
      <c r="N409" s="646">
        <f>SUM(N410)</f>
        <v>5503.2246000000005</v>
      </c>
      <c r="O409" s="767"/>
      <c r="P409" s="632"/>
      <c r="R409" s="742"/>
      <c r="S409" s="742"/>
    </row>
    <row r="410" spans="1:19" s="761" customFormat="1" ht="22.5" hidden="1" outlineLevel="3" x14ac:dyDescent="0.2">
      <c r="A410" s="762" t="e">
        <f ca="1">IF($H410="UNIDADE CONSTRUTIVA",OFFSET(A410,-1,0)+1,LARGE(A$3:A409,1))</f>
        <v>#NUM!</v>
      </c>
      <c r="B410" s="762">
        <f t="shared" ca="1" si="43"/>
        <v>4</v>
      </c>
      <c r="C410" s="762">
        <f t="shared" ca="1" si="44"/>
        <v>2</v>
      </c>
      <c r="D410" s="763">
        <f t="shared" ca="1" si="45"/>
        <v>2</v>
      </c>
      <c r="E410" s="763">
        <f t="shared" ca="1" si="46"/>
        <v>1</v>
      </c>
      <c r="G410" s="628"/>
      <c r="H410" s="766" t="s">
        <v>368</v>
      </c>
      <c r="I410" s="629" t="str">
        <f t="shared" ca="1" si="47"/>
        <v>04.002.002.001</v>
      </c>
      <c r="J410" s="654" t="s">
        <v>547</v>
      </c>
      <c r="K410" s="630" t="s">
        <v>1</v>
      </c>
      <c r="L410" s="631">
        <f>ARQ.!C128</f>
        <v>63.27</v>
      </c>
      <c r="M410" s="631">
        <f>VLOOKUP(J410,Preços!$C$7:$F$498,4,FALSE)</f>
        <v>86.98</v>
      </c>
      <c r="N410" s="646">
        <f>L410*M410</f>
        <v>5503.2246000000005</v>
      </c>
      <c r="O410" s="767"/>
      <c r="P410" s="632" t="s">
        <v>333</v>
      </c>
      <c r="R410" s="742"/>
      <c r="S410" s="742"/>
    </row>
    <row r="411" spans="1:19" s="761" customFormat="1" hidden="1" outlineLevel="2" collapsed="1" x14ac:dyDescent="0.2">
      <c r="A411" s="762" t="e">
        <f ca="1">IF($H411="UNIDADE CONSTRUTIVA",OFFSET(A411,-1,0)+1,LARGE(A$3:A410,1))</f>
        <v>#NUM!</v>
      </c>
      <c r="B411" s="762">
        <f t="shared" ca="1" si="43"/>
        <v>4</v>
      </c>
      <c r="C411" s="762">
        <f t="shared" ca="1" si="44"/>
        <v>2</v>
      </c>
      <c r="D411" s="763">
        <f t="shared" ca="1" si="45"/>
        <v>3</v>
      </c>
      <c r="E411" s="763">
        <f t="shared" ca="1" si="46"/>
        <v>0</v>
      </c>
      <c r="G411" s="628"/>
      <c r="H411" s="766" t="s">
        <v>367</v>
      </c>
      <c r="I411" s="629" t="str">
        <f t="shared" ca="1" si="47"/>
        <v>04.002.003</v>
      </c>
      <c r="J411" s="654" t="s">
        <v>209</v>
      </c>
      <c r="K411" s="630"/>
      <c r="L411" s="631"/>
      <c r="M411" s="631"/>
      <c r="N411" s="646">
        <f>SUM(N412:N414)</f>
        <v>5837.9643780000006</v>
      </c>
      <c r="O411" s="767"/>
      <c r="P411" s="632"/>
      <c r="R411" s="742"/>
      <c r="S411" s="742"/>
    </row>
    <row r="412" spans="1:19" s="761" customFormat="1" ht="22.5" hidden="1" outlineLevel="3" x14ac:dyDescent="0.2">
      <c r="A412" s="762" t="e">
        <f ca="1">IF($H412="UNIDADE CONSTRUTIVA",OFFSET(A412,-1,0)+1,LARGE(A$3:A413,1))</f>
        <v>#NUM!</v>
      </c>
      <c r="B412" s="762">
        <f t="shared" ca="1" si="43"/>
        <v>4</v>
      </c>
      <c r="C412" s="762">
        <f t="shared" ca="1" si="44"/>
        <v>2</v>
      </c>
      <c r="D412" s="763">
        <f t="shared" ca="1" si="45"/>
        <v>3</v>
      </c>
      <c r="E412" s="763">
        <f t="shared" ca="1" si="46"/>
        <v>1</v>
      </c>
      <c r="G412" s="628"/>
      <c r="H412" s="766" t="s">
        <v>368</v>
      </c>
      <c r="I412" s="629" t="str">
        <f t="shared" ca="1" si="47"/>
        <v>04.002.003.001</v>
      </c>
      <c r="J412" s="654" t="s">
        <v>969</v>
      </c>
      <c r="K412" s="630" t="s">
        <v>3</v>
      </c>
      <c r="L412" s="631">
        <f>ARQ.!C130</f>
        <v>164.24</v>
      </c>
      <c r="M412" s="631">
        <f>VLOOKUP(J412,Preços!$C$7:$F$498,4,FALSE)</f>
        <v>15.04</v>
      </c>
      <c r="N412" s="646">
        <f>L412*M412</f>
        <v>2470.1696000000002</v>
      </c>
      <c r="O412" s="767"/>
      <c r="P412" s="632" t="s">
        <v>333</v>
      </c>
      <c r="R412" s="742"/>
      <c r="S412" s="742"/>
    </row>
    <row r="413" spans="1:19" s="761" customFormat="1" ht="22.5" hidden="1" outlineLevel="3" x14ac:dyDescent="0.2">
      <c r="A413" s="762" t="e">
        <f ca="1">IF($H413="UNIDADE CONSTRUTIVA",OFFSET(A413,-1,0)+1,LARGE(A$3:A411,1))</f>
        <v>#NUM!</v>
      </c>
      <c r="B413" s="762">
        <f t="shared" ca="1" si="43"/>
        <v>4</v>
      </c>
      <c r="C413" s="762">
        <f t="shared" ca="1" si="44"/>
        <v>2</v>
      </c>
      <c r="D413" s="763">
        <f t="shared" ca="1" si="45"/>
        <v>3</v>
      </c>
      <c r="E413" s="763">
        <f t="shared" ca="1" si="46"/>
        <v>2</v>
      </c>
      <c r="G413" s="628"/>
      <c r="H413" s="766" t="s">
        <v>368</v>
      </c>
      <c r="I413" s="629" t="str">
        <f t="shared" ca="1" si="47"/>
        <v>04.002.003.002</v>
      </c>
      <c r="J413" s="654" t="s">
        <v>210</v>
      </c>
      <c r="K413" s="630" t="s">
        <v>2</v>
      </c>
      <c r="L413" s="631">
        <f>ARQ.!C131</f>
        <v>178</v>
      </c>
      <c r="M413" s="631">
        <f>VLOOKUP(J413,Preços!$C$7:$F$498,4,FALSE)</f>
        <v>3.3159999999999998</v>
      </c>
      <c r="N413" s="646">
        <f>L413*M413</f>
        <v>590.24799999999993</v>
      </c>
      <c r="O413" s="767"/>
      <c r="P413" s="632" t="s">
        <v>333</v>
      </c>
      <c r="R413" s="742"/>
      <c r="S413" s="742"/>
    </row>
    <row r="414" spans="1:19" s="761" customFormat="1" ht="22.5" hidden="1" outlineLevel="3" x14ac:dyDescent="0.2">
      <c r="A414" s="762" t="e">
        <f ca="1">IF($H414="UNIDADE CONSTRUTIVA",OFFSET(A414,-1,0)+1,LARGE(A$3:A413,1))</f>
        <v>#NUM!</v>
      </c>
      <c r="B414" s="762">
        <f t="shared" ca="1" si="43"/>
        <v>4</v>
      </c>
      <c r="C414" s="762">
        <f t="shared" ca="1" si="44"/>
        <v>2</v>
      </c>
      <c r="D414" s="763">
        <f t="shared" ca="1" si="45"/>
        <v>3</v>
      </c>
      <c r="E414" s="763">
        <f t="shared" ca="1" si="46"/>
        <v>3</v>
      </c>
      <c r="G414" s="628"/>
      <c r="H414" s="766" t="s">
        <v>368</v>
      </c>
      <c r="I414" s="629" t="str">
        <f t="shared" ca="1" si="47"/>
        <v>04.002.003.003</v>
      </c>
      <c r="J414" s="654" t="s">
        <v>1023</v>
      </c>
      <c r="K414" s="630" t="s">
        <v>3</v>
      </c>
      <c r="L414" s="631">
        <f>ARQ.!C132</f>
        <v>61.26</v>
      </c>
      <c r="M414" s="631">
        <f>VLOOKUP(J414,Preços!$C$7:$F$498,4,FALSE)</f>
        <v>45.340299999999999</v>
      </c>
      <c r="N414" s="646">
        <f>L414*M414</f>
        <v>2777.5467779999999</v>
      </c>
      <c r="O414" s="767"/>
      <c r="P414" s="632" t="s">
        <v>333</v>
      </c>
      <c r="R414" s="742"/>
      <c r="S414" s="742"/>
    </row>
    <row r="415" spans="1:19" s="761" customFormat="1" hidden="1" outlineLevel="2" collapsed="1" x14ac:dyDescent="0.2">
      <c r="A415" s="762" t="e">
        <f ca="1">IF($H415="UNIDADE CONSTRUTIVA",OFFSET(A415,-1,0)+1,LARGE(A$3:A414,1))</f>
        <v>#NUM!</v>
      </c>
      <c r="B415" s="762">
        <f t="shared" ca="1" si="43"/>
        <v>4</v>
      </c>
      <c r="C415" s="762">
        <f t="shared" ca="1" si="44"/>
        <v>2</v>
      </c>
      <c r="D415" s="763">
        <f t="shared" ca="1" si="45"/>
        <v>4</v>
      </c>
      <c r="E415" s="763">
        <f t="shared" ca="1" si="46"/>
        <v>0</v>
      </c>
      <c r="G415" s="628"/>
      <c r="H415" s="766" t="s">
        <v>367</v>
      </c>
      <c r="I415" s="629" t="str">
        <f t="shared" ca="1" si="47"/>
        <v>04.002.004</v>
      </c>
      <c r="J415" s="654" t="s">
        <v>211</v>
      </c>
      <c r="K415" s="630"/>
      <c r="L415" s="631"/>
      <c r="M415" s="631"/>
      <c r="N415" s="646">
        <f>SUM(N416:N417)</f>
        <v>12195.86</v>
      </c>
      <c r="O415" s="767"/>
      <c r="P415" s="632"/>
      <c r="R415" s="742"/>
      <c r="S415" s="742"/>
    </row>
    <row r="416" spans="1:19" s="761" customFormat="1" ht="22.5" hidden="1" outlineLevel="2" x14ac:dyDescent="0.2">
      <c r="A416" s="762" t="e">
        <f ca="1">IF($H416="UNIDADE CONSTRUTIVA",OFFSET(A416,-1,0)+1,LARGE(A$3:A415,1))</f>
        <v>#NUM!</v>
      </c>
      <c r="B416" s="762">
        <f t="shared" ca="1" si="43"/>
        <v>4</v>
      </c>
      <c r="C416" s="762">
        <f t="shared" ca="1" si="44"/>
        <v>2</v>
      </c>
      <c r="D416" s="763">
        <f t="shared" ca="1" si="45"/>
        <v>4</v>
      </c>
      <c r="E416" s="763">
        <f t="shared" ca="1" si="46"/>
        <v>1</v>
      </c>
      <c r="G416" s="628"/>
      <c r="H416" s="766" t="s">
        <v>368</v>
      </c>
      <c r="I416" s="629" t="str">
        <f t="shared" ca="1" si="47"/>
        <v>04.002.004.001</v>
      </c>
      <c r="J416" s="654" t="s">
        <v>971</v>
      </c>
      <c r="K416" s="630" t="s">
        <v>1</v>
      </c>
      <c r="L416" s="631">
        <f>SUM(L406:L408)</f>
        <v>291.71000000000004</v>
      </c>
      <c r="M416" s="631">
        <f>VLOOKUP(J416,Preços!$C$7:$F$498,4,FALSE)</f>
        <v>34</v>
      </c>
      <c r="N416" s="646">
        <f>L416*M416</f>
        <v>9918.1400000000012</v>
      </c>
      <c r="O416" s="767"/>
      <c r="P416" s="632" t="s">
        <v>333</v>
      </c>
      <c r="R416" s="742"/>
      <c r="S416" s="742"/>
    </row>
    <row r="417" spans="1:19" s="761" customFormat="1" ht="22.5" hidden="1" outlineLevel="2" x14ac:dyDescent="0.2">
      <c r="A417" s="762" t="e">
        <f ca="1">IF($H417="UNIDADE CONSTRUTIVA",OFFSET(A417,-1,0)+1,LARGE(A$3:A416,1))</f>
        <v>#NUM!</v>
      </c>
      <c r="B417" s="762">
        <f t="shared" ca="1" si="43"/>
        <v>4</v>
      </c>
      <c r="C417" s="762">
        <f t="shared" ca="1" si="44"/>
        <v>2</v>
      </c>
      <c r="D417" s="763">
        <f t="shared" ca="1" si="45"/>
        <v>4</v>
      </c>
      <c r="E417" s="763">
        <f t="shared" ca="1" si="46"/>
        <v>2</v>
      </c>
      <c r="G417" s="628"/>
      <c r="H417" s="766" t="s">
        <v>368</v>
      </c>
      <c r="I417" s="629" t="str">
        <f t="shared" ca="1" si="47"/>
        <v>04.002.004.002</v>
      </c>
      <c r="J417" s="654" t="s">
        <v>970</v>
      </c>
      <c r="K417" s="630" t="s">
        <v>1</v>
      </c>
      <c r="L417" s="631">
        <f>SUM(L410:L410)</f>
        <v>63.27</v>
      </c>
      <c r="M417" s="631">
        <f>VLOOKUP(J417,Preços!$C$7:$F$498,4,FALSE)</f>
        <v>36</v>
      </c>
      <c r="N417" s="646">
        <f>L417*M417</f>
        <v>2277.7200000000003</v>
      </c>
      <c r="O417" s="767"/>
      <c r="P417" s="632" t="s">
        <v>333</v>
      </c>
      <c r="R417" s="742"/>
      <c r="S417" s="742"/>
    </row>
    <row r="418" spans="1:19" s="761" customFormat="1" ht="22.5" hidden="1" outlineLevel="1" collapsed="1" x14ac:dyDescent="0.2">
      <c r="A418" s="762" t="e">
        <f ca="1">IF($H418="UNIDADE CONSTRUTIVA",OFFSET(A418,-1,0)+1,LARGE(A$3:A340,1))</f>
        <v>#NUM!</v>
      </c>
      <c r="B418" s="762">
        <f t="shared" ref="B418:B425" ca="1" si="48">IF(H418="UNIDADE CONSTRUTIVA",0,IF(H418="CÉLULA CONSTRUTIVA",OFFSET(B418,-1,0)+1,OFFSET(B418,-1,0)))</f>
        <v>4</v>
      </c>
      <c r="C418" s="762">
        <f t="shared" ref="C418:C425" ca="1" si="49">IF(H418="CÉLULA CONSTRUTIVA",0,IF(H418="ETAPA",OFFSET(C418,-1,0)+1,OFFSET(C418,-1,0)))</f>
        <v>3</v>
      </c>
      <c r="D418" s="763">
        <f t="shared" ref="D418:D425" ca="1" si="50">IF(H418="ETAPA",0,IF(H418="SUBETAPA",OFFSET(D418,-1,0)+1,OFFSET(D418,-1,0)))</f>
        <v>0</v>
      </c>
      <c r="E418" s="763">
        <f t="shared" ref="E418:E425" ca="1" si="51">IF(H418="Subetapa",0,IF(H418="serviço",OFFSET(E418,-1,0)+1,OFFSET(E418,-1,0)))</f>
        <v>2</v>
      </c>
      <c r="G418" s="628"/>
      <c r="H418" s="766" t="s">
        <v>366</v>
      </c>
      <c r="I418" s="629" t="str">
        <f t="shared" ref="I418:I425" ca="1" si="52">IF(H418="Unidade Construtiva",TEXT(A418,"00"),IF(H418="Célula Construtiva",TEXT(B418,"00"),IF(H418="Etapa",CONCATENATE(TEXT(B418,"00"),".",TEXT(C418,"000")),IF(H418="Subetapa",CONCATENATE(TEXT(B418,"00"),".",TEXT(C418,"000"),".",TEXT(D418,"000")),IF(H418="Serviço",CONCATENATE(TEXT(B418,"00"),".",TEXT(C418,"000"),".",TEXT(D418,"000"),".",TEXT(E418,"000")),"")))))</f>
        <v>04.003</v>
      </c>
      <c r="J418" s="654" t="s">
        <v>772</v>
      </c>
      <c r="K418" s="630"/>
      <c r="L418" s="631"/>
      <c r="M418" s="631"/>
      <c r="N418" s="646">
        <f>SUM(N419,N423,N425,N429)</f>
        <v>36009.379946000001</v>
      </c>
      <c r="O418" s="767"/>
      <c r="P418" s="632"/>
      <c r="R418" s="742"/>
      <c r="S418" s="742"/>
    </row>
    <row r="419" spans="1:19" s="761" customFormat="1" hidden="1" outlineLevel="2" collapsed="1" x14ac:dyDescent="0.2">
      <c r="A419" s="762" t="e">
        <f ca="1">IF($H419="UNIDADE CONSTRUTIVA",OFFSET(A419,-1,0)+1,LARGE(A$3:A418,1))</f>
        <v>#NUM!</v>
      </c>
      <c r="B419" s="762">
        <f t="shared" ca="1" si="48"/>
        <v>4</v>
      </c>
      <c r="C419" s="762">
        <f t="shared" ca="1" si="49"/>
        <v>3</v>
      </c>
      <c r="D419" s="763">
        <f t="shared" ca="1" si="50"/>
        <v>1</v>
      </c>
      <c r="E419" s="763">
        <f t="shared" ca="1" si="51"/>
        <v>0</v>
      </c>
      <c r="G419" s="628"/>
      <c r="H419" s="766" t="s">
        <v>367</v>
      </c>
      <c r="I419" s="629" t="str">
        <f t="shared" ca="1" si="52"/>
        <v>04.003.001</v>
      </c>
      <c r="J419" s="654" t="s">
        <v>208</v>
      </c>
      <c r="K419" s="630"/>
      <c r="L419" s="631"/>
      <c r="M419" s="631"/>
      <c r="N419" s="646">
        <f>SUM(N420:N422)</f>
        <v>12524.634760000001</v>
      </c>
      <c r="O419" s="767"/>
      <c r="P419" s="632"/>
      <c r="R419" s="742"/>
      <c r="S419" s="742"/>
    </row>
    <row r="420" spans="1:19" s="761" customFormat="1" ht="33.75" hidden="1" outlineLevel="3" x14ac:dyDescent="0.2">
      <c r="A420" s="762" t="e">
        <f ca="1">IF($H420="UNIDADE CONSTRUTIVA",OFFSET(A420,-1,0)+1,LARGE(A$3:A419,1))</f>
        <v>#NUM!</v>
      </c>
      <c r="B420" s="762">
        <f t="shared" ca="1" si="48"/>
        <v>4</v>
      </c>
      <c r="C420" s="762">
        <f t="shared" ca="1" si="49"/>
        <v>3</v>
      </c>
      <c r="D420" s="763">
        <f t="shared" ca="1" si="50"/>
        <v>1</v>
      </c>
      <c r="E420" s="763">
        <f t="shared" ca="1" si="51"/>
        <v>1</v>
      </c>
      <c r="G420" s="628"/>
      <c r="H420" s="766" t="s">
        <v>368</v>
      </c>
      <c r="I420" s="629" t="str">
        <f t="shared" ca="1" si="52"/>
        <v>04.003.001.001</v>
      </c>
      <c r="J420" s="654" t="s">
        <v>1949</v>
      </c>
      <c r="K420" s="630" t="s">
        <v>1</v>
      </c>
      <c r="L420" s="631">
        <f>ARQ.!C198</f>
        <v>18.690000000000001</v>
      </c>
      <c r="M420" s="631">
        <f>VLOOKUP(J420,Preços!$C$7:$F$498,4,FALSE)</f>
        <v>49.014000000000003</v>
      </c>
      <c r="N420" s="646">
        <f>L420*M420</f>
        <v>916.07166000000007</v>
      </c>
      <c r="O420" s="767"/>
      <c r="P420" s="632" t="s">
        <v>333</v>
      </c>
      <c r="R420" s="742"/>
      <c r="S420" s="742"/>
    </row>
    <row r="421" spans="1:19" s="761" customFormat="1" ht="33.75" hidden="1" outlineLevel="3" x14ac:dyDescent="0.2">
      <c r="A421" s="762" t="e">
        <f ca="1">IF($H421="UNIDADE CONSTRUTIVA",OFFSET(A421,-1,0)+1,LARGE(A$3:A420,1))</f>
        <v>#NUM!</v>
      </c>
      <c r="B421" s="762">
        <f t="shared" ca="1" si="48"/>
        <v>4</v>
      </c>
      <c r="C421" s="762">
        <f t="shared" ca="1" si="49"/>
        <v>3</v>
      </c>
      <c r="D421" s="763">
        <f t="shared" ca="1" si="50"/>
        <v>1</v>
      </c>
      <c r="E421" s="763">
        <f t="shared" ca="1" si="51"/>
        <v>2</v>
      </c>
      <c r="G421" s="628"/>
      <c r="H421" s="766" t="s">
        <v>368</v>
      </c>
      <c r="I421" s="629" t="str">
        <f t="shared" ca="1" si="52"/>
        <v>04.003.001.002</v>
      </c>
      <c r="J421" s="654" t="s">
        <v>1947</v>
      </c>
      <c r="K421" s="630" t="s">
        <v>1</v>
      </c>
      <c r="L421" s="631">
        <f>ARQ.!C199</f>
        <v>76.040000000000006</v>
      </c>
      <c r="M421" s="631">
        <f>VLOOKUP(J421,Preços!$C$7:$F$498,4,FALSE)</f>
        <v>32.662500000000001</v>
      </c>
      <c r="N421" s="646">
        <f>L421*M421</f>
        <v>2483.6565000000005</v>
      </c>
      <c r="O421" s="767"/>
      <c r="P421" s="632" t="s">
        <v>333</v>
      </c>
      <c r="R421" s="742"/>
      <c r="S421" s="742"/>
    </row>
    <row r="422" spans="1:19" s="761" customFormat="1" ht="33.75" hidden="1" outlineLevel="3" x14ac:dyDescent="0.2">
      <c r="A422" s="762" t="e">
        <f ca="1">IF($H422="UNIDADE CONSTRUTIVA",OFFSET(A422,-1,0)+1,LARGE(A$3:A421,1))</f>
        <v>#NUM!</v>
      </c>
      <c r="B422" s="762">
        <f t="shared" ca="1" si="48"/>
        <v>4</v>
      </c>
      <c r="C422" s="762">
        <f t="shared" ca="1" si="49"/>
        <v>3</v>
      </c>
      <c r="D422" s="763">
        <f t="shared" ca="1" si="50"/>
        <v>1</v>
      </c>
      <c r="E422" s="763">
        <f t="shared" ca="1" si="51"/>
        <v>3</v>
      </c>
      <c r="G422" s="628"/>
      <c r="H422" s="766" t="s">
        <v>368</v>
      </c>
      <c r="I422" s="629" t="str">
        <f t="shared" ca="1" si="52"/>
        <v>04.003.001.003</v>
      </c>
      <c r="J422" s="654" t="s">
        <v>1946</v>
      </c>
      <c r="K422" s="630" t="s">
        <v>1</v>
      </c>
      <c r="L422" s="631">
        <f>ARQ.!C200</f>
        <v>190.36</v>
      </c>
      <c r="M422" s="631">
        <f>VLOOKUP(J422,Preços!$C$7:$F$498,4,FALSE)</f>
        <v>47.935000000000002</v>
      </c>
      <c r="N422" s="646">
        <f>L422*M422</f>
        <v>9124.9066000000003</v>
      </c>
      <c r="O422" s="767"/>
      <c r="P422" s="632" t="s">
        <v>333</v>
      </c>
      <c r="R422" s="742"/>
      <c r="S422" s="742"/>
    </row>
    <row r="423" spans="1:19" s="761" customFormat="1" hidden="1" outlineLevel="2" collapsed="1" x14ac:dyDescent="0.2">
      <c r="A423" s="762" t="e">
        <f ca="1">IF($H423="UNIDADE CONSTRUTIVA",OFFSET(A423,-1,0)+1,LARGE(A$3:A422,1))</f>
        <v>#NUM!</v>
      </c>
      <c r="B423" s="762">
        <f t="shared" ca="1" si="48"/>
        <v>4</v>
      </c>
      <c r="C423" s="762">
        <f t="shared" ca="1" si="49"/>
        <v>3</v>
      </c>
      <c r="D423" s="763">
        <f t="shared" ca="1" si="50"/>
        <v>2</v>
      </c>
      <c r="E423" s="763">
        <f t="shared" ca="1" si="51"/>
        <v>0</v>
      </c>
      <c r="G423" s="628"/>
      <c r="H423" s="766" t="s">
        <v>367</v>
      </c>
      <c r="I423" s="629" t="str">
        <f t="shared" ca="1" si="52"/>
        <v>04.003.002</v>
      </c>
      <c r="J423" s="654" t="s">
        <v>376</v>
      </c>
      <c r="K423" s="630"/>
      <c r="L423" s="631"/>
      <c r="M423" s="631"/>
      <c r="N423" s="646">
        <f>SUM(N424)</f>
        <v>5503.2246000000005</v>
      </c>
      <c r="O423" s="767"/>
      <c r="P423" s="632"/>
      <c r="R423" s="742"/>
      <c r="S423" s="742"/>
    </row>
    <row r="424" spans="1:19" s="761" customFormat="1" ht="22.5" hidden="1" outlineLevel="3" x14ac:dyDescent="0.2">
      <c r="A424" s="762" t="e">
        <f ca="1">IF($H424="UNIDADE CONSTRUTIVA",OFFSET(A424,-1,0)+1,LARGE(A$3:A423,1))</f>
        <v>#NUM!</v>
      </c>
      <c r="B424" s="762">
        <f t="shared" ca="1" si="48"/>
        <v>4</v>
      </c>
      <c r="C424" s="762">
        <f t="shared" ca="1" si="49"/>
        <v>3</v>
      </c>
      <c r="D424" s="763">
        <f t="shared" ca="1" si="50"/>
        <v>2</v>
      </c>
      <c r="E424" s="763">
        <f t="shared" ca="1" si="51"/>
        <v>1</v>
      </c>
      <c r="G424" s="628"/>
      <c r="H424" s="766" t="s">
        <v>368</v>
      </c>
      <c r="I424" s="629" t="str">
        <f t="shared" ca="1" si="52"/>
        <v>04.003.002.001</v>
      </c>
      <c r="J424" s="654" t="s">
        <v>547</v>
      </c>
      <c r="K424" s="630" t="s">
        <v>1</v>
      </c>
      <c r="L424" s="631">
        <f>ARQ.!C202</f>
        <v>63.27</v>
      </c>
      <c r="M424" s="631">
        <f>VLOOKUP(J424,Preços!$C$7:$F$498,4,FALSE)</f>
        <v>86.98</v>
      </c>
      <c r="N424" s="646">
        <f>L424*M424</f>
        <v>5503.2246000000005</v>
      </c>
      <c r="O424" s="767"/>
      <c r="P424" s="632" t="s">
        <v>333</v>
      </c>
      <c r="R424" s="742"/>
      <c r="S424" s="742"/>
    </row>
    <row r="425" spans="1:19" s="761" customFormat="1" hidden="1" outlineLevel="2" collapsed="1" x14ac:dyDescent="0.2">
      <c r="A425" s="762" t="e">
        <f ca="1">IF($H425="UNIDADE CONSTRUTIVA",OFFSET(A425,-1,0)+1,LARGE(A$3:A424,1))</f>
        <v>#NUM!</v>
      </c>
      <c r="B425" s="762">
        <f t="shared" ca="1" si="48"/>
        <v>4</v>
      </c>
      <c r="C425" s="762">
        <f t="shared" ca="1" si="49"/>
        <v>3</v>
      </c>
      <c r="D425" s="763">
        <f t="shared" ca="1" si="50"/>
        <v>3</v>
      </c>
      <c r="E425" s="763">
        <f t="shared" ca="1" si="51"/>
        <v>0</v>
      </c>
      <c r="G425" s="628"/>
      <c r="H425" s="766" t="s">
        <v>367</v>
      </c>
      <c r="I425" s="629" t="str">
        <f t="shared" ca="1" si="52"/>
        <v>04.003.003</v>
      </c>
      <c r="J425" s="654" t="s">
        <v>209</v>
      </c>
      <c r="K425" s="630"/>
      <c r="L425" s="631"/>
      <c r="M425" s="631"/>
      <c r="N425" s="646">
        <f>SUM(N426:N428)</f>
        <v>6010.7405859999999</v>
      </c>
      <c r="O425" s="767"/>
      <c r="P425" s="632"/>
      <c r="R425" s="742"/>
      <c r="S425" s="742"/>
    </row>
    <row r="426" spans="1:19" s="761" customFormat="1" ht="22.5" hidden="1" outlineLevel="3" x14ac:dyDescent="0.2">
      <c r="A426" s="762" t="e">
        <f ca="1">IF($H426="UNIDADE CONSTRUTIVA",OFFSET(A426,-1,0)+1,LARGE(A$3:A427,1))</f>
        <v>#NUM!</v>
      </c>
      <c r="B426" s="762">
        <f t="shared" ref="B426:B445" ca="1" si="53">IF(H426="UNIDADE CONSTRUTIVA",0,IF(H426="CÉLULA CONSTRUTIVA",OFFSET(B426,-1,0)+1,OFFSET(B426,-1,0)))</f>
        <v>4</v>
      </c>
      <c r="C426" s="762">
        <f t="shared" ref="C426:C445" ca="1" si="54">IF(H426="CÉLULA CONSTRUTIVA",0,IF(H426="ETAPA",OFFSET(C426,-1,0)+1,OFFSET(C426,-1,0)))</f>
        <v>3</v>
      </c>
      <c r="D426" s="763">
        <f t="shared" ref="D426:D445" ca="1" si="55">IF(H426="ETAPA",0,IF(H426="SUBETAPA",OFFSET(D426,-1,0)+1,OFFSET(D426,-1,0)))</f>
        <v>3</v>
      </c>
      <c r="E426" s="763">
        <f t="shared" ref="E426:E445" ca="1" si="56">IF(H426="Subetapa",0,IF(H426="serviço",OFFSET(E426,-1,0)+1,OFFSET(E426,-1,0)))</f>
        <v>1</v>
      </c>
      <c r="G426" s="628"/>
      <c r="H426" s="766" t="s">
        <v>368</v>
      </c>
      <c r="I426" s="629" t="str">
        <f t="shared" ref="I426:I445" ca="1" si="57">IF(H426="Unidade Construtiva",TEXT(A426,"00"),IF(H426="Célula Construtiva",TEXT(B426,"00"),IF(H426="Etapa",CONCATENATE(TEXT(B426,"00"),".",TEXT(C426,"000")),IF(H426="Subetapa",CONCATENATE(TEXT(B426,"00"),".",TEXT(C426,"000"),".",TEXT(D426,"000")),IF(H426="Serviço",CONCATENATE(TEXT(B426,"00"),".",TEXT(C426,"000"),".",TEXT(D426,"000"),".",TEXT(E426,"000")),"")))))</f>
        <v>04.003.003.001</v>
      </c>
      <c r="J426" s="654" t="s">
        <v>969</v>
      </c>
      <c r="K426" s="630" t="s">
        <v>3</v>
      </c>
      <c r="L426" s="631">
        <f>ARQ.!C204</f>
        <v>166.26</v>
      </c>
      <c r="M426" s="631">
        <f>VLOOKUP(J426,Preços!$C$7:$F$498,4,FALSE)</f>
        <v>15.04</v>
      </c>
      <c r="N426" s="646">
        <f>L426*M426</f>
        <v>2500.5503999999996</v>
      </c>
      <c r="O426" s="767"/>
      <c r="P426" s="632" t="s">
        <v>333</v>
      </c>
      <c r="R426" s="742"/>
      <c r="S426" s="742"/>
    </row>
    <row r="427" spans="1:19" s="761" customFormat="1" ht="22.5" hidden="1" outlineLevel="3" x14ac:dyDescent="0.2">
      <c r="A427" s="762" t="e">
        <f ca="1">IF($H427="UNIDADE CONSTRUTIVA",OFFSET(A427,-1,0)+1,LARGE(A$3:A425,1))</f>
        <v>#NUM!</v>
      </c>
      <c r="B427" s="762">
        <f t="shared" ca="1" si="53"/>
        <v>4</v>
      </c>
      <c r="C427" s="762">
        <f t="shared" ca="1" si="54"/>
        <v>3</v>
      </c>
      <c r="D427" s="763">
        <f t="shared" ca="1" si="55"/>
        <v>3</v>
      </c>
      <c r="E427" s="763">
        <f t="shared" ca="1" si="56"/>
        <v>2</v>
      </c>
      <c r="G427" s="628"/>
      <c r="H427" s="766" t="s">
        <v>368</v>
      </c>
      <c r="I427" s="629" t="str">
        <f t="shared" ca="1" si="57"/>
        <v>04.003.003.002</v>
      </c>
      <c r="J427" s="654" t="s">
        <v>210</v>
      </c>
      <c r="K427" s="630" t="s">
        <v>2</v>
      </c>
      <c r="L427" s="631">
        <f>ARQ.!C205</f>
        <v>175</v>
      </c>
      <c r="M427" s="631">
        <f>VLOOKUP(J427,Preços!$C$7:$F$498,4,FALSE)</f>
        <v>3.3159999999999998</v>
      </c>
      <c r="N427" s="646">
        <f>L427*M427</f>
        <v>580.29999999999995</v>
      </c>
      <c r="O427" s="767"/>
      <c r="P427" s="632" t="s">
        <v>333</v>
      </c>
      <c r="R427" s="742"/>
      <c r="S427" s="742"/>
    </row>
    <row r="428" spans="1:19" s="761" customFormat="1" ht="22.5" hidden="1" outlineLevel="3" x14ac:dyDescent="0.2">
      <c r="A428" s="762" t="e">
        <f ca="1">IF($H428="UNIDADE CONSTRUTIVA",OFFSET(A428,-1,0)+1,LARGE(A$3:A427,1))</f>
        <v>#NUM!</v>
      </c>
      <c r="B428" s="762">
        <f t="shared" ca="1" si="53"/>
        <v>4</v>
      </c>
      <c r="C428" s="762">
        <f t="shared" ca="1" si="54"/>
        <v>3</v>
      </c>
      <c r="D428" s="763">
        <f t="shared" ca="1" si="55"/>
        <v>3</v>
      </c>
      <c r="E428" s="763">
        <f t="shared" ca="1" si="56"/>
        <v>3</v>
      </c>
      <c r="G428" s="628"/>
      <c r="H428" s="766" t="s">
        <v>368</v>
      </c>
      <c r="I428" s="629" t="str">
        <f t="shared" ca="1" si="57"/>
        <v>04.003.003.003</v>
      </c>
      <c r="J428" s="654" t="s">
        <v>1023</v>
      </c>
      <c r="K428" s="630" t="s">
        <v>3</v>
      </c>
      <c r="L428" s="631">
        <f>ARQ.!C206</f>
        <v>64.62</v>
      </c>
      <c r="M428" s="631">
        <f>VLOOKUP(J428,Preços!$C$7:$F$498,4,FALSE)</f>
        <v>45.340299999999999</v>
      </c>
      <c r="N428" s="646">
        <f>L428*M428</f>
        <v>2929.8901860000001</v>
      </c>
      <c r="O428" s="767"/>
      <c r="P428" s="632" t="s">
        <v>333</v>
      </c>
      <c r="R428" s="742"/>
      <c r="S428" s="742"/>
    </row>
    <row r="429" spans="1:19" s="761" customFormat="1" hidden="1" outlineLevel="2" collapsed="1" x14ac:dyDescent="0.2">
      <c r="A429" s="762" t="e">
        <f ca="1">IF($H429="UNIDADE CONSTRUTIVA",OFFSET(A429,-1,0)+1,LARGE(A$3:A428,1))</f>
        <v>#NUM!</v>
      </c>
      <c r="B429" s="762">
        <f t="shared" ca="1" si="53"/>
        <v>4</v>
      </c>
      <c r="C429" s="762">
        <f t="shared" ca="1" si="54"/>
        <v>3</v>
      </c>
      <c r="D429" s="763">
        <f t="shared" ca="1" si="55"/>
        <v>4</v>
      </c>
      <c r="E429" s="763">
        <f t="shared" ca="1" si="56"/>
        <v>0</v>
      </c>
      <c r="G429" s="628"/>
      <c r="H429" s="766" t="s">
        <v>367</v>
      </c>
      <c r="I429" s="629" t="str">
        <f t="shared" ca="1" si="57"/>
        <v>04.003.004</v>
      </c>
      <c r="J429" s="654" t="s">
        <v>211</v>
      </c>
      <c r="K429" s="630"/>
      <c r="L429" s="631"/>
      <c r="M429" s="631"/>
      <c r="N429" s="646">
        <f>SUM(N430:N431)</f>
        <v>11970.780000000002</v>
      </c>
      <c r="O429" s="767"/>
      <c r="P429" s="632"/>
      <c r="R429" s="742"/>
      <c r="S429" s="742"/>
    </row>
    <row r="430" spans="1:19" s="761" customFormat="1" ht="22.5" hidden="1" outlineLevel="2" x14ac:dyDescent="0.2">
      <c r="A430" s="762" t="e">
        <f ca="1">IF($H430="UNIDADE CONSTRUTIVA",OFFSET(A430,-1,0)+1,LARGE(A$3:A429,1))</f>
        <v>#NUM!</v>
      </c>
      <c r="B430" s="762">
        <f t="shared" ca="1" si="53"/>
        <v>4</v>
      </c>
      <c r="C430" s="762">
        <f t="shared" ca="1" si="54"/>
        <v>3</v>
      </c>
      <c r="D430" s="763">
        <f t="shared" ca="1" si="55"/>
        <v>4</v>
      </c>
      <c r="E430" s="763">
        <f t="shared" ca="1" si="56"/>
        <v>1</v>
      </c>
      <c r="G430" s="628"/>
      <c r="H430" s="766" t="s">
        <v>368</v>
      </c>
      <c r="I430" s="629" t="str">
        <f t="shared" ca="1" si="57"/>
        <v>04.003.004.001</v>
      </c>
      <c r="J430" s="654" t="s">
        <v>971</v>
      </c>
      <c r="K430" s="630" t="s">
        <v>1</v>
      </c>
      <c r="L430" s="631">
        <f>SUM(L420:L422)</f>
        <v>285.09000000000003</v>
      </c>
      <c r="M430" s="631">
        <f>VLOOKUP(J430,Preços!$C$7:$F$498,4,FALSE)</f>
        <v>34</v>
      </c>
      <c r="N430" s="646">
        <f>L430*M430</f>
        <v>9693.0600000000013</v>
      </c>
      <c r="O430" s="767"/>
      <c r="P430" s="632" t="s">
        <v>333</v>
      </c>
      <c r="R430" s="742"/>
      <c r="S430" s="742"/>
    </row>
    <row r="431" spans="1:19" s="761" customFormat="1" ht="22.5" hidden="1" outlineLevel="2" x14ac:dyDescent="0.2">
      <c r="A431" s="762" t="e">
        <f ca="1">IF($H431="UNIDADE CONSTRUTIVA",OFFSET(A431,-1,0)+1,LARGE(A$3:A430,1))</f>
        <v>#NUM!</v>
      </c>
      <c r="B431" s="762">
        <f t="shared" ca="1" si="53"/>
        <v>4</v>
      </c>
      <c r="C431" s="762">
        <f t="shared" ca="1" si="54"/>
        <v>3</v>
      </c>
      <c r="D431" s="763">
        <f t="shared" ca="1" si="55"/>
        <v>4</v>
      </c>
      <c r="E431" s="763">
        <f t="shared" ca="1" si="56"/>
        <v>2</v>
      </c>
      <c r="G431" s="628"/>
      <c r="H431" s="766" t="s">
        <v>368</v>
      </c>
      <c r="I431" s="629" t="str">
        <f t="shared" ca="1" si="57"/>
        <v>04.003.004.002</v>
      </c>
      <c r="J431" s="654" t="s">
        <v>970</v>
      </c>
      <c r="K431" s="630" t="s">
        <v>1</v>
      </c>
      <c r="L431" s="631">
        <f>SUM(L424:L424)</f>
        <v>63.27</v>
      </c>
      <c r="M431" s="631">
        <f>VLOOKUP(J431,Preços!$C$7:$F$498,4,FALSE)</f>
        <v>36</v>
      </c>
      <c r="N431" s="646">
        <f>L431*M431</f>
        <v>2277.7200000000003</v>
      </c>
      <c r="O431" s="767"/>
      <c r="P431" s="632" t="s">
        <v>333</v>
      </c>
      <c r="R431" s="742"/>
      <c r="S431" s="742"/>
    </row>
    <row r="432" spans="1:19" s="761" customFormat="1" ht="22.5" hidden="1" outlineLevel="1" collapsed="1" x14ac:dyDescent="0.2">
      <c r="A432" s="762" t="e">
        <f ca="1">IF($H432="UNIDADE CONSTRUTIVA",OFFSET(A432,-1,0)+1,LARGE(A$3:A352,1))</f>
        <v>#NUM!</v>
      </c>
      <c r="B432" s="762">
        <f t="shared" ca="1" si="53"/>
        <v>4</v>
      </c>
      <c r="C432" s="762">
        <f t="shared" ca="1" si="54"/>
        <v>4</v>
      </c>
      <c r="D432" s="763">
        <f t="shared" ca="1" si="55"/>
        <v>0</v>
      </c>
      <c r="E432" s="763">
        <f t="shared" ca="1" si="56"/>
        <v>2</v>
      </c>
      <c r="G432" s="628"/>
      <c r="H432" s="766" t="s">
        <v>366</v>
      </c>
      <c r="I432" s="629" t="str">
        <f t="shared" ca="1" si="57"/>
        <v>04.004</v>
      </c>
      <c r="J432" s="654" t="s">
        <v>773</v>
      </c>
      <c r="K432" s="630"/>
      <c r="L432" s="631"/>
      <c r="M432" s="631"/>
      <c r="N432" s="646">
        <f>SUM(N433,N437,N439,N443)</f>
        <v>44288.515694999995</v>
      </c>
      <c r="O432" s="767"/>
      <c r="P432" s="632"/>
      <c r="R432" s="742"/>
      <c r="S432" s="742"/>
    </row>
    <row r="433" spans="1:19" s="761" customFormat="1" hidden="1" outlineLevel="2" collapsed="1" x14ac:dyDescent="0.2">
      <c r="A433" s="762" t="e">
        <f ca="1">IF($H433="UNIDADE CONSTRUTIVA",OFFSET(A433,-1,0)+1,LARGE(A$3:A432,1))</f>
        <v>#NUM!</v>
      </c>
      <c r="B433" s="762">
        <f t="shared" ca="1" si="53"/>
        <v>4</v>
      </c>
      <c r="C433" s="762">
        <f t="shared" ca="1" si="54"/>
        <v>4</v>
      </c>
      <c r="D433" s="763">
        <f t="shared" ca="1" si="55"/>
        <v>1</v>
      </c>
      <c r="E433" s="763">
        <f t="shared" ca="1" si="56"/>
        <v>0</v>
      </c>
      <c r="G433" s="628"/>
      <c r="H433" s="766" t="s">
        <v>367</v>
      </c>
      <c r="I433" s="629" t="str">
        <f t="shared" ca="1" si="57"/>
        <v>04.004.001</v>
      </c>
      <c r="J433" s="654" t="s">
        <v>208</v>
      </c>
      <c r="K433" s="630"/>
      <c r="L433" s="631"/>
      <c r="M433" s="631"/>
      <c r="N433" s="646">
        <f>SUM(N434:N436)</f>
        <v>16231.035345</v>
      </c>
      <c r="O433" s="767"/>
      <c r="P433" s="632"/>
      <c r="R433" s="742"/>
      <c r="S433" s="742"/>
    </row>
    <row r="434" spans="1:19" s="761" customFormat="1" ht="33.75" hidden="1" outlineLevel="3" x14ac:dyDescent="0.2">
      <c r="A434" s="762" t="e">
        <f ca="1">IF($H434="UNIDADE CONSTRUTIVA",OFFSET(A434,-1,0)+1,LARGE(A$3:A433,1))</f>
        <v>#NUM!</v>
      </c>
      <c r="B434" s="762">
        <f t="shared" ca="1" si="53"/>
        <v>4</v>
      </c>
      <c r="C434" s="762">
        <f t="shared" ca="1" si="54"/>
        <v>4</v>
      </c>
      <c r="D434" s="763">
        <f t="shared" ca="1" si="55"/>
        <v>1</v>
      </c>
      <c r="E434" s="763">
        <f t="shared" ca="1" si="56"/>
        <v>1</v>
      </c>
      <c r="G434" s="628"/>
      <c r="H434" s="766" t="s">
        <v>368</v>
      </c>
      <c r="I434" s="629" t="str">
        <f t="shared" ca="1" si="57"/>
        <v>04.004.001.001</v>
      </c>
      <c r="J434" s="654" t="s">
        <v>1949</v>
      </c>
      <c r="K434" s="630" t="s">
        <v>1</v>
      </c>
      <c r="L434" s="631">
        <f>ARQ.!C274</f>
        <v>16.18</v>
      </c>
      <c r="M434" s="631">
        <f>VLOOKUP(J434,Preços!$C$7:$F$498,4,FALSE)</f>
        <v>49.014000000000003</v>
      </c>
      <c r="N434" s="646">
        <f>L434*M434</f>
        <v>793.04651999999999</v>
      </c>
      <c r="O434" s="767"/>
      <c r="P434" s="632" t="s">
        <v>333</v>
      </c>
      <c r="R434" s="742"/>
      <c r="S434" s="742"/>
    </row>
    <row r="435" spans="1:19" s="761" customFormat="1" ht="33.75" hidden="1" outlineLevel="3" x14ac:dyDescent="0.2">
      <c r="A435" s="762" t="e">
        <f ca="1">IF($H435="UNIDADE CONSTRUTIVA",OFFSET(A435,-1,0)+1,LARGE(A$3:A434,1))</f>
        <v>#NUM!</v>
      </c>
      <c r="B435" s="762">
        <f t="shared" ca="1" si="53"/>
        <v>4</v>
      </c>
      <c r="C435" s="762">
        <f t="shared" ca="1" si="54"/>
        <v>4</v>
      </c>
      <c r="D435" s="763">
        <f t="shared" ca="1" si="55"/>
        <v>1</v>
      </c>
      <c r="E435" s="763">
        <f t="shared" ca="1" si="56"/>
        <v>2</v>
      </c>
      <c r="G435" s="628"/>
      <c r="H435" s="766" t="s">
        <v>368</v>
      </c>
      <c r="I435" s="629" t="str">
        <f t="shared" ca="1" si="57"/>
        <v>04.004.001.002</v>
      </c>
      <c r="J435" s="654" t="s">
        <v>1947</v>
      </c>
      <c r="K435" s="630" t="s">
        <v>1</v>
      </c>
      <c r="L435" s="631">
        <f>ARQ.!C275</f>
        <v>111.89</v>
      </c>
      <c r="M435" s="631">
        <f>VLOOKUP(J435,Preços!$C$7:$F$498,4,FALSE)</f>
        <v>32.662500000000001</v>
      </c>
      <c r="N435" s="646">
        <f>L435*M435</f>
        <v>3654.607125</v>
      </c>
      <c r="O435" s="767"/>
      <c r="P435" s="632" t="s">
        <v>333</v>
      </c>
      <c r="R435" s="742"/>
      <c r="S435" s="742"/>
    </row>
    <row r="436" spans="1:19" s="761" customFormat="1" ht="33.75" hidden="1" outlineLevel="3" x14ac:dyDescent="0.2">
      <c r="A436" s="762" t="e">
        <f ca="1">IF($H436="UNIDADE CONSTRUTIVA",OFFSET(A436,-1,0)+1,LARGE(A$3:A435,1))</f>
        <v>#NUM!</v>
      </c>
      <c r="B436" s="762">
        <f t="shared" ca="1" si="53"/>
        <v>4</v>
      </c>
      <c r="C436" s="762">
        <f t="shared" ca="1" si="54"/>
        <v>4</v>
      </c>
      <c r="D436" s="763">
        <f t="shared" ca="1" si="55"/>
        <v>1</v>
      </c>
      <c r="E436" s="763">
        <f t="shared" ca="1" si="56"/>
        <v>3</v>
      </c>
      <c r="G436" s="628"/>
      <c r="H436" s="766" t="s">
        <v>368</v>
      </c>
      <c r="I436" s="629" t="str">
        <f t="shared" ca="1" si="57"/>
        <v>04.004.001.003</v>
      </c>
      <c r="J436" s="654" t="s">
        <v>1946</v>
      </c>
      <c r="K436" s="630" t="s">
        <v>1</v>
      </c>
      <c r="L436" s="631">
        <f>ARQ.!C276</f>
        <v>245.82</v>
      </c>
      <c r="M436" s="631">
        <f>VLOOKUP(J436,Preços!$C$7:$F$498,4,FALSE)</f>
        <v>47.935000000000002</v>
      </c>
      <c r="N436" s="646">
        <f>L436*M436</f>
        <v>11783.3817</v>
      </c>
      <c r="O436" s="767"/>
      <c r="P436" s="632" t="s">
        <v>333</v>
      </c>
      <c r="R436" s="742"/>
      <c r="S436" s="742"/>
    </row>
    <row r="437" spans="1:19" s="761" customFormat="1" hidden="1" outlineLevel="2" collapsed="1" x14ac:dyDescent="0.2">
      <c r="A437" s="762" t="e">
        <f ca="1">IF($H437="UNIDADE CONSTRUTIVA",OFFSET(A437,-1,0)+1,LARGE(A$3:A436,1))</f>
        <v>#NUM!</v>
      </c>
      <c r="B437" s="762">
        <f t="shared" ca="1" si="53"/>
        <v>4</v>
      </c>
      <c r="C437" s="762">
        <f t="shared" ca="1" si="54"/>
        <v>4</v>
      </c>
      <c r="D437" s="763">
        <f t="shared" ca="1" si="55"/>
        <v>2</v>
      </c>
      <c r="E437" s="763">
        <f t="shared" ca="1" si="56"/>
        <v>0</v>
      </c>
      <c r="G437" s="628"/>
      <c r="H437" s="766" t="s">
        <v>367</v>
      </c>
      <c r="I437" s="629" t="str">
        <f t="shared" ca="1" si="57"/>
        <v>04.004.002</v>
      </c>
      <c r="J437" s="654" t="s">
        <v>376</v>
      </c>
      <c r="K437" s="630"/>
      <c r="L437" s="631"/>
      <c r="M437" s="631"/>
      <c r="N437" s="646">
        <f>SUM(N438)</f>
        <v>6673.1055999999999</v>
      </c>
      <c r="O437" s="767"/>
      <c r="P437" s="632"/>
      <c r="R437" s="742"/>
      <c r="S437" s="742"/>
    </row>
    <row r="438" spans="1:19" s="761" customFormat="1" ht="22.5" hidden="1" outlineLevel="3" x14ac:dyDescent="0.2">
      <c r="A438" s="762" t="e">
        <f ca="1">IF($H438="UNIDADE CONSTRUTIVA",OFFSET(A438,-1,0)+1,LARGE(A$3:A437,1))</f>
        <v>#NUM!</v>
      </c>
      <c r="B438" s="762">
        <f t="shared" ca="1" si="53"/>
        <v>4</v>
      </c>
      <c r="C438" s="762">
        <f t="shared" ca="1" si="54"/>
        <v>4</v>
      </c>
      <c r="D438" s="763">
        <f t="shared" ca="1" si="55"/>
        <v>2</v>
      </c>
      <c r="E438" s="763">
        <f t="shared" ca="1" si="56"/>
        <v>1</v>
      </c>
      <c r="G438" s="628"/>
      <c r="H438" s="766" t="s">
        <v>368</v>
      </c>
      <c r="I438" s="629" t="str">
        <f t="shared" ca="1" si="57"/>
        <v>04.004.002.001</v>
      </c>
      <c r="J438" s="654" t="s">
        <v>547</v>
      </c>
      <c r="K438" s="630" t="s">
        <v>1</v>
      </c>
      <c r="L438" s="631">
        <f>ARQ.!C278</f>
        <v>76.72</v>
      </c>
      <c r="M438" s="631">
        <f>VLOOKUP(J438,Preços!$C$7:$F$498,4,FALSE)</f>
        <v>86.98</v>
      </c>
      <c r="N438" s="646">
        <f>L438*M438</f>
        <v>6673.1055999999999</v>
      </c>
      <c r="O438" s="767"/>
      <c r="P438" s="632" t="s">
        <v>333</v>
      </c>
      <c r="R438" s="742"/>
      <c r="S438" s="742"/>
    </row>
    <row r="439" spans="1:19" s="761" customFormat="1" hidden="1" outlineLevel="2" collapsed="1" x14ac:dyDescent="0.2">
      <c r="A439" s="762" t="e">
        <f ca="1">IF($H439="UNIDADE CONSTRUTIVA",OFFSET(A439,-1,0)+1,LARGE(A$3:A438,1))</f>
        <v>#NUM!</v>
      </c>
      <c r="B439" s="762">
        <f t="shared" ca="1" si="53"/>
        <v>4</v>
      </c>
      <c r="C439" s="762">
        <f t="shared" ca="1" si="54"/>
        <v>4</v>
      </c>
      <c r="D439" s="763">
        <f t="shared" ca="1" si="55"/>
        <v>3</v>
      </c>
      <c r="E439" s="763">
        <f t="shared" ca="1" si="56"/>
        <v>0</v>
      </c>
      <c r="G439" s="628"/>
      <c r="H439" s="766" t="s">
        <v>367</v>
      </c>
      <c r="I439" s="629" t="str">
        <f t="shared" ca="1" si="57"/>
        <v>04.004.003</v>
      </c>
      <c r="J439" s="654" t="s">
        <v>209</v>
      </c>
      <c r="K439" s="630"/>
      <c r="L439" s="631"/>
      <c r="M439" s="631"/>
      <c r="N439" s="646">
        <f>SUM(N440:N442)</f>
        <v>5910.1947499999997</v>
      </c>
      <c r="O439" s="767"/>
      <c r="P439" s="632"/>
      <c r="R439" s="742"/>
      <c r="S439" s="742"/>
    </row>
    <row r="440" spans="1:19" s="761" customFormat="1" ht="22.5" hidden="1" outlineLevel="3" x14ac:dyDescent="0.2">
      <c r="A440" s="762" t="e">
        <f ca="1">IF($H440="UNIDADE CONSTRUTIVA",OFFSET(A440,-1,0)+1,LARGE(A$3:A441,1))</f>
        <v>#NUM!</v>
      </c>
      <c r="B440" s="762">
        <f t="shared" ca="1" si="53"/>
        <v>4</v>
      </c>
      <c r="C440" s="762">
        <f t="shared" ca="1" si="54"/>
        <v>4</v>
      </c>
      <c r="D440" s="763">
        <f t="shared" ca="1" si="55"/>
        <v>3</v>
      </c>
      <c r="E440" s="763">
        <f t="shared" ca="1" si="56"/>
        <v>1</v>
      </c>
      <c r="G440" s="628"/>
      <c r="H440" s="766" t="s">
        <v>368</v>
      </c>
      <c r="I440" s="629" t="str">
        <f t="shared" ca="1" si="57"/>
        <v>04.004.003.001</v>
      </c>
      <c r="J440" s="654" t="s">
        <v>969</v>
      </c>
      <c r="K440" s="630" t="s">
        <v>3</v>
      </c>
      <c r="L440" s="631">
        <f>ARQ.!C280</f>
        <v>166.78</v>
      </c>
      <c r="M440" s="631">
        <f>VLOOKUP(J440,Preços!$C$7:$F$498,4,FALSE)</f>
        <v>15.04</v>
      </c>
      <c r="N440" s="646">
        <f>L440*M440</f>
        <v>2508.3712</v>
      </c>
      <c r="O440" s="767"/>
      <c r="P440" s="632" t="s">
        <v>333</v>
      </c>
      <c r="R440" s="742"/>
      <c r="S440" s="742"/>
    </row>
    <row r="441" spans="1:19" s="761" customFormat="1" ht="22.5" hidden="1" outlineLevel="3" x14ac:dyDescent="0.2">
      <c r="A441" s="762" t="e">
        <f ca="1">IF($H441="UNIDADE CONSTRUTIVA",OFFSET(A441,-1,0)+1,LARGE(A$3:A439,1))</f>
        <v>#NUM!</v>
      </c>
      <c r="B441" s="762">
        <f t="shared" ca="1" si="53"/>
        <v>4</v>
      </c>
      <c r="C441" s="762">
        <f t="shared" ca="1" si="54"/>
        <v>4</v>
      </c>
      <c r="D441" s="763">
        <f t="shared" ca="1" si="55"/>
        <v>3</v>
      </c>
      <c r="E441" s="763">
        <f t="shared" ca="1" si="56"/>
        <v>2</v>
      </c>
      <c r="G441" s="628"/>
      <c r="H441" s="766" t="s">
        <v>368</v>
      </c>
      <c r="I441" s="629" t="str">
        <f t="shared" ca="1" si="57"/>
        <v>04.004.003.002</v>
      </c>
      <c r="J441" s="654" t="s">
        <v>210</v>
      </c>
      <c r="K441" s="630" t="s">
        <v>2</v>
      </c>
      <c r="L441" s="631">
        <f>ARQ.!C281</f>
        <v>226</v>
      </c>
      <c r="M441" s="631">
        <f>VLOOKUP(J441,Preços!$C$7:$F$498,4,FALSE)</f>
        <v>3.3159999999999998</v>
      </c>
      <c r="N441" s="646">
        <f>L441*M441</f>
        <v>749.41599999999994</v>
      </c>
      <c r="O441" s="767"/>
      <c r="P441" s="632" t="s">
        <v>333</v>
      </c>
      <c r="R441" s="742"/>
      <c r="S441" s="742"/>
    </row>
    <row r="442" spans="1:19" s="761" customFormat="1" ht="22.5" hidden="1" outlineLevel="3" x14ac:dyDescent="0.2">
      <c r="A442" s="762" t="e">
        <f ca="1">IF($H442="UNIDADE CONSTRUTIVA",OFFSET(A442,-1,0)+1,LARGE(A$3:A441,1))</f>
        <v>#NUM!</v>
      </c>
      <c r="B442" s="762">
        <f t="shared" ca="1" si="53"/>
        <v>4</v>
      </c>
      <c r="C442" s="762">
        <f t="shared" ca="1" si="54"/>
        <v>4</v>
      </c>
      <c r="D442" s="763">
        <f t="shared" ca="1" si="55"/>
        <v>3</v>
      </c>
      <c r="E442" s="763">
        <f t="shared" ca="1" si="56"/>
        <v>3</v>
      </c>
      <c r="G442" s="628"/>
      <c r="H442" s="766" t="s">
        <v>368</v>
      </c>
      <c r="I442" s="629" t="str">
        <f t="shared" ca="1" si="57"/>
        <v>04.004.003.003</v>
      </c>
      <c r="J442" s="654" t="s">
        <v>1023</v>
      </c>
      <c r="K442" s="630" t="s">
        <v>3</v>
      </c>
      <c r="L442" s="631">
        <f>ARQ.!C282</f>
        <v>58.5</v>
      </c>
      <c r="M442" s="631">
        <f>VLOOKUP(J442,Preços!$C$7:$F$498,4,FALSE)</f>
        <v>45.340299999999999</v>
      </c>
      <c r="N442" s="646">
        <f>L442*M442</f>
        <v>2652.4075499999999</v>
      </c>
      <c r="O442" s="767"/>
      <c r="P442" s="632" t="s">
        <v>333</v>
      </c>
      <c r="R442" s="742"/>
      <c r="S442" s="742"/>
    </row>
    <row r="443" spans="1:19" s="761" customFormat="1" hidden="1" outlineLevel="2" collapsed="1" x14ac:dyDescent="0.2">
      <c r="A443" s="762" t="e">
        <f ca="1">IF($H443="UNIDADE CONSTRUTIVA",OFFSET(A443,-1,0)+1,LARGE(A$3:A442,1))</f>
        <v>#NUM!</v>
      </c>
      <c r="B443" s="762">
        <f t="shared" ca="1" si="53"/>
        <v>4</v>
      </c>
      <c r="C443" s="762">
        <f t="shared" ca="1" si="54"/>
        <v>4</v>
      </c>
      <c r="D443" s="763">
        <f t="shared" ca="1" si="55"/>
        <v>4</v>
      </c>
      <c r="E443" s="763">
        <f t="shared" ca="1" si="56"/>
        <v>0</v>
      </c>
      <c r="G443" s="628"/>
      <c r="H443" s="766" t="s">
        <v>367</v>
      </c>
      <c r="I443" s="629" t="str">
        <f t="shared" ca="1" si="57"/>
        <v>04.004.004</v>
      </c>
      <c r="J443" s="654" t="s">
        <v>211</v>
      </c>
      <c r="K443" s="630"/>
      <c r="L443" s="631"/>
      <c r="M443" s="631"/>
      <c r="N443" s="646">
        <f>SUM(N444:N445)</f>
        <v>15474.18</v>
      </c>
      <c r="O443" s="767"/>
      <c r="P443" s="632"/>
      <c r="R443" s="742"/>
      <c r="S443" s="742"/>
    </row>
    <row r="444" spans="1:19" s="761" customFormat="1" ht="22.5" hidden="1" outlineLevel="2" x14ac:dyDescent="0.2">
      <c r="A444" s="762" t="e">
        <f ca="1">IF($H444="UNIDADE CONSTRUTIVA",OFFSET(A444,-1,0)+1,LARGE(A$3:A443,1))</f>
        <v>#NUM!</v>
      </c>
      <c r="B444" s="762">
        <f t="shared" ca="1" si="53"/>
        <v>4</v>
      </c>
      <c r="C444" s="762">
        <f t="shared" ca="1" si="54"/>
        <v>4</v>
      </c>
      <c r="D444" s="763">
        <f t="shared" ca="1" si="55"/>
        <v>4</v>
      </c>
      <c r="E444" s="763">
        <f t="shared" ca="1" si="56"/>
        <v>1</v>
      </c>
      <c r="G444" s="628"/>
      <c r="H444" s="766" t="s">
        <v>368</v>
      </c>
      <c r="I444" s="629" t="str">
        <f t="shared" ca="1" si="57"/>
        <v>04.004.004.001</v>
      </c>
      <c r="J444" s="654" t="s">
        <v>971</v>
      </c>
      <c r="K444" s="630" t="s">
        <v>1</v>
      </c>
      <c r="L444" s="631">
        <f>SUM(L434:L436)</f>
        <v>373.89</v>
      </c>
      <c r="M444" s="631">
        <f>VLOOKUP(J444,Preços!$C$7:$F$498,4,FALSE)</f>
        <v>34</v>
      </c>
      <c r="N444" s="646">
        <f>L444*M444</f>
        <v>12712.26</v>
      </c>
      <c r="O444" s="767"/>
      <c r="P444" s="632" t="s">
        <v>333</v>
      </c>
      <c r="R444" s="742"/>
      <c r="S444" s="742"/>
    </row>
    <row r="445" spans="1:19" s="761" customFormat="1" ht="22.5" hidden="1" outlineLevel="2" x14ac:dyDescent="0.2">
      <c r="A445" s="762" t="e">
        <f ca="1">IF($H445="UNIDADE CONSTRUTIVA",OFFSET(A445,-1,0)+1,LARGE(A$3:A444,1))</f>
        <v>#NUM!</v>
      </c>
      <c r="B445" s="762">
        <f t="shared" ca="1" si="53"/>
        <v>4</v>
      </c>
      <c r="C445" s="762">
        <f t="shared" ca="1" si="54"/>
        <v>4</v>
      </c>
      <c r="D445" s="763">
        <f t="shared" ca="1" si="55"/>
        <v>4</v>
      </c>
      <c r="E445" s="763">
        <f t="shared" ca="1" si="56"/>
        <v>2</v>
      </c>
      <c r="G445" s="628"/>
      <c r="H445" s="766" t="s">
        <v>368</v>
      </c>
      <c r="I445" s="629" t="str">
        <f t="shared" ca="1" si="57"/>
        <v>04.004.004.002</v>
      </c>
      <c r="J445" s="654" t="s">
        <v>970</v>
      </c>
      <c r="K445" s="630" t="s">
        <v>1</v>
      </c>
      <c r="L445" s="631">
        <f>SUM(L438:L438)</f>
        <v>76.72</v>
      </c>
      <c r="M445" s="631">
        <f>VLOOKUP(J445,Preços!$C$7:$F$498,4,FALSE)</f>
        <v>36</v>
      </c>
      <c r="N445" s="646">
        <f>L445*M445</f>
        <v>2761.92</v>
      </c>
      <c r="O445" s="767"/>
      <c r="P445" s="632" t="s">
        <v>333</v>
      </c>
      <c r="R445" s="742"/>
      <c r="S445" s="742"/>
    </row>
    <row r="446" spans="1:19" s="761" customFormat="1" hidden="1" outlineLevel="1" collapsed="1" x14ac:dyDescent="0.2">
      <c r="A446" s="762" t="e">
        <f ca="1">IF($H446="UNIDADE CONSTRUTIVA",OFFSET(A446,-1,0)+1,LARGE(A$3:A360,1))</f>
        <v>#NUM!</v>
      </c>
      <c r="B446" s="762">
        <f t="shared" ref="B446:B452" ca="1" si="58">IF(H446="UNIDADE CONSTRUTIVA",0,IF(H446="CÉLULA CONSTRUTIVA",OFFSET(B446,-1,0)+1,OFFSET(B446,-1,0)))</f>
        <v>4</v>
      </c>
      <c r="C446" s="762">
        <f t="shared" ref="C446:C452" ca="1" si="59">IF(H446="CÉLULA CONSTRUTIVA",0,IF(H446="ETAPA",OFFSET(C446,-1,0)+1,OFFSET(C446,-1,0)))</f>
        <v>5</v>
      </c>
      <c r="D446" s="763">
        <f t="shared" ref="D446:D452" ca="1" si="60">IF(H446="ETAPA",0,IF(H446="SUBETAPA",OFFSET(D446,-1,0)+1,OFFSET(D446,-1,0)))</f>
        <v>0</v>
      </c>
      <c r="E446" s="763">
        <f t="shared" ref="E446:E452" ca="1" si="61">IF(H446="Subetapa",0,IF(H446="serviço",OFFSET(E446,-1,0)+1,OFFSET(E446,-1,0)))</f>
        <v>2</v>
      </c>
      <c r="G446" s="628"/>
      <c r="H446" s="766" t="s">
        <v>366</v>
      </c>
      <c r="I446" s="629" t="str">
        <f t="shared" ref="I446:I452" ca="1" si="62">IF(H446="Unidade Construtiva",TEXT(A446,"00"),IF(H446="Célula Construtiva",TEXT(B446,"00"),IF(H446="Etapa",CONCATENATE(TEXT(B446,"00"),".",TEXT(C446,"000")),IF(H446="Subetapa",CONCATENATE(TEXT(B446,"00"),".",TEXT(C446,"000"),".",TEXT(D446,"000")),IF(H446="Serviço",CONCATENATE(TEXT(B446,"00"),".",TEXT(C446,"000"),".",TEXT(D446,"000"),".",TEXT(E446,"000")),"")))))</f>
        <v>04.005</v>
      </c>
      <c r="J446" s="654" t="s">
        <v>774</v>
      </c>
      <c r="K446" s="630"/>
      <c r="L446" s="631"/>
      <c r="M446" s="631"/>
      <c r="N446" s="646">
        <f>SUM(N447,N450,N452,N456)</f>
        <v>49072.077965000004</v>
      </c>
      <c r="O446" s="767"/>
      <c r="P446" s="632"/>
      <c r="R446" s="742"/>
      <c r="S446" s="742"/>
    </row>
    <row r="447" spans="1:19" s="761" customFormat="1" hidden="1" outlineLevel="2" collapsed="1" x14ac:dyDescent="0.2">
      <c r="A447" s="762" t="e">
        <f ca="1">IF($H447="UNIDADE CONSTRUTIVA",OFFSET(A447,-1,0)+1,LARGE(A$3:A446,1))</f>
        <v>#NUM!</v>
      </c>
      <c r="B447" s="762">
        <f t="shared" ca="1" si="58"/>
        <v>4</v>
      </c>
      <c r="C447" s="762">
        <f t="shared" ca="1" si="59"/>
        <v>5</v>
      </c>
      <c r="D447" s="763">
        <f t="shared" ca="1" si="60"/>
        <v>1</v>
      </c>
      <c r="E447" s="763">
        <f t="shared" ca="1" si="61"/>
        <v>0</v>
      </c>
      <c r="G447" s="628"/>
      <c r="H447" s="766" t="s">
        <v>367</v>
      </c>
      <c r="I447" s="629" t="str">
        <f t="shared" ca="1" si="62"/>
        <v>04.005.001</v>
      </c>
      <c r="J447" s="654" t="s">
        <v>208</v>
      </c>
      <c r="K447" s="630"/>
      <c r="L447" s="631"/>
      <c r="M447" s="631"/>
      <c r="N447" s="646">
        <f>SUM(N448:N449)</f>
        <v>16514.399450000001</v>
      </c>
      <c r="O447" s="767"/>
      <c r="P447" s="632"/>
      <c r="R447" s="742"/>
      <c r="S447" s="742"/>
    </row>
    <row r="448" spans="1:19" s="761" customFormat="1" ht="33.75" hidden="1" outlineLevel="3" x14ac:dyDescent="0.2">
      <c r="A448" s="762" t="e">
        <f ca="1">IF($H448="UNIDADE CONSTRUTIVA",OFFSET(A448,-1,0)+1,LARGE(A$3:A447,1))</f>
        <v>#NUM!</v>
      </c>
      <c r="B448" s="762">
        <f t="shared" ca="1" si="58"/>
        <v>4</v>
      </c>
      <c r="C448" s="762">
        <f t="shared" ca="1" si="59"/>
        <v>5</v>
      </c>
      <c r="D448" s="763">
        <f t="shared" ca="1" si="60"/>
        <v>1</v>
      </c>
      <c r="E448" s="763">
        <f t="shared" ca="1" si="61"/>
        <v>1</v>
      </c>
      <c r="G448" s="628"/>
      <c r="H448" s="766" t="s">
        <v>368</v>
      </c>
      <c r="I448" s="629" t="str">
        <f t="shared" ca="1" si="62"/>
        <v>04.005.001.001</v>
      </c>
      <c r="J448" s="654" t="s">
        <v>1947</v>
      </c>
      <c r="K448" s="630" t="s">
        <v>1</v>
      </c>
      <c r="L448" s="631">
        <f>ARQ.!C348</f>
        <v>189.24</v>
      </c>
      <c r="M448" s="631">
        <f>VLOOKUP(J448,Preços!$C$7:$F$498,4,FALSE)</f>
        <v>32.662500000000001</v>
      </c>
      <c r="N448" s="646">
        <f>L448*M448</f>
        <v>6181.0515000000005</v>
      </c>
      <c r="O448" s="767"/>
      <c r="P448" s="632" t="s">
        <v>333</v>
      </c>
      <c r="R448" s="742"/>
      <c r="S448" s="742"/>
    </row>
    <row r="449" spans="1:19" s="761" customFormat="1" ht="33.75" hidden="1" outlineLevel="3" x14ac:dyDescent="0.2">
      <c r="A449" s="762" t="e">
        <f ca="1">IF($H449="UNIDADE CONSTRUTIVA",OFFSET(A449,-1,0)+1,LARGE(A$3:A448,1))</f>
        <v>#NUM!</v>
      </c>
      <c r="B449" s="762">
        <f t="shared" ca="1" si="58"/>
        <v>4</v>
      </c>
      <c r="C449" s="762">
        <f t="shared" ca="1" si="59"/>
        <v>5</v>
      </c>
      <c r="D449" s="763">
        <f t="shared" ca="1" si="60"/>
        <v>1</v>
      </c>
      <c r="E449" s="763">
        <f t="shared" ca="1" si="61"/>
        <v>2</v>
      </c>
      <c r="G449" s="628"/>
      <c r="H449" s="766" t="s">
        <v>368</v>
      </c>
      <c r="I449" s="629" t="str">
        <f t="shared" ca="1" si="62"/>
        <v>04.005.001.002</v>
      </c>
      <c r="J449" s="654" t="s">
        <v>1946</v>
      </c>
      <c r="K449" s="630" t="s">
        <v>1</v>
      </c>
      <c r="L449" s="631">
        <f>ARQ.!C349</f>
        <v>215.57</v>
      </c>
      <c r="M449" s="631">
        <f>VLOOKUP(J449,Preços!$C$7:$F$498,4,FALSE)</f>
        <v>47.935000000000002</v>
      </c>
      <c r="N449" s="646">
        <f>L449*M449</f>
        <v>10333.347949999999</v>
      </c>
      <c r="O449" s="767"/>
      <c r="P449" s="632" t="s">
        <v>333</v>
      </c>
      <c r="R449" s="742"/>
      <c r="S449" s="742"/>
    </row>
    <row r="450" spans="1:19" s="761" customFormat="1" hidden="1" outlineLevel="2" collapsed="1" x14ac:dyDescent="0.2">
      <c r="A450" s="762" t="e">
        <f ca="1">IF($H450="UNIDADE CONSTRUTIVA",OFFSET(A450,-1,0)+1,LARGE(A$3:A449,1))</f>
        <v>#NUM!</v>
      </c>
      <c r="B450" s="762">
        <f t="shared" ca="1" si="58"/>
        <v>4</v>
      </c>
      <c r="C450" s="762">
        <f t="shared" ca="1" si="59"/>
        <v>5</v>
      </c>
      <c r="D450" s="763">
        <f t="shared" ca="1" si="60"/>
        <v>2</v>
      </c>
      <c r="E450" s="763">
        <f t="shared" ca="1" si="61"/>
        <v>0</v>
      </c>
      <c r="G450" s="628"/>
      <c r="H450" s="766" t="s">
        <v>367</v>
      </c>
      <c r="I450" s="629" t="str">
        <f t="shared" ca="1" si="62"/>
        <v>04.005.002</v>
      </c>
      <c r="J450" s="654" t="s">
        <v>376</v>
      </c>
      <c r="K450" s="630"/>
      <c r="L450" s="631"/>
      <c r="M450" s="631"/>
      <c r="N450" s="646">
        <f>SUM(N451)</f>
        <v>8808.4645999999993</v>
      </c>
      <c r="O450" s="767"/>
      <c r="P450" s="632"/>
      <c r="R450" s="742"/>
      <c r="S450" s="742"/>
    </row>
    <row r="451" spans="1:19" s="761" customFormat="1" ht="22.5" hidden="1" outlineLevel="3" x14ac:dyDescent="0.2">
      <c r="A451" s="762" t="e">
        <f ca="1">IF($H451="UNIDADE CONSTRUTIVA",OFFSET(A451,-1,0)+1,LARGE(A$3:A450,1))</f>
        <v>#NUM!</v>
      </c>
      <c r="B451" s="762">
        <f t="shared" ca="1" si="58"/>
        <v>4</v>
      </c>
      <c r="C451" s="762">
        <f t="shared" ca="1" si="59"/>
        <v>5</v>
      </c>
      <c r="D451" s="763">
        <f t="shared" ca="1" si="60"/>
        <v>2</v>
      </c>
      <c r="E451" s="763">
        <f t="shared" ca="1" si="61"/>
        <v>1</v>
      </c>
      <c r="G451" s="628"/>
      <c r="H451" s="766" t="s">
        <v>368</v>
      </c>
      <c r="I451" s="629" t="str">
        <f t="shared" ca="1" si="62"/>
        <v>04.005.002.001</v>
      </c>
      <c r="J451" s="654" t="s">
        <v>547</v>
      </c>
      <c r="K451" s="630" t="s">
        <v>1</v>
      </c>
      <c r="L451" s="631">
        <f>ARQ.!C351</f>
        <v>101.27</v>
      </c>
      <c r="M451" s="631">
        <f>VLOOKUP(J451,Preços!$C$7:$F$498,4,FALSE)</f>
        <v>86.98</v>
      </c>
      <c r="N451" s="646">
        <f>L451*M451</f>
        <v>8808.4645999999993</v>
      </c>
      <c r="O451" s="767"/>
      <c r="P451" s="632" t="s">
        <v>333</v>
      </c>
      <c r="R451" s="742"/>
      <c r="S451" s="742"/>
    </row>
    <row r="452" spans="1:19" s="761" customFormat="1" hidden="1" outlineLevel="2" collapsed="1" x14ac:dyDescent="0.2">
      <c r="A452" s="762" t="e">
        <f ca="1">IF($H452="UNIDADE CONSTRUTIVA",OFFSET(A452,-1,0)+1,LARGE(A$3:A451,1))</f>
        <v>#NUM!</v>
      </c>
      <c r="B452" s="762">
        <f t="shared" ca="1" si="58"/>
        <v>4</v>
      </c>
      <c r="C452" s="762">
        <f t="shared" ca="1" si="59"/>
        <v>5</v>
      </c>
      <c r="D452" s="763">
        <f t="shared" ca="1" si="60"/>
        <v>3</v>
      </c>
      <c r="E452" s="763">
        <f t="shared" ca="1" si="61"/>
        <v>0</v>
      </c>
      <c r="G452" s="628"/>
      <c r="H452" s="766" t="s">
        <v>367</v>
      </c>
      <c r="I452" s="629" t="str">
        <f t="shared" ca="1" si="62"/>
        <v>04.005.003</v>
      </c>
      <c r="J452" s="654" t="s">
        <v>209</v>
      </c>
      <c r="K452" s="630"/>
      <c r="L452" s="631"/>
      <c r="M452" s="631"/>
      <c r="N452" s="646">
        <f>SUM(N453:N455)</f>
        <v>6339.9539150000001</v>
      </c>
      <c r="O452" s="767"/>
      <c r="P452" s="632"/>
      <c r="R452" s="742"/>
      <c r="S452" s="742"/>
    </row>
    <row r="453" spans="1:19" s="761" customFormat="1" ht="22.5" hidden="1" outlineLevel="3" x14ac:dyDescent="0.2">
      <c r="A453" s="762" t="e">
        <f ca="1">IF($H453="UNIDADE CONSTRUTIVA",OFFSET(A453,-1,0)+1,LARGE(A$3:A454,1))</f>
        <v>#NUM!</v>
      </c>
      <c r="B453" s="762">
        <f t="shared" ref="B453:B473" ca="1" si="63">IF(H453="UNIDADE CONSTRUTIVA",0,IF(H453="CÉLULA CONSTRUTIVA",OFFSET(B453,-1,0)+1,OFFSET(B453,-1,0)))</f>
        <v>4</v>
      </c>
      <c r="C453" s="762">
        <f t="shared" ref="C453:C473" ca="1" si="64">IF(H453="CÉLULA CONSTRUTIVA",0,IF(H453="ETAPA",OFFSET(C453,-1,0)+1,OFFSET(C453,-1,0)))</f>
        <v>5</v>
      </c>
      <c r="D453" s="763">
        <f t="shared" ref="D453:D473" ca="1" si="65">IF(H453="ETAPA",0,IF(H453="SUBETAPA",OFFSET(D453,-1,0)+1,OFFSET(D453,-1,0)))</f>
        <v>3</v>
      </c>
      <c r="E453" s="763">
        <f t="shared" ref="E453:E473" ca="1" si="66">IF(H453="Subetapa",0,IF(H453="serviço",OFFSET(E453,-1,0)+1,OFFSET(E453,-1,0)))</f>
        <v>1</v>
      </c>
      <c r="G453" s="628"/>
      <c r="H453" s="766" t="s">
        <v>368</v>
      </c>
      <c r="I453" s="629" t="str">
        <f t="shared" ref="I453:I473" ca="1" si="67">IF(H453="Unidade Construtiva",TEXT(A453,"00"),IF(H453="Célula Construtiva",TEXT(B453,"00"),IF(H453="Etapa",CONCATENATE(TEXT(B453,"00"),".",TEXT(C453,"000")),IF(H453="Subetapa",CONCATENATE(TEXT(B453,"00"),".",TEXT(C453,"000"),".",TEXT(D453,"000")),IF(H453="Serviço",CONCATENATE(TEXT(B453,"00"),".",TEXT(C453,"000"),".",TEXT(D453,"000"),".",TEXT(E453,"000")),"")))))</f>
        <v>04.005.003.001</v>
      </c>
      <c r="J453" s="654" t="s">
        <v>969</v>
      </c>
      <c r="K453" s="630" t="s">
        <v>3</v>
      </c>
      <c r="L453" s="631">
        <f>ARQ.!C353</f>
        <v>127.23</v>
      </c>
      <c r="M453" s="631">
        <f>VLOOKUP(J453,Preços!$C$7:$F$498,4,FALSE)</f>
        <v>15.04</v>
      </c>
      <c r="N453" s="646">
        <f>L453*M453</f>
        <v>1913.5391999999999</v>
      </c>
      <c r="O453" s="767"/>
      <c r="P453" s="632" t="s">
        <v>333</v>
      </c>
      <c r="R453" s="742"/>
      <c r="S453" s="742"/>
    </row>
    <row r="454" spans="1:19" s="761" customFormat="1" ht="22.5" hidden="1" outlineLevel="3" x14ac:dyDescent="0.2">
      <c r="A454" s="762" t="e">
        <f ca="1">IF($H454="UNIDADE CONSTRUTIVA",OFFSET(A454,-1,0)+1,LARGE(A$3:A452,1))</f>
        <v>#NUM!</v>
      </c>
      <c r="B454" s="762">
        <f t="shared" ca="1" si="63"/>
        <v>4</v>
      </c>
      <c r="C454" s="762">
        <f t="shared" ca="1" si="64"/>
        <v>5</v>
      </c>
      <c r="D454" s="763">
        <f t="shared" ca="1" si="65"/>
        <v>3</v>
      </c>
      <c r="E454" s="763">
        <f t="shared" ca="1" si="66"/>
        <v>2</v>
      </c>
      <c r="G454" s="628"/>
      <c r="H454" s="766" t="s">
        <v>368</v>
      </c>
      <c r="I454" s="629" t="str">
        <f t="shared" ca="1" si="67"/>
        <v>04.005.003.002</v>
      </c>
      <c r="J454" s="654" t="s">
        <v>210</v>
      </c>
      <c r="K454" s="630" t="s">
        <v>2</v>
      </c>
      <c r="L454" s="631">
        <f>ARQ.!C354</f>
        <v>254</v>
      </c>
      <c r="M454" s="631">
        <f>VLOOKUP(J454,Preços!$C$7:$F$498,4,FALSE)</f>
        <v>3.3159999999999998</v>
      </c>
      <c r="N454" s="646">
        <f>L454*M454</f>
        <v>842.26400000000001</v>
      </c>
      <c r="O454" s="767"/>
      <c r="P454" s="632" t="s">
        <v>333</v>
      </c>
      <c r="R454" s="742"/>
      <c r="S454" s="742"/>
    </row>
    <row r="455" spans="1:19" s="761" customFormat="1" ht="22.5" hidden="1" outlineLevel="3" x14ac:dyDescent="0.2">
      <c r="A455" s="762" t="e">
        <f ca="1">IF($H455="UNIDADE CONSTRUTIVA",OFFSET(A455,-1,0)+1,LARGE(A$3:A454,1))</f>
        <v>#NUM!</v>
      </c>
      <c r="B455" s="762">
        <f t="shared" ca="1" si="63"/>
        <v>4</v>
      </c>
      <c r="C455" s="762">
        <f t="shared" ca="1" si="64"/>
        <v>5</v>
      </c>
      <c r="D455" s="763">
        <f t="shared" ca="1" si="65"/>
        <v>3</v>
      </c>
      <c r="E455" s="763">
        <f t="shared" ca="1" si="66"/>
        <v>3</v>
      </c>
      <c r="G455" s="628"/>
      <c r="H455" s="766" t="s">
        <v>368</v>
      </c>
      <c r="I455" s="629" t="str">
        <f t="shared" ca="1" si="67"/>
        <v>04.005.003.003</v>
      </c>
      <c r="J455" s="654" t="s">
        <v>1023</v>
      </c>
      <c r="K455" s="630" t="s">
        <v>3</v>
      </c>
      <c r="L455" s="631">
        <f>ARQ.!C355</f>
        <v>79.05</v>
      </c>
      <c r="M455" s="631">
        <f>VLOOKUP(J455,Preços!$C$7:$F$498,4,FALSE)</f>
        <v>45.340299999999999</v>
      </c>
      <c r="N455" s="646">
        <f>L455*M455</f>
        <v>3584.1507149999998</v>
      </c>
      <c r="O455" s="767"/>
      <c r="P455" s="632" t="s">
        <v>333</v>
      </c>
      <c r="R455" s="742"/>
      <c r="S455" s="742"/>
    </row>
    <row r="456" spans="1:19" s="761" customFormat="1" hidden="1" outlineLevel="2" collapsed="1" x14ac:dyDescent="0.2">
      <c r="A456" s="762" t="e">
        <f ca="1">IF($H456="UNIDADE CONSTRUTIVA",OFFSET(A456,-1,0)+1,LARGE(A$3:A455,1))</f>
        <v>#NUM!</v>
      </c>
      <c r="B456" s="762">
        <f t="shared" ca="1" si="63"/>
        <v>4</v>
      </c>
      <c r="C456" s="762">
        <f t="shared" ca="1" si="64"/>
        <v>5</v>
      </c>
      <c r="D456" s="763">
        <f t="shared" ca="1" si="65"/>
        <v>4</v>
      </c>
      <c r="E456" s="763">
        <f t="shared" ca="1" si="66"/>
        <v>0</v>
      </c>
      <c r="G456" s="628"/>
      <c r="H456" s="766" t="s">
        <v>367</v>
      </c>
      <c r="I456" s="629" t="str">
        <f t="shared" ca="1" si="67"/>
        <v>04.005.004</v>
      </c>
      <c r="J456" s="654" t="s">
        <v>211</v>
      </c>
      <c r="K456" s="630"/>
      <c r="L456" s="631"/>
      <c r="M456" s="631"/>
      <c r="N456" s="646">
        <f>SUM(N457:N458)</f>
        <v>17409.260000000002</v>
      </c>
      <c r="O456" s="767"/>
      <c r="P456" s="632"/>
      <c r="R456" s="742"/>
      <c r="S456" s="742"/>
    </row>
    <row r="457" spans="1:19" s="761" customFormat="1" ht="22.5" hidden="1" outlineLevel="2" x14ac:dyDescent="0.2">
      <c r="A457" s="762" t="e">
        <f ca="1">IF($H457="UNIDADE CONSTRUTIVA",OFFSET(A457,-1,0)+1,LARGE(A$3:A456,1))</f>
        <v>#NUM!</v>
      </c>
      <c r="B457" s="762">
        <f t="shared" ca="1" si="63"/>
        <v>4</v>
      </c>
      <c r="C457" s="762">
        <f t="shared" ca="1" si="64"/>
        <v>5</v>
      </c>
      <c r="D457" s="763">
        <f t="shared" ca="1" si="65"/>
        <v>4</v>
      </c>
      <c r="E457" s="763">
        <f t="shared" ca="1" si="66"/>
        <v>1</v>
      </c>
      <c r="G457" s="628"/>
      <c r="H457" s="766" t="s">
        <v>368</v>
      </c>
      <c r="I457" s="629" t="str">
        <f t="shared" ca="1" si="67"/>
        <v>04.005.004.001</v>
      </c>
      <c r="J457" s="654" t="s">
        <v>971</v>
      </c>
      <c r="K457" s="630" t="s">
        <v>1</v>
      </c>
      <c r="L457" s="631">
        <f>SUM(L448:L449)</f>
        <v>404.81</v>
      </c>
      <c r="M457" s="631">
        <f>VLOOKUP(J457,Preços!$C$7:$F$498,4,FALSE)</f>
        <v>34</v>
      </c>
      <c r="N457" s="646">
        <f>L457*M457</f>
        <v>13763.54</v>
      </c>
      <c r="O457" s="767"/>
      <c r="P457" s="632" t="s">
        <v>333</v>
      </c>
      <c r="R457" s="742"/>
      <c r="S457" s="742"/>
    </row>
    <row r="458" spans="1:19" s="761" customFormat="1" ht="22.5" hidden="1" outlineLevel="2" x14ac:dyDescent="0.2">
      <c r="A458" s="762" t="e">
        <f ca="1">IF($H458="UNIDADE CONSTRUTIVA",OFFSET(A458,-1,0)+1,LARGE(A$3:A457,1))</f>
        <v>#NUM!</v>
      </c>
      <c r="B458" s="762">
        <f t="shared" ca="1" si="63"/>
        <v>4</v>
      </c>
      <c r="C458" s="762">
        <f t="shared" ca="1" si="64"/>
        <v>5</v>
      </c>
      <c r="D458" s="763">
        <f t="shared" ca="1" si="65"/>
        <v>4</v>
      </c>
      <c r="E458" s="763">
        <f t="shared" ca="1" si="66"/>
        <v>2</v>
      </c>
      <c r="G458" s="628"/>
      <c r="H458" s="766" t="s">
        <v>368</v>
      </c>
      <c r="I458" s="629" t="str">
        <f t="shared" ca="1" si="67"/>
        <v>04.005.004.002</v>
      </c>
      <c r="J458" s="654" t="s">
        <v>970</v>
      </c>
      <c r="K458" s="630" t="s">
        <v>1</v>
      </c>
      <c r="L458" s="631">
        <f>SUM(L451:L451)</f>
        <v>101.27</v>
      </c>
      <c r="M458" s="631">
        <f>VLOOKUP(J458,Preços!$C$7:$F$498,4,FALSE)</f>
        <v>36</v>
      </c>
      <c r="N458" s="646">
        <f>L458*M458</f>
        <v>3645.72</v>
      </c>
      <c r="O458" s="767"/>
      <c r="P458" s="632" t="s">
        <v>333</v>
      </c>
      <c r="R458" s="742"/>
      <c r="S458" s="742"/>
    </row>
    <row r="459" spans="1:19" s="761" customFormat="1" hidden="1" outlineLevel="1" collapsed="1" x14ac:dyDescent="0.2">
      <c r="A459" s="762" t="e">
        <f ca="1">IF($H459="UNIDADE CONSTRUTIVA",OFFSET(A459,-1,0)+1,LARGE(A$3:A373,1))</f>
        <v>#NUM!</v>
      </c>
      <c r="B459" s="762">
        <f t="shared" ca="1" si="63"/>
        <v>4</v>
      </c>
      <c r="C459" s="762">
        <f t="shared" ca="1" si="64"/>
        <v>6</v>
      </c>
      <c r="D459" s="763">
        <f t="shared" ca="1" si="65"/>
        <v>0</v>
      </c>
      <c r="E459" s="763">
        <f t="shared" ca="1" si="66"/>
        <v>2</v>
      </c>
      <c r="G459" s="628"/>
      <c r="H459" s="766" t="s">
        <v>366</v>
      </c>
      <c r="I459" s="629" t="str">
        <f t="shared" ca="1" si="67"/>
        <v>04.006</v>
      </c>
      <c r="J459" s="654" t="s">
        <v>775</v>
      </c>
      <c r="K459" s="630"/>
      <c r="L459" s="631"/>
      <c r="M459" s="631"/>
      <c r="N459" s="646">
        <f ca="1">SUM(N460,N464,N467,N471)</f>
        <v>797189.95389900007</v>
      </c>
      <c r="O459" s="767"/>
      <c r="P459" s="632"/>
      <c r="R459" s="742"/>
      <c r="S459" s="742"/>
    </row>
    <row r="460" spans="1:19" s="761" customFormat="1" hidden="1" outlineLevel="2" collapsed="1" x14ac:dyDescent="0.2">
      <c r="A460" s="762" t="e">
        <f ca="1">IF($H460="UNIDADE CONSTRUTIVA",OFFSET(A460,-1,0)+1,LARGE(A$3:A459,1))</f>
        <v>#NUM!</v>
      </c>
      <c r="B460" s="762">
        <f t="shared" ca="1" si="63"/>
        <v>4</v>
      </c>
      <c r="C460" s="762">
        <f t="shared" ca="1" si="64"/>
        <v>6</v>
      </c>
      <c r="D460" s="763">
        <f t="shared" ca="1" si="65"/>
        <v>1</v>
      </c>
      <c r="E460" s="763">
        <f t="shared" ca="1" si="66"/>
        <v>0</v>
      </c>
      <c r="G460" s="628"/>
      <c r="H460" s="766" t="s">
        <v>367</v>
      </c>
      <c r="I460" s="629" t="str">
        <f t="shared" ca="1" si="67"/>
        <v>04.006.001</v>
      </c>
      <c r="J460" s="654" t="s">
        <v>208</v>
      </c>
      <c r="K460" s="630"/>
      <c r="L460" s="631"/>
      <c r="M460" s="631"/>
      <c r="N460" s="646">
        <f ca="1">SUM(N461:N463)</f>
        <v>209936.43058499997</v>
      </c>
      <c r="O460" s="767"/>
      <c r="P460" s="632"/>
      <c r="R460" s="742"/>
      <c r="S460" s="742"/>
    </row>
    <row r="461" spans="1:19" s="761" customFormat="1" ht="33.75" hidden="1" outlineLevel="3" x14ac:dyDescent="0.2">
      <c r="A461" s="762" t="e">
        <f ca="1">IF($H461="UNIDADE CONSTRUTIVA",OFFSET(A461,-1,0)+1,LARGE(A$3:A460,1))</f>
        <v>#NUM!</v>
      </c>
      <c r="B461" s="762">
        <f t="shared" ca="1" si="63"/>
        <v>4</v>
      </c>
      <c r="C461" s="762">
        <f t="shared" ca="1" si="64"/>
        <v>6</v>
      </c>
      <c r="D461" s="763">
        <f t="shared" ca="1" si="65"/>
        <v>1</v>
      </c>
      <c r="E461" s="763">
        <f t="shared" ca="1" si="66"/>
        <v>1</v>
      </c>
      <c r="G461" s="628"/>
      <c r="H461" s="766" t="s">
        <v>368</v>
      </c>
      <c r="I461" s="629" t="str">
        <f t="shared" ca="1" si="67"/>
        <v>04.006.001.001</v>
      </c>
      <c r="J461" s="654" t="s">
        <v>1949</v>
      </c>
      <c r="K461" s="630" t="s">
        <v>1</v>
      </c>
      <c r="L461" s="631">
        <f ca="1">ARQ.!D471</f>
        <v>62.540000000000013</v>
      </c>
      <c r="M461" s="631">
        <f>VLOOKUP(J461,Preços!$C$7:$F$498,4,FALSE)</f>
        <v>49.014000000000003</v>
      </c>
      <c r="N461" s="646">
        <f ca="1">L461*M461</f>
        <v>3065.3355600000009</v>
      </c>
      <c r="O461" s="767"/>
      <c r="P461" s="632" t="s">
        <v>333</v>
      </c>
      <c r="R461" s="742"/>
      <c r="S461" s="742"/>
    </row>
    <row r="462" spans="1:19" s="761" customFormat="1" ht="33.75" hidden="1" outlineLevel="3" x14ac:dyDescent="0.2">
      <c r="A462" s="762" t="e">
        <f ca="1">IF($H462="UNIDADE CONSTRUTIVA",OFFSET(A462,-1,0)+1,LARGE(A$3:A461,1))</f>
        <v>#NUM!</v>
      </c>
      <c r="B462" s="762">
        <f t="shared" ca="1" si="63"/>
        <v>4</v>
      </c>
      <c r="C462" s="762">
        <f t="shared" ca="1" si="64"/>
        <v>6</v>
      </c>
      <c r="D462" s="763">
        <f t="shared" ca="1" si="65"/>
        <v>1</v>
      </c>
      <c r="E462" s="763">
        <f t="shared" ca="1" si="66"/>
        <v>2</v>
      </c>
      <c r="G462" s="628"/>
      <c r="H462" s="766" t="s">
        <v>368</v>
      </c>
      <c r="I462" s="629" t="str">
        <f t="shared" ca="1" si="67"/>
        <v>04.006.001.002</v>
      </c>
      <c r="J462" s="654" t="s">
        <v>1947</v>
      </c>
      <c r="K462" s="630" t="s">
        <v>1</v>
      </c>
      <c r="L462" s="631">
        <f ca="1">ARQ.!D472</f>
        <v>3913.7099999999996</v>
      </c>
      <c r="M462" s="631">
        <f>VLOOKUP(J462,Preços!$C$7:$F$498,4,FALSE)</f>
        <v>32.662500000000001</v>
      </c>
      <c r="N462" s="646">
        <f ca="1">L462*M462</f>
        <v>127831.55287499999</v>
      </c>
      <c r="O462" s="767"/>
      <c r="P462" s="632" t="s">
        <v>333</v>
      </c>
      <c r="R462" s="742"/>
      <c r="S462" s="742"/>
    </row>
    <row r="463" spans="1:19" s="761" customFormat="1" ht="33.75" hidden="1" outlineLevel="3" x14ac:dyDescent="0.2">
      <c r="A463" s="762" t="e">
        <f ca="1">IF($H463="UNIDADE CONSTRUTIVA",OFFSET(A463,-1,0)+1,LARGE(A$3:A462,1))</f>
        <v>#NUM!</v>
      </c>
      <c r="B463" s="762">
        <f t="shared" ca="1" si="63"/>
        <v>4</v>
      </c>
      <c r="C463" s="762">
        <f t="shared" ca="1" si="64"/>
        <v>6</v>
      </c>
      <c r="D463" s="763">
        <f t="shared" ca="1" si="65"/>
        <v>1</v>
      </c>
      <c r="E463" s="763">
        <f t="shared" ca="1" si="66"/>
        <v>3</v>
      </c>
      <c r="G463" s="628"/>
      <c r="H463" s="766" t="s">
        <v>368</v>
      </c>
      <c r="I463" s="629" t="str">
        <f t="shared" ca="1" si="67"/>
        <v>04.006.001.003</v>
      </c>
      <c r="J463" s="654" t="s">
        <v>1946</v>
      </c>
      <c r="K463" s="630" t="s">
        <v>1</v>
      </c>
      <c r="L463" s="631">
        <f ca="1">ARQ.!D473</f>
        <v>1648.8899999999994</v>
      </c>
      <c r="M463" s="631">
        <f>VLOOKUP(J463,Preços!$C$7:$F$498,4,FALSE)</f>
        <v>47.935000000000002</v>
      </c>
      <c r="N463" s="646">
        <f ca="1">L463*M463</f>
        <v>79039.542149999979</v>
      </c>
      <c r="O463" s="767"/>
      <c r="P463" s="632" t="s">
        <v>333</v>
      </c>
      <c r="R463" s="742"/>
      <c r="S463" s="742"/>
    </row>
    <row r="464" spans="1:19" s="761" customFormat="1" hidden="1" outlineLevel="2" collapsed="1" x14ac:dyDescent="0.2">
      <c r="A464" s="762" t="e">
        <f ca="1">IF($H464="UNIDADE CONSTRUTIVA",OFFSET(A464,-1,0)+1,LARGE(A$3:A463,1))</f>
        <v>#NUM!</v>
      </c>
      <c r="B464" s="762">
        <f t="shared" ca="1" si="63"/>
        <v>4</v>
      </c>
      <c r="C464" s="762">
        <f t="shared" ca="1" si="64"/>
        <v>6</v>
      </c>
      <c r="D464" s="763">
        <f t="shared" ca="1" si="65"/>
        <v>2</v>
      </c>
      <c r="E464" s="763">
        <f t="shared" ca="1" si="66"/>
        <v>0</v>
      </c>
      <c r="G464" s="628"/>
      <c r="H464" s="766" t="s">
        <v>367</v>
      </c>
      <c r="I464" s="629" t="str">
        <f t="shared" ca="1" si="67"/>
        <v>04.006.002</v>
      </c>
      <c r="J464" s="654" t="s">
        <v>376</v>
      </c>
      <c r="K464" s="630"/>
      <c r="L464" s="631"/>
      <c r="M464" s="631"/>
      <c r="N464" s="646">
        <f ca="1">SUM(N465:N466)</f>
        <v>161028.39691400001</v>
      </c>
      <c r="O464" s="767"/>
      <c r="P464" s="632"/>
      <c r="R464" s="742"/>
      <c r="S464" s="742"/>
    </row>
    <row r="465" spans="1:19" s="761" customFormat="1" ht="22.5" hidden="1" outlineLevel="3" x14ac:dyDescent="0.2">
      <c r="A465" s="762" t="e">
        <f ca="1">IF($H465="UNIDADE CONSTRUTIVA",OFFSET(A465,-1,0)+1,LARGE(A$3:A464,1))</f>
        <v>#NUM!</v>
      </c>
      <c r="B465" s="762">
        <f t="shared" ca="1" si="63"/>
        <v>4</v>
      </c>
      <c r="C465" s="762">
        <f t="shared" ca="1" si="64"/>
        <v>6</v>
      </c>
      <c r="D465" s="763">
        <f t="shared" ca="1" si="65"/>
        <v>2</v>
      </c>
      <c r="E465" s="763">
        <f t="shared" ca="1" si="66"/>
        <v>1</v>
      </c>
      <c r="G465" s="628"/>
      <c r="H465" s="766" t="s">
        <v>368</v>
      </c>
      <c r="I465" s="629" t="str">
        <f t="shared" ca="1" si="67"/>
        <v>04.006.002.001</v>
      </c>
      <c r="J465" s="654" t="s">
        <v>546</v>
      </c>
      <c r="K465" s="630" t="s">
        <v>1</v>
      </c>
      <c r="L465" s="631">
        <f ca="1">ARQ.!D475</f>
        <v>551.82000000000005</v>
      </c>
      <c r="M465" s="631">
        <f>VLOOKUP(J465,Preços!$C$7:$F$498,4,FALSE)</f>
        <v>23.852699999999999</v>
      </c>
      <c r="N465" s="646">
        <f ca="1">L465*M465</f>
        <v>13162.396914000001</v>
      </c>
      <c r="O465" s="767"/>
      <c r="P465" s="632" t="s">
        <v>333</v>
      </c>
      <c r="R465" s="742"/>
      <c r="S465" s="742"/>
    </row>
    <row r="466" spans="1:19" s="761" customFormat="1" ht="22.5" hidden="1" outlineLevel="3" x14ac:dyDescent="0.2">
      <c r="A466" s="762" t="e">
        <f ca="1">IF($H466="UNIDADE CONSTRUTIVA",OFFSET(A466,-1,0)+1,LARGE(A$3:A465,1))</f>
        <v>#NUM!</v>
      </c>
      <c r="B466" s="762">
        <f t="shared" ca="1" si="63"/>
        <v>4</v>
      </c>
      <c r="C466" s="762">
        <f t="shared" ca="1" si="64"/>
        <v>6</v>
      </c>
      <c r="D466" s="763">
        <f t="shared" ca="1" si="65"/>
        <v>2</v>
      </c>
      <c r="E466" s="763">
        <f t="shared" ca="1" si="66"/>
        <v>2</v>
      </c>
      <c r="G466" s="628"/>
      <c r="H466" s="766" t="s">
        <v>368</v>
      </c>
      <c r="I466" s="629" t="str">
        <f t="shared" ca="1" si="67"/>
        <v>04.006.002.002</v>
      </c>
      <c r="J466" s="654" t="s">
        <v>547</v>
      </c>
      <c r="K466" s="630" t="s">
        <v>1</v>
      </c>
      <c r="L466" s="631">
        <f ca="1">ARQ.!D477</f>
        <v>1700</v>
      </c>
      <c r="M466" s="631">
        <f>VLOOKUP(J466,Preços!$C$7:$F$498,4,FALSE)</f>
        <v>86.98</v>
      </c>
      <c r="N466" s="646">
        <f ca="1">L466*M466</f>
        <v>147866</v>
      </c>
      <c r="O466" s="767"/>
      <c r="P466" s="632" t="s">
        <v>333</v>
      </c>
      <c r="R466" s="742"/>
      <c r="S466" s="742"/>
    </row>
    <row r="467" spans="1:19" s="761" customFormat="1" hidden="1" outlineLevel="2" collapsed="1" x14ac:dyDescent="0.2">
      <c r="A467" s="762" t="e">
        <f ca="1">IF($H467="UNIDADE CONSTRUTIVA",OFFSET(A467,-1,0)+1,LARGE(A$3:A466,1))</f>
        <v>#NUM!</v>
      </c>
      <c r="B467" s="762">
        <f t="shared" ca="1" si="63"/>
        <v>4</v>
      </c>
      <c r="C467" s="762">
        <f t="shared" ca="1" si="64"/>
        <v>6</v>
      </c>
      <c r="D467" s="763">
        <f t="shared" ca="1" si="65"/>
        <v>3</v>
      </c>
      <c r="E467" s="763">
        <f t="shared" ca="1" si="66"/>
        <v>0</v>
      </c>
      <c r="G467" s="628"/>
      <c r="H467" s="766" t="s">
        <v>367</v>
      </c>
      <c r="I467" s="629" t="str">
        <f t="shared" ca="1" si="67"/>
        <v>04.006.003</v>
      </c>
      <c r="J467" s="654" t="s">
        <v>209</v>
      </c>
      <c r="K467" s="630"/>
      <c r="L467" s="631"/>
      <c r="M467" s="631"/>
      <c r="N467" s="646">
        <f ca="1">SUM(N468:N470)</f>
        <v>153904.84639999998</v>
      </c>
      <c r="O467" s="767"/>
      <c r="P467" s="632"/>
      <c r="R467" s="742"/>
      <c r="S467" s="742"/>
    </row>
    <row r="468" spans="1:19" s="761" customFormat="1" ht="22.5" hidden="1" outlineLevel="3" x14ac:dyDescent="0.2">
      <c r="A468" s="762" t="e">
        <f ca="1">IF($H468="UNIDADE CONSTRUTIVA",OFFSET(A468,-1,0)+1,LARGE(A$3:A469,1))</f>
        <v>#NUM!</v>
      </c>
      <c r="B468" s="762">
        <f t="shared" ca="1" si="63"/>
        <v>4</v>
      </c>
      <c r="C468" s="762">
        <f t="shared" ca="1" si="64"/>
        <v>6</v>
      </c>
      <c r="D468" s="763">
        <f t="shared" ca="1" si="65"/>
        <v>3</v>
      </c>
      <c r="E468" s="763">
        <f t="shared" ca="1" si="66"/>
        <v>1</v>
      </c>
      <c r="G468" s="628"/>
      <c r="H468" s="766" t="s">
        <v>368</v>
      </c>
      <c r="I468" s="629" t="str">
        <f t="shared" ca="1" si="67"/>
        <v>04.006.003.001</v>
      </c>
      <c r="J468" s="654" t="s">
        <v>969</v>
      </c>
      <c r="K468" s="630" t="s">
        <v>3</v>
      </c>
      <c r="L468" s="631">
        <f ca="1">ARQ.!D479</f>
        <v>3455.8599999999992</v>
      </c>
      <c r="M468" s="631">
        <f>VLOOKUP(J468,Preços!$C$7:$F$498,4,FALSE)</f>
        <v>15.04</v>
      </c>
      <c r="N468" s="646">
        <f ca="1">L468*M468</f>
        <v>51976.134399999988</v>
      </c>
      <c r="O468" s="767"/>
      <c r="P468" s="632" t="s">
        <v>333</v>
      </c>
      <c r="R468" s="742"/>
      <c r="S468" s="742"/>
    </row>
    <row r="469" spans="1:19" s="761" customFormat="1" ht="22.5" hidden="1" outlineLevel="3" x14ac:dyDescent="0.2">
      <c r="A469" s="762" t="e">
        <f ca="1">IF($H469="UNIDADE CONSTRUTIVA",OFFSET(A469,-1,0)+1,LARGE(A$3:A467,1))</f>
        <v>#NUM!</v>
      </c>
      <c r="B469" s="762">
        <f t="shared" ca="1" si="63"/>
        <v>4</v>
      </c>
      <c r="C469" s="762">
        <f t="shared" ca="1" si="64"/>
        <v>6</v>
      </c>
      <c r="D469" s="763">
        <f t="shared" ca="1" si="65"/>
        <v>3</v>
      </c>
      <c r="E469" s="763">
        <f t="shared" ca="1" si="66"/>
        <v>2</v>
      </c>
      <c r="G469" s="628"/>
      <c r="H469" s="766" t="s">
        <v>368</v>
      </c>
      <c r="I469" s="629" t="str">
        <f t="shared" ca="1" si="67"/>
        <v>04.006.003.002</v>
      </c>
      <c r="J469" s="654" t="s">
        <v>210</v>
      </c>
      <c r="K469" s="630" t="s">
        <v>2</v>
      </c>
      <c r="L469" s="631">
        <f ca="1">ARQ.!D480</f>
        <v>3939</v>
      </c>
      <c r="M469" s="631">
        <f>VLOOKUP(J469,Preços!$C$7:$F$498,4,FALSE)</f>
        <v>3.3159999999999998</v>
      </c>
      <c r="N469" s="646">
        <f ca="1">L469*M469</f>
        <v>13061.724</v>
      </c>
      <c r="O469" s="767"/>
      <c r="P469" s="632" t="s">
        <v>333</v>
      </c>
      <c r="R469" s="742"/>
      <c r="S469" s="742"/>
    </row>
    <row r="470" spans="1:19" s="761" customFormat="1" ht="22.5" hidden="1" outlineLevel="3" x14ac:dyDescent="0.2">
      <c r="A470" s="762" t="e">
        <f ca="1">IF($H470="UNIDADE CONSTRUTIVA",OFFSET(A470,-1,0)+1,LARGE(A$3:A469,1))</f>
        <v>#NUM!</v>
      </c>
      <c r="B470" s="762">
        <f t="shared" ca="1" si="63"/>
        <v>4</v>
      </c>
      <c r="C470" s="762">
        <f t="shared" ca="1" si="64"/>
        <v>6</v>
      </c>
      <c r="D470" s="763">
        <f t="shared" ca="1" si="65"/>
        <v>3</v>
      </c>
      <c r="E470" s="763">
        <f t="shared" ca="1" si="66"/>
        <v>3</v>
      </c>
      <c r="G470" s="628"/>
      <c r="H470" s="766" t="s">
        <v>368</v>
      </c>
      <c r="I470" s="629" t="str">
        <f t="shared" ca="1" si="67"/>
        <v>04.006.003.003</v>
      </c>
      <c r="J470" s="654" t="s">
        <v>1023</v>
      </c>
      <c r="K470" s="630" t="s">
        <v>3</v>
      </c>
      <c r="L470" s="631">
        <f ca="1">ARQ.!D481</f>
        <v>1960</v>
      </c>
      <c r="M470" s="631">
        <f>VLOOKUP(J470,Preços!$C$7:$F$498,4,FALSE)</f>
        <v>45.340299999999999</v>
      </c>
      <c r="N470" s="646">
        <f ca="1">L470*M470</f>
        <v>88866.987999999998</v>
      </c>
      <c r="O470" s="767"/>
      <c r="P470" s="632" t="s">
        <v>333</v>
      </c>
      <c r="R470" s="742"/>
      <c r="S470" s="742"/>
    </row>
    <row r="471" spans="1:19" s="761" customFormat="1" hidden="1" outlineLevel="2" collapsed="1" x14ac:dyDescent="0.2">
      <c r="A471" s="762" t="e">
        <f ca="1">IF($H471="UNIDADE CONSTRUTIVA",OFFSET(A471,-1,0)+1,LARGE(A$3:A470,1))</f>
        <v>#NUM!</v>
      </c>
      <c r="B471" s="762">
        <f t="shared" ca="1" si="63"/>
        <v>4</v>
      </c>
      <c r="C471" s="762">
        <f t="shared" ca="1" si="64"/>
        <v>6</v>
      </c>
      <c r="D471" s="763">
        <f t="shared" ca="1" si="65"/>
        <v>4</v>
      </c>
      <c r="E471" s="763">
        <f t="shared" ca="1" si="66"/>
        <v>0</v>
      </c>
      <c r="G471" s="628"/>
      <c r="H471" s="766" t="s">
        <v>367</v>
      </c>
      <c r="I471" s="629" t="str">
        <f t="shared" ca="1" si="67"/>
        <v>04.006.004</v>
      </c>
      <c r="J471" s="654" t="s">
        <v>211</v>
      </c>
      <c r="K471" s="630"/>
      <c r="L471" s="631"/>
      <c r="M471" s="631"/>
      <c r="N471" s="646">
        <f ca="1">SUM(N472:N473)</f>
        <v>272320.27999999997</v>
      </c>
      <c r="O471" s="767"/>
      <c r="P471" s="632"/>
      <c r="R471" s="742"/>
      <c r="S471" s="742"/>
    </row>
    <row r="472" spans="1:19" s="761" customFormat="1" ht="22.5" hidden="1" outlineLevel="2" x14ac:dyDescent="0.2">
      <c r="A472" s="762" t="e">
        <f ca="1">IF($H472="UNIDADE CONSTRUTIVA",OFFSET(A472,-1,0)+1,LARGE(A$3:A471,1))</f>
        <v>#NUM!</v>
      </c>
      <c r="B472" s="762">
        <f t="shared" ca="1" si="63"/>
        <v>4</v>
      </c>
      <c r="C472" s="762">
        <f t="shared" ca="1" si="64"/>
        <v>6</v>
      </c>
      <c r="D472" s="763">
        <f t="shared" ca="1" si="65"/>
        <v>4</v>
      </c>
      <c r="E472" s="763">
        <f t="shared" ca="1" si="66"/>
        <v>1</v>
      </c>
      <c r="G472" s="628"/>
      <c r="H472" s="766" t="s">
        <v>368</v>
      </c>
      <c r="I472" s="629" t="str">
        <f t="shared" ca="1" si="67"/>
        <v>04.006.004.001</v>
      </c>
      <c r="J472" s="654" t="s">
        <v>971</v>
      </c>
      <c r="K472" s="630" t="s">
        <v>1</v>
      </c>
      <c r="L472" s="631">
        <f ca="1">SUM(L461:L463)</f>
        <v>5625.1399999999994</v>
      </c>
      <c r="M472" s="631">
        <f>VLOOKUP(J472,Preços!$C$7:$F$498,4,FALSE)</f>
        <v>34</v>
      </c>
      <c r="N472" s="646">
        <f ca="1">L472*M472</f>
        <v>191254.75999999998</v>
      </c>
      <c r="O472" s="767"/>
      <c r="P472" s="632" t="s">
        <v>333</v>
      </c>
      <c r="R472" s="742"/>
      <c r="S472" s="742"/>
    </row>
    <row r="473" spans="1:19" s="761" customFormat="1" ht="22.5" hidden="1" outlineLevel="2" x14ac:dyDescent="0.2">
      <c r="A473" s="762" t="e">
        <f ca="1">IF($H473="UNIDADE CONSTRUTIVA",OFFSET(A473,-1,0)+1,LARGE(A$3:A472,1))</f>
        <v>#NUM!</v>
      </c>
      <c r="B473" s="762">
        <f t="shared" ca="1" si="63"/>
        <v>4</v>
      </c>
      <c r="C473" s="762">
        <f t="shared" ca="1" si="64"/>
        <v>6</v>
      </c>
      <c r="D473" s="763">
        <f t="shared" ca="1" si="65"/>
        <v>4</v>
      </c>
      <c r="E473" s="763">
        <f t="shared" ca="1" si="66"/>
        <v>2</v>
      </c>
      <c r="G473" s="628"/>
      <c r="H473" s="766" t="s">
        <v>368</v>
      </c>
      <c r="I473" s="629" t="str">
        <f t="shared" ca="1" si="67"/>
        <v>04.006.004.002</v>
      </c>
      <c r="J473" s="654" t="s">
        <v>970</v>
      </c>
      <c r="K473" s="630" t="s">
        <v>1</v>
      </c>
      <c r="L473" s="631">
        <f ca="1">SUM(L465:L466)</f>
        <v>2251.8200000000002</v>
      </c>
      <c r="M473" s="631">
        <f>VLOOKUP(J473,Preços!$C$7:$F$498,4,FALSE)</f>
        <v>36</v>
      </c>
      <c r="N473" s="646">
        <f ca="1">L473*M473</f>
        <v>81065.52</v>
      </c>
      <c r="O473" s="767"/>
      <c r="P473" s="632" t="s">
        <v>333</v>
      </c>
      <c r="R473" s="742"/>
      <c r="S473" s="742"/>
    </row>
    <row r="474" spans="1:19" s="761" customFormat="1" hidden="1" outlineLevel="1" collapsed="1" x14ac:dyDescent="0.2">
      <c r="A474" s="762" t="e">
        <f ca="1">IF($H474="UNIDADE CONSTRUTIVA",OFFSET(A474,-1,0)+1,LARGE(A$3:A381,1))</f>
        <v>#NUM!</v>
      </c>
      <c r="B474" s="762">
        <f t="shared" ref="B474:B480" ca="1" si="68">IF(H474="UNIDADE CONSTRUTIVA",0,IF(H474="CÉLULA CONSTRUTIVA",OFFSET(B474,-1,0)+1,OFFSET(B474,-1,0)))</f>
        <v>4</v>
      </c>
      <c r="C474" s="762">
        <f t="shared" ref="C474:C480" ca="1" si="69">IF(H474="CÉLULA CONSTRUTIVA",0,IF(H474="ETAPA",OFFSET(C474,-1,0)+1,OFFSET(C474,-1,0)))</f>
        <v>7</v>
      </c>
      <c r="D474" s="763">
        <f t="shared" ref="D474:D480" ca="1" si="70">IF(H474="ETAPA",0,IF(H474="SUBETAPA",OFFSET(D474,-1,0)+1,OFFSET(D474,-1,0)))</f>
        <v>0</v>
      </c>
      <c r="E474" s="763">
        <f t="shared" ref="E474:E480" ca="1" si="71">IF(H474="Subetapa",0,IF(H474="serviço",OFFSET(E474,-1,0)+1,OFFSET(E474,-1,0)))</f>
        <v>2</v>
      </c>
      <c r="G474" s="628"/>
      <c r="H474" s="766" t="s">
        <v>366</v>
      </c>
      <c r="I474" s="629" t="str">
        <f t="shared" ref="I474:I480" ca="1" si="72">IF(H474="Unidade Construtiva",TEXT(A474,"00"),IF(H474="Célula Construtiva",TEXT(B474,"00"),IF(H474="Etapa",CONCATENATE(TEXT(B474,"00"),".",TEXT(C474,"000")),IF(H474="Subetapa",CONCATENATE(TEXT(B474,"00"),".",TEXT(C474,"000"),".",TEXT(D474,"000")),IF(H474="Serviço",CONCATENATE(TEXT(B474,"00"),".",TEXT(C474,"000"),".",TEXT(D474,"000"),".",TEXT(E474,"000")),"")))))</f>
        <v>04.007</v>
      </c>
      <c r="J474" s="654" t="s">
        <v>1660</v>
      </c>
      <c r="K474" s="630"/>
      <c r="L474" s="631"/>
      <c r="M474" s="631"/>
      <c r="N474" s="646">
        <f>SUM(N475,N478,N480,N484)</f>
        <v>27234.655513999998</v>
      </c>
      <c r="O474" s="767"/>
      <c r="P474" s="632"/>
      <c r="R474" s="742"/>
      <c r="S474" s="742"/>
    </row>
    <row r="475" spans="1:19" s="761" customFormat="1" hidden="1" outlineLevel="2" collapsed="1" x14ac:dyDescent="0.2">
      <c r="A475" s="762" t="e">
        <f ca="1">IF($H475="UNIDADE CONSTRUTIVA",OFFSET(A475,-1,0)+1,LARGE(A$3:A474,1))</f>
        <v>#NUM!</v>
      </c>
      <c r="B475" s="762">
        <f t="shared" ca="1" si="68"/>
        <v>4</v>
      </c>
      <c r="C475" s="762">
        <f t="shared" ca="1" si="69"/>
        <v>7</v>
      </c>
      <c r="D475" s="763">
        <f t="shared" ca="1" si="70"/>
        <v>1</v>
      </c>
      <c r="E475" s="763">
        <f t="shared" ca="1" si="71"/>
        <v>0</v>
      </c>
      <c r="G475" s="628"/>
      <c r="H475" s="766" t="s">
        <v>367</v>
      </c>
      <c r="I475" s="629" t="str">
        <f t="shared" ca="1" si="72"/>
        <v>04.007.001</v>
      </c>
      <c r="J475" s="654" t="s">
        <v>208</v>
      </c>
      <c r="K475" s="630"/>
      <c r="L475" s="631"/>
      <c r="M475" s="631"/>
      <c r="N475" s="646">
        <f>SUM(N476:N477)</f>
        <v>6949.470150000001</v>
      </c>
      <c r="O475" s="767"/>
      <c r="P475" s="632"/>
      <c r="R475" s="742"/>
      <c r="S475" s="742"/>
    </row>
    <row r="476" spans="1:19" s="761" customFormat="1" ht="33.75" hidden="1" outlineLevel="3" x14ac:dyDescent="0.2">
      <c r="A476" s="762" t="e">
        <f ca="1">IF($H476="UNIDADE CONSTRUTIVA",OFFSET(A476,-1,0)+1,LARGE(A$3:A475,1))</f>
        <v>#NUM!</v>
      </c>
      <c r="B476" s="762">
        <f t="shared" ca="1" si="68"/>
        <v>4</v>
      </c>
      <c r="C476" s="762">
        <f t="shared" ca="1" si="69"/>
        <v>7</v>
      </c>
      <c r="D476" s="763">
        <f t="shared" ca="1" si="70"/>
        <v>1</v>
      </c>
      <c r="E476" s="763">
        <f t="shared" ca="1" si="71"/>
        <v>1</v>
      </c>
      <c r="G476" s="628"/>
      <c r="H476" s="766" t="s">
        <v>368</v>
      </c>
      <c r="I476" s="629" t="str">
        <f t="shared" ca="1" si="72"/>
        <v>04.007.001.001</v>
      </c>
      <c r="J476" s="654" t="s">
        <v>1947</v>
      </c>
      <c r="K476" s="630" t="s">
        <v>1</v>
      </c>
      <c r="L476" s="631">
        <f>ARQ.!C2608</f>
        <v>30.58</v>
      </c>
      <c r="M476" s="631">
        <f>VLOOKUP(J476,Preços!$C$7:$F$498,4,FALSE)</f>
        <v>32.662500000000001</v>
      </c>
      <c r="N476" s="646">
        <f>L476*M476</f>
        <v>998.81925000000001</v>
      </c>
      <c r="O476" s="767"/>
      <c r="P476" s="632" t="s">
        <v>333</v>
      </c>
      <c r="R476" s="742"/>
      <c r="S476" s="742"/>
    </row>
    <row r="477" spans="1:19" s="761" customFormat="1" ht="33.75" hidden="1" outlineLevel="3" x14ac:dyDescent="0.2">
      <c r="A477" s="762" t="e">
        <f ca="1">IF($H477="UNIDADE CONSTRUTIVA",OFFSET(A477,-1,0)+1,LARGE(A$3:A476,1))</f>
        <v>#NUM!</v>
      </c>
      <c r="B477" s="762">
        <f t="shared" ca="1" si="68"/>
        <v>4</v>
      </c>
      <c r="C477" s="762">
        <f t="shared" ca="1" si="69"/>
        <v>7</v>
      </c>
      <c r="D477" s="763">
        <f t="shared" ca="1" si="70"/>
        <v>1</v>
      </c>
      <c r="E477" s="763">
        <f t="shared" ca="1" si="71"/>
        <v>2</v>
      </c>
      <c r="G477" s="628"/>
      <c r="H477" s="766" t="s">
        <v>368</v>
      </c>
      <c r="I477" s="629" t="str">
        <f t="shared" ca="1" si="72"/>
        <v>04.007.001.002</v>
      </c>
      <c r="J477" s="654" t="s">
        <v>1946</v>
      </c>
      <c r="K477" s="630" t="s">
        <v>1</v>
      </c>
      <c r="L477" s="631">
        <f>ARQ.!C2609</f>
        <v>124.14</v>
      </c>
      <c r="M477" s="631">
        <f>VLOOKUP(J477,Preços!$C$7:$F$498,4,FALSE)</f>
        <v>47.935000000000002</v>
      </c>
      <c r="N477" s="646">
        <f>L477*M477</f>
        <v>5950.6509000000005</v>
      </c>
      <c r="O477" s="767"/>
      <c r="P477" s="632" t="s">
        <v>333</v>
      </c>
      <c r="R477" s="742"/>
      <c r="S477" s="742"/>
    </row>
    <row r="478" spans="1:19" s="761" customFormat="1" hidden="1" outlineLevel="2" collapsed="1" x14ac:dyDescent="0.2">
      <c r="A478" s="762" t="e">
        <f ca="1">IF($H478="UNIDADE CONSTRUTIVA",OFFSET(A478,-1,0)+1,LARGE(A$3:A477,1))</f>
        <v>#NUM!</v>
      </c>
      <c r="B478" s="762">
        <f t="shared" ca="1" si="68"/>
        <v>4</v>
      </c>
      <c r="C478" s="762">
        <f t="shared" ca="1" si="69"/>
        <v>7</v>
      </c>
      <c r="D478" s="763">
        <f t="shared" ca="1" si="70"/>
        <v>2</v>
      </c>
      <c r="E478" s="763">
        <f t="shared" ca="1" si="71"/>
        <v>0</v>
      </c>
      <c r="G478" s="628"/>
      <c r="H478" s="766" t="s">
        <v>367</v>
      </c>
      <c r="I478" s="629" t="str">
        <f t="shared" ca="1" si="72"/>
        <v>04.007.002</v>
      </c>
      <c r="J478" s="654" t="s">
        <v>376</v>
      </c>
      <c r="K478" s="630"/>
      <c r="L478" s="631"/>
      <c r="M478" s="631"/>
      <c r="N478" s="646">
        <f>SUM(N479)</f>
        <v>9180.7389999999996</v>
      </c>
      <c r="O478" s="767"/>
      <c r="P478" s="632"/>
      <c r="R478" s="742"/>
      <c r="S478" s="742"/>
    </row>
    <row r="479" spans="1:19" s="761" customFormat="1" ht="22.5" hidden="1" outlineLevel="3" x14ac:dyDescent="0.2">
      <c r="A479" s="762" t="e">
        <f ca="1">IF($H479="UNIDADE CONSTRUTIVA",OFFSET(A479,-1,0)+1,LARGE(A$3:A478,1))</f>
        <v>#NUM!</v>
      </c>
      <c r="B479" s="762">
        <f t="shared" ca="1" si="68"/>
        <v>4</v>
      </c>
      <c r="C479" s="762">
        <f t="shared" ca="1" si="69"/>
        <v>7</v>
      </c>
      <c r="D479" s="763">
        <f t="shared" ca="1" si="70"/>
        <v>2</v>
      </c>
      <c r="E479" s="763">
        <f t="shared" ca="1" si="71"/>
        <v>1</v>
      </c>
      <c r="G479" s="628"/>
      <c r="H479" s="766" t="s">
        <v>368</v>
      </c>
      <c r="I479" s="629" t="str">
        <f t="shared" ca="1" si="72"/>
        <v>04.007.002.001</v>
      </c>
      <c r="J479" s="654" t="s">
        <v>547</v>
      </c>
      <c r="K479" s="630" t="s">
        <v>1</v>
      </c>
      <c r="L479" s="631">
        <f>ARQ.!C2611</f>
        <v>105.55</v>
      </c>
      <c r="M479" s="631">
        <f>VLOOKUP(J479,Preços!$C$7:$F$498,4,FALSE)</f>
        <v>86.98</v>
      </c>
      <c r="N479" s="646">
        <f>L479*M479</f>
        <v>9180.7389999999996</v>
      </c>
      <c r="O479" s="767"/>
      <c r="P479" s="632" t="s">
        <v>333</v>
      </c>
      <c r="R479" s="742"/>
      <c r="S479" s="742"/>
    </row>
    <row r="480" spans="1:19" s="761" customFormat="1" hidden="1" outlineLevel="2" collapsed="1" x14ac:dyDescent="0.2">
      <c r="A480" s="762" t="e">
        <f ca="1">IF($H480="UNIDADE CONSTRUTIVA",OFFSET(A480,-1,0)+1,LARGE(A$3:A479,1))</f>
        <v>#NUM!</v>
      </c>
      <c r="B480" s="762">
        <f t="shared" ca="1" si="68"/>
        <v>4</v>
      </c>
      <c r="C480" s="762">
        <f t="shared" ca="1" si="69"/>
        <v>7</v>
      </c>
      <c r="D480" s="763">
        <f t="shared" ca="1" si="70"/>
        <v>3</v>
      </c>
      <c r="E480" s="763">
        <f t="shared" ca="1" si="71"/>
        <v>0</v>
      </c>
      <c r="G480" s="628"/>
      <c r="H480" s="766" t="s">
        <v>367</v>
      </c>
      <c r="I480" s="629" t="str">
        <f t="shared" ca="1" si="72"/>
        <v>04.007.003</v>
      </c>
      <c r="J480" s="654" t="s">
        <v>209</v>
      </c>
      <c r="K480" s="630"/>
      <c r="L480" s="631"/>
      <c r="M480" s="631"/>
      <c r="N480" s="646">
        <f>SUM(N481:N483)</f>
        <v>2044.1663639999997</v>
      </c>
      <c r="O480" s="767"/>
      <c r="P480" s="632"/>
      <c r="R480" s="742"/>
      <c r="S480" s="742"/>
    </row>
    <row r="481" spans="1:19" s="761" customFormat="1" ht="22.5" hidden="1" outlineLevel="3" x14ac:dyDescent="0.2">
      <c r="A481" s="762" t="e">
        <f ca="1">IF($H481="UNIDADE CONSTRUTIVA",OFFSET(A481,-1,0)+1,LARGE(A$3:A482,1))</f>
        <v>#NUM!</v>
      </c>
      <c r="B481" s="762">
        <f t="shared" ref="B481:B510" ca="1" si="73">IF(H481="UNIDADE CONSTRUTIVA",0,IF(H481="CÉLULA CONSTRUTIVA",OFFSET(B481,-1,0)+1,OFFSET(B481,-1,0)))</f>
        <v>4</v>
      </c>
      <c r="C481" s="762">
        <f t="shared" ref="C481:C510" ca="1" si="74">IF(H481="CÉLULA CONSTRUTIVA",0,IF(H481="ETAPA",OFFSET(C481,-1,0)+1,OFFSET(C481,-1,0)))</f>
        <v>7</v>
      </c>
      <c r="D481" s="763">
        <f t="shared" ref="D481:D510" ca="1" si="75">IF(H481="ETAPA",0,IF(H481="SUBETAPA",OFFSET(D481,-1,0)+1,OFFSET(D481,-1,0)))</f>
        <v>3</v>
      </c>
      <c r="E481" s="763">
        <f t="shared" ref="E481:E510" ca="1" si="76">IF(H481="Subetapa",0,IF(H481="serviço",OFFSET(E481,-1,0)+1,OFFSET(E481,-1,0)))</f>
        <v>1</v>
      </c>
      <c r="G481" s="628"/>
      <c r="H481" s="766" t="s">
        <v>368</v>
      </c>
      <c r="I481" s="629" t="str">
        <f t="shared" ref="I481:I510" ca="1" si="77">IF(H481="Unidade Construtiva",TEXT(A481,"00"),IF(H481="Célula Construtiva",TEXT(B481,"00"),IF(H481="Etapa",CONCATENATE(TEXT(B481,"00"),".",TEXT(C481,"000")),IF(H481="Subetapa",CONCATENATE(TEXT(B481,"00"),".",TEXT(C481,"000"),".",TEXT(D481,"000")),IF(H481="Serviço",CONCATENATE(TEXT(B481,"00"),".",TEXT(C481,"000"),".",TEXT(D481,"000"),".",TEXT(E481,"000")),"")))))</f>
        <v>04.007.003.001</v>
      </c>
      <c r="J481" s="654" t="s">
        <v>969</v>
      </c>
      <c r="K481" s="630" t="s">
        <v>3</v>
      </c>
      <c r="L481" s="631">
        <f>ARQ.!C2613</f>
        <v>59.16</v>
      </c>
      <c r="M481" s="631">
        <f>VLOOKUP(J481,Preços!$C$7:$F$498,4,FALSE)</f>
        <v>15.04</v>
      </c>
      <c r="N481" s="646">
        <f>L481*M481</f>
        <v>889.76639999999986</v>
      </c>
      <c r="O481" s="767"/>
      <c r="P481" s="632" t="s">
        <v>333</v>
      </c>
      <c r="R481" s="742"/>
      <c r="S481" s="742"/>
    </row>
    <row r="482" spans="1:19" s="761" customFormat="1" ht="22.5" hidden="1" outlineLevel="3" x14ac:dyDescent="0.2">
      <c r="A482" s="762" t="e">
        <f ca="1">IF($H482="UNIDADE CONSTRUTIVA",OFFSET(A482,-1,0)+1,LARGE(A$3:A480,1))</f>
        <v>#NUM!</v>
      </c>
      <c r="B482" s="762">
        <f t="shared" ca="1" si="73"/>
        <v>4</v>
      </c>
      <c r="C482" s="762">
        <f t="shared" ca="1" si="74"/>
        <v>7</v>
      </c>
      <c r="D482" s="763">
        <f t="shared" ca="1" si="75"/>
        <v>3</v>
      </c>
      <c r="E482" s="763">
        <f t="shared" ca="1" si="76"/>
        <v>2</v>
      </c>
      <c r="G482" s="628"/>
      <c r="H482" s="766" t="s">
        <v>368</v>
      </c>
      <c r="I482" s="629" t="str">
        <f t="shared" ca="1" si="77"/>
        <v>04.007.003.002</v>
      </c>
      <c r="J482" s="654" t="s">
        <v>210</v>
      </c>
      <c r="K482" s="630" t="s">
        <v>2</v>
      </c>
      <c r="L482" s="631">
        <f>ARQ.!C2614</f>
        <v>131</v>
      </c>
      <c r="M482" s="631">
        <f>VLOOKUP(J482,Preços!$C$7:$F$498,4,FALSE)</f>
        <v>3.3159999999999998</v>
      </c>
      <c r="N482" s="646">
        <f>L482*M482</f>
        <v>434.39599999999996</v>
      </c>
      <c r="O482" s="767"/>
      <c r="P482" s="632" t="s">
        <v>333</v>
      </c>
      <c r="R482" s="742"/>
      <c r="S482" s="742"/>
    </row>
    <row r="483" spans="1:19" s="761" customFormat="1" ht="22.5" hidden="1" outlineLevel="3" x14ac:dyDescent="0.2">
      <c r="A483" s="762" t="e">
        <f ca="1">IF($H483="UNIDADE CONSTRUTIVA",OFFSET(A483,-1,0)+1,LARGE(A$3:A482,1))</f>
        <v>#NUM!</v>
      </c>
      <c r="B483" s="762">
        <f t="shared" ca="1" si="73"/>
        <v>4</v>
      </c>
      <c r="C483" s="762">
        <f t="shared" ca="1" si="74"/>
        <v>7</v>
      </c>
      <c r="D483" s="763">
        <f t="shared" ca="1" si="75"/>
        <v>3</v>
      </c>
      <c r="E483" s="763">
        <f t="shared" ca="1" si="76"/>
        <v>3</v>
      </c>
      <c r="G483" s="628"/>
      <c r="H483" s="766" t="s">
        <v>368</v>
      </c>
      <c r="I483" s="629" t="str">
        <f t="shared" ca="1" si="77"/>
        <v>04.007.003.003</v>
      </c>
      <c r="J483" s="654" t="s">
        <v>1023</v>
      </c>
      <c r="K483" s="630" t="s">
        <v>3</v>
      </c>
      <c r="L483" s="631">
        <f>ARQ.!C2615</f>
        <v>15.88</v>
      </c>
      <c r="M483" s="631">
        <f>VLOOKUP(J483,Preços!$C$7:$F$498,4,FALSE)</f>
        <v>45.340299999999999</v>
      </c>
      <c r="N483" s="646">
        <f>L483*M483</f>
        <v>720.003964</v>
      </c>
      <c r="O483" s="767"/>
      <c r="P483" s="632" t="s">
        <v>333</v>
      </c>
      <c r="R483" s="742"/>
      <c r="S483" s="742"/>
    </row>
    <row r="484" spans="1:19" s="761" customFormat="1" hidden="1" outlineLevel="2" collapsed="1" x14ac:dyDescent="0.2">
      <c r="A484" s="762" t="e">
        <f ca="1">IF($H484="UNIDADE CONSTRUTIVA",OFFSET(A484,-1,0)+1,LARGE(A$3:A483,1))</f>
        <v>#NUM!</v>
      </c>
      <c r="B484" s="762">
        <f t="shared" ca="1" si="73"/>
        <v>4</v>
      </c>
      <c r="C484" s="762">
        <f t="shared" ca="1" si="74"/>
        <v>7</v>
      </c>
      <c r="D484" s="763">
        <f t="shared" ca="1" si="75"/>
        <v>4</v>
      </c>
      <c r="E484" s="763">
        <f t="shared" ca="1" si="76"/>
        <v>0</v>
      </c>
      <c r="G484" s="628"/>
      <c r="H484" s="766" t="s">
        <v>367</v>
      </c>
      <c r="I484" s="629" t="str">
        <f t="shared" ca="1" si="77"/>
        <v>04.007.004</v>
      </c>
      <c r="J484" s="654" t="s">
        <v>211</v>
      </c>
      <c r="K484" s="630"/>
      <c r="L484" s="631"/>
      <c r="M484" s="631"/>
      <c r="N484" s="646">
        <f>SUM(N485:N486)</f>
        <v>9060.2799999999988</v>
      </c>
      <c r="O484" s="767"/>
      <c r="P484" s="632"/>
      <c r="R484" s="742"/>
      <c r="S484" s="742"/>
    </row>
    <row r="485" spans="1:19" s="761" customFormat="1" ht="22.5" hidden="1" outlineLevel="2" x14ac:dyDescent="0.2">
      <c r="A485" s="762" t="e">
        <f ca="1">IF($H485="UNIDADE CONSTRUTIVA",OFFSET(A485,-1,0)+1,LARGE(A$3:A484,1))</f>
        <v>#NUM!</v>
      </c>
      <c r="B485" s="762">
        <f t="shared" ca="1" si="73"/>
        <v>4</v>
      </c>
      <c r="C485" s="762">
        <f t="shared" ca="1" si="74"/>
        <v>7</v>
      </c>
      <c r="D485" s="763">
        <f t="shared" ca="1" si="75"/>
        <v>4</v>
      </c>
      <c r="E485" s="763">
        <f t="shared" ca="1" si="76"/>
        <v>1</v>
      </c>
      <c r="G485" s="628"/>
      <c r="H485" s="766" t="s">
        <v>368</v>
      </c>
      <c r="I485" s="629" t="str">
        <f t="shared" ca="1" si="77"/>
        <v>04.007.004.001</v>
      </c>
      <c r="J485" s="654" t="s">
        <v>971</v>
      </c>
      <c r="K485" s="630" t="s">
        <v>1</v>
      </c>
      <c r="L485" s="631">
        <f>SUM(L476:L477)</f>
        <v>154.72</v>
      </c>
      <c r="M485" s="631">
        <f>VLOOKUP(J485,Preços!$C$7:$F$498,4,FALSE)</f>
        <v>34</v>
      </c>
      <c r="N485" s="646">
        <f>L485*M485</f>
        <v>5260.48</v>
      </c>
      <c r="O485" s="767"/>
      <c r="P485" s="632" t="s">
        <v>333</v>
      </c>
      <c r="R485" s="742"/>
      <c r="S485" s="742"/>
    </row>
    <row r="486" spans="1:19" s="761" customFormat="1" ht="22.5" hidden="1" outlineLevel="2" x14ac:dyDescent="0.2">
      <c r="A486" s="762" t="e">
        <f ca="1">IF($H486="UNIDADE CONSTRUTIVA",OFFSET(A486,-1,0)+1,LARGE(A$3:A485,1))</f>
        <v>#NUM!</v>
      </c>
      <c r="B486" s="762">
        <f t="shared" ca="1" si="73"/>
        <v>4</v>
      </c>
      <c r="C486" s="762">
        <f t="shared" ca="1" si="74"/>
        <v>7</v>
      </c>
      <c r="D486" s="763">
        <f t="shared" ca="1" si="75"/>
        <v>4</v>
      </c>
      <c r="E486" s="763">
        <f t="shared" ca="1" si="76"/>
        <v>2</v>
      </c>
      <c r="G486" s="628"/>
      <c r="H486" s="766" t="s">
        <v>368</v>
      </c>
      <c r="I486" s="629" t="str">
        <f t="shared" ca="1" si="77"/>
        <v>04.007.004.002</v>
      </c>
      <c r="J486" s="654" t="s">
        <v>970</v>
      </c>
      <c r="K486" s="630" t="s">
        <v>1</v>
      </c>
      <c r="L486" s="631">
        <f>SUM(L479:L479)</f>
        <v>105.55</v>
      </c>
      <c r="M486" s="631">
        <f>VLOOKUP(J486,Preços!$C$7:$F$498,4,FALSE)</f>
        <v>36</v>
      </c>
      <c r="N486" s="646">
        <f>L486*M486</f>
        <v>3799.7999999999997</v>
      </c>
      <c r="O486" s="767"/>
      <c r="P486" s="632" t="s">
        <v>333</v>
      </c>
      <c r="R486" s="742"/>
      <c r="S486" s="742"/>
    </row>
    <row r="487" spans="1:19" s="761" customFormat="1" ht="22.5" hidden="1" outlineLevel="1" collapsed="1" x14ac:dyDescent="0.2">
      <c r="A487" s="762" t="e">
        <f ca="1">IF($H487="UNIDADE CONSTRUTIVA",OFFSET(A487,-1,0)+1,LARGE(A$3:A390,1))</f>
        <v>#NUM!</v>
      </c>
      <c r="B487" s="762">
        <f t="shared" ca="1" si="73"/>
        <v>4</v>
      </c>
      <c r="C487" s="762">
        <f t="shared" ca="1" si="74"/>
        <v>8</v>
      </c>
      <c r="D487" s="763">
        <f t="shared" ca="1" si="75"/>
        <v>0</v>
      </c>
      <c r="E487" s="763">
        <f t="shared" ca="1" si="76"/>
        <v>2</v>
      </c>
      <c r="G487" s="628"/>
      <c r="H487" s="766" t="s">
        <v>366</v>
      </c>
      <c r="I487" s="629" t="str">
        <f t="shared" ca="1" si="77"/>
        <v>04.008</v>
      </c>
      <c r="J487" s="654" t="s">
        <v>776</v>
      </c>
      <c r="K487" s="630"/>
      <c r="L487" s="631"/>
      <c r="M487" s="631"/>
      <c r="N487" s="646">
        <f>SUM(N488,N491,N495)</f>
        <v>3073.1504890000006</v>
      </c>
      <c r="O487" s="767"/>
      <c r="P487" s="632"/>
      <c r="R487" s="742"/>
      <c r="S487" s="742"/>
    </row>
    <row r="488" spans="1:19" s="761" customFormat="1" hidden="1" outlineLevel="2" collapsed="1" x14ac:dyDescent="0.2">
      <c r="A488" s="762" t="e">
        <f ca="1">IF($H488="UNIDADE CONSTRUTIVA",OFFSET(A488,-1,0)+1,LARGE(A$3:A487,1))</f>
        <v>#NUM!</v>
      </c>
      <c r="B488" s="762">
        <f t="shared" ca="1" si="73"/>
        <v>4</v>
      </c>
      <c r="C488" s="762">
        <f t="shared" ca="1" si="74"/>
        <v>8</v>
      </c>
      <c r="D488" s="763">
        <f t="shared" ca="1" si="75"/>
        <v>1</v>
      </c>
      <c r="E488" s="763">
        <f t="shared" ca="1" si="76"/>
        <v>0</v>
      </c>
      <c r="G488" s="628"/>
      <c r="H488" s="766" t="s">
        <v>367</v>
      </c>
      <c r="I488" s="629" t="str">
        <f t="shared" ca="1" si="77"/>
        <v>04.008.001</v>
      </c>
      <c r="J488" s="654" t="s">
        <v>208</v>
      </c>
      <c r="K488" s="630"/>
      <c r="L488" s="631"/>
      <c r="M488" s="631"/>
      <c r="N488" s="646">
        <f>SUM(N489:N490)</f>
        <v>1284.2170250000001</v>
      </c>
      <c r="O488" s="767"/>
      <c r="P488" s="632"/>
      <c r="R488" s="742"/>
      <c r="S488" s="742"/>
    </row>
    <row r="489" spans="1:19" s="761" customFormat="1" ht="33.75" hidden="1" outlineLevel="3" x14ac:dyDescent="0.2">
      <c r="A489" s="762" t="e">
        <f ca="1">IF($H489="UNIDADE CONSTRUTIVA",OFFSET(A489,-1,0)+1,LARGE(A$3:A488,1))</f>
        <v>#NUM!</v>
      </c>
      <c r="B489" s="762">
        <f t="shared" ca="1" si="73"/>
        <v>4</v>
      </c>
      <c r="C489" s="762">
        <f t="shared" ca="1" si="74"/>
        <v>8</v>
      </c>
      <c r="D489" s="763">
        <f t="shared" ca="1" si="75"/>
        <v>1</v>
      </c>
      <c r="E489" s="763">
        <f t="shared" ca="1" si="76"/>
        <v>1</v>
      </c>
      <c r="G489" s="628"/>
      <c r="H489" s="766" t="s">
        <v>368</v>
      </c>
      <c r="I489" s="629" t="str">
        <f t="shared" ca="1" si="77"/>
        <v>04.008.001.001</v>
      </c>
      <c r="J489" s="654" t="s">
        <v>1947</v>
      </c>
      <c r="K489" s="630" t="s">
        <v>1</v>
      </c>
      <c r="L489" s="631">
        <f>ARQ.!F2668</f>
        <v>3.45</v>
      </c>
      <c r="M489" s="631">
        <f>VLOOKUP(J489,Preços!$C$7:$F$498,4,FALSE)</f>
        <v>32.662500000000001</v>
      </c>
      <c r="N489" s="646">
        <f>L489*M489</f>
        <v>112.68562500000002</v>
      </c>
      <c r="O489" s="767"/>
      <c r="P489" s="632" t="s">
        <v>333</v>
      </c>
      <c r="R489" s="742"/>
      <c r="S489" s="742"/>
    </row>
    <row r="490" spans="1:19" s="761" customFormat="1" ht="33.75" hidden="1" outlineLevel="3" x14ac:dyDescent="0.2">
      <c r="A490" s="762" t="e">
        <f ca="1">IF($H490="UNIDADE CONSTRUTIVA",OFFSET(A490,-1,0)+1,LARGE(A$3:A489,1))</f>
        <v>#NUM!</v>
      </c>
      <c r="B490" s="762">
        <f t="shared" ca="1" si="73"/>
        <v>4</v>
      </c>
      <c r="C490" s="762">
        <f t="shared" ca="1" si="74"/>
        <v>8</v>
      </c>
      <c r="D490" s="763">
        <f t="shared" ca="1" si="75"/>
        <v>1</v>
      </c>
      <c r="E490" s="763">
        <f t="shared" ca="1" si="76"/>
        <v>2</v>
      </c>
      <c r="G490" s="628"/>
      <c r="H490" s="766" t="s">
        <v>368</v>
      </c>
      <c r="I490" s="629" t="str">
        <f t="shared" ca="1" si="77"/>
        <v>04.008.001.002</v>
      </c>
      <c r="J490" s="654" t="s">
        <v>1946</v>
      </c>
      <c r="K490" s="630" t="s">
        <v>1</v>
      </c>
      <c r="L490" s="631">
        <f>ARQ.!F2669</f>
        <v>24.44</v>
      </c>
      <c r="M490" s="631">
        <f>VLOOKUP(J490,Preços!$C$7:$F$498,4,FALSE)</f>
        <v>47.935000000000002</v>
      </c>
      <c r="N490" s="646">
        <f>L490*M490</f>
        <v>1171.5314000000001</v>
      </c>
      <c r="O490" s="767"/>
      <c r="P490" s="632" t="s">
        <v>333</v>
      </c>
      <c r="R490" s="742"/>
      <c r="S490" s="742"/>
    </row>
    <row r="491" spans="1:19" s="761" customFormat="1" hidden="1" outlineLevel="2" collapsed="1" x14ac:dyDescent="0.2">
      <c r="A491" s="762" t="e">
        <f ca="1">IF($H491="UNIDADE CONSTRUTIVA",OFFSET(A491,-1,0)+1,LARGE(A$3:A490,1))</f>
        <v>#NUM!</v>
      </c>
      <c r="B491" s="762">
        <f t="shared" ca="1" si="73"/>
        <v>4</v>
      </c>
      <c r="C491" s="762">
        <f t="shared" ca="1" si="74"/>
        <v>8</v>
      </c>
      <c r="D491" s="763">
        <f t="shared" ca="1" si="75"/>
        <v>2</v>
      </c>
      <c r="E491" s="763">
        <f t="shared" ca="1" si="76"/>
        <v>0</v>
      </c>
      <c r="G491" s="628"/>
      <c r="H491" s="766" t="s">
        <v>367</v>
      </c>
      <c r="I491" s="629" t="str">
        <f t="shared" ca="1" si="77"/>
        <v>04.008.002</v>
      </c>
      <c r="J491" s="654" t="s">
        <v>209</v>
      </c>
      <c r="K491" s="630"/>
      <c r="L491" s="631"/>
      <c r="M491" s="631"/>
      <c r="N491" s="646">
        <f>SUM(N492:N494)</f>
        <v>840.67346399999997</v>
      </c>
      <c r="O491" s="767"/>
      <c r="P491" s="632"/>
      <c r="R491" s="742"/>
      <c r="S491" s="742"/>
    </row>
    <row r="492" spans="1:19" s="761" customFormat="1" ht="22.5" hidden="1" outlineLevel="3" x14ac:dyDescent="0.2">
      <c r="A492" s="762" t="e">
        <f ca="1">IF($H492="UNIDADE CONSTRUTIVA",OFFSET(A492,-1,0)+1,LARGE(A$3:A493,1))</f>
        <v>#NUM!</v>
      </c>
      <c r="B492" s="762">
        <f t="shared" ca="1" si="73"/>
        <v>4</v>
      </c>
      <c r="C492" s="762">
        <f t="shared" ca="1" si="74"/>
        <v>8</v>
      </c>
      <c r="D492" s="763">
        <f t="shared" ca="1" si="75"/>
        <v>2</v>
      </c>
      <c r="E492" s="763">
        <f t="shared" ca="1" si="76"/>
        <v>1</v>
      </c>
      <c r="G492" s="628"/>
      <c r="H492" s="766" t="s">
        <v>368</v>
      </c>
      <c r="I492" s="629" t="str">
        <f t="shared" ca="1" si="77"/>
        <v>04.008.002.001</v>
      </c>
      <c r="J492" s="654" t="s">
        <v>969</v>
      </c>
      <c r="K492" s="630" t="s">
        <v>3</v>
      </c>
      <c r="L492" s="631">
        <f>ARQ.!F2671</f>
        <v>13.76</v>
      </c>
      <c r="M492" s="631">
        <f>VLOOKUP(J492,Preços!$C$7:$F$498,4,FALSE)</f>
        <v>15.04</v>
      </c>
      <c r="N492" s="646">
        <f>L492*M492</f>
        <v>206.95039999999997</v>
      </c>
      <c r="O492" s="767"/>
      <c r="P492" s="632" t="s">
        <v>333</v>
      </c>
      <c r="R492" s="742"/>
      <c r="S492" s="742"/>
    </row>
    <row r="493" spans="1:19" s="761" customFormat="1" ht="22.5" hidden="1" outlineLevel="3" x14ac:dyDescent="0.2">
      <c r="A493" s="762" t="e">
        <f ca="1">IF($H493="UNIDADE CONSTRUTIVA",OFFSET(A493,-1,0)+1,LARGE(A$3:A491,1))</f>
        <v>#NUM!</v>
      </c>
      <c r="B493" s="762">
        <f t="shared" ca="1" si="73"/>
        <v>4</v>
      </c>
      <c r="C493" s="762">
        <f t="shared" ca="1" si="74"/>
        <v>8</v>
      </c>
      <c r="D493" s="763">
        <f t="shared" ca="1" si="75"/>
        <v>2</v>
      </c>
      <c r="E493" s="763">
        <f t="shared" ca="1" si="76"/>
        <v>2</v>
      </c>
      <c r="G493" s="628"/>
      <c r="H493" s="766" t="s">
        <v>368</v>
      </c>
      <c r="I493" s="629" t="str">
        <f t="shared" ca="1" si="77"/>
        <v>04.008.002.002</v>
      </c>
      <c r="J493" s="654" t="s">
        <v>210</v>
      </c>
      <c r="K493" s="630" t="s">
        <v>2</v>
      </c>
      <c r="L493" s="631">
        <f>ARQ.!F2672</f>
        <v>15</v>
      </c>
      <c r="M493" s="631">
        <f>VLOOKUP(J493,Preços!$C$7:$F$498,4,FALSE)</f>
        <v>3.3159999999999998</v>
      </c>
      <c r="N493" s="646">
        <f>L493*M493</f>
        <v>49.739999999999995</v>
      </c>
      <c r="O493" s="767"/>
      <c r="P493" s="632" t="s">
        <v>333</v>
      </c>
      <c r="R493" s="742"/>
      <c r="S493" s="742"/>
    </row>
    <row r="494" spans="1:19" s="761" customFormat="1" ht="22.5" hidden="1" outlineLevel="3" x14ac:dyDescent="0.2">
      <c r="A494" s="762" t="e">
        <f ca="1">IF($H494="UNIDADE CONSTRUTIVA",OFFSET(A494,-1,0)+1,LARGE(A$3:A493,1))</f>
        <v>#NUM!</v>
      </c>
      <c r="B494" s="762">
        <f t="shared" ca="1" si="73"/>
        <v>4</v>
      </c>
      <c r="C494" s="762">
        <f t="shared" ca="1" si="74"/>
        <v>8</v>
      </c>
      <c r="D494" s="763">
        <f t="shared" ca="1" si="75"/>
        <v>2</v>
      </c>
      <c r="E494" s="763">
        <f t="shared" ca="1" si="76"/>
        <v>3</v>
      </c>
      <c r="G494" s="628"/>
      <c r="H494" s="766" t="s">
        <v>368</v>
      </c>
      <c r="I494" s="629" t="str">
        <f t="shared" ca="1" si="77"/>
        <v>04.008.002.003</v>
      </c>
      <c r="J494" s="654" t="s">
        <v>1023</v>
      </c>
      <c r="K494" s="630" t="s">
        <v>3</v>
      </c>
      <c r="L494" s="631">
        <f>ARQ.!F2673</f>
        <v>12.88</v>
      </c>
      <c r="M494" s="631">
        <f>VLOOKUP(J494,Preços!$C$7:$F$498,4,FALSE)</f>
        <v>45.340299999999999</v>
      </c>
      <c r="N494" s="646">
        <f>L494*M494</f>
        <v>583.98306400000001</v>
      </c>
      <c r="O494" s="767"/>
      <c r="P494" s="632" t="s">
        <v>333</v>
      </c>
      <c r="R494" s="742"/>
      <c r="S494" s="742"/>
    </row>
    <row r="495" spans="1:19" s="761" customFormat="1" hidden="1" outlineLevel="2" collapsed="1" x14ac:dyDescent="0.2">
      <c r="A495" s="762" t="e">
        <f ca="1">IF($H495="UNIDADE CONSTRUTIVA",OFFSET(A495,-1,0)+1,LARGE(A$3:A494,1))</f>
        <v>#NUM!</v>
      </c>
      <c r="B495" s="762">
        <f t="shared" ca="1" si="73"/>
        <v>4</v>
      </c>
      <c r="C495" s="762">
        <f t="shared" ca="1" si="74"/>
        <v>8</v>
      </c>
      <c r="D495" s="763">
        <f t="shared" ca="1" si="75"/>
        <v>3</v>
      </c>
      <c r="E495" s="763">
        <f t="shared" ca="1" si="76"/>
        <v>0</v>
      </c>
      <c r="G495" s="628"/>
      <c r="H495" s="766" t="s">
        <v>367</v>
      </c>
      <c r="I495" s="629" t="str">
        <f t="shared" ca="1" si="77"/>
        <v>04.008.003</v>
      </c>
      <c r="J495" s="654" t="s">
        <v>211</v>
      </c>
      <c r="K495" s="630"/>
      <c r="L495" s="631"/>
      <c r="M495" s="631"/>
      <c r="N495" s="646">
        <f>SUM(N496)</f>
        <v>948.26</v>
      </c>
      <c r="O495" s="767"/>
      <c r="P495" s="632"/>
      <c r="R495" s="742"/>
      <c r="S495" s="742"/>
    </row>
    <row r="496" spans="1:19" s="761" customFormat="1" ht="22.5" hidden="1" outlineLevel="2" x14ac:dyDescent="0.2">
      <c r="A496" s="762" t="e">
        <f ca="1">IF($H496="UNIDADE CONSTRUTIVA",OFFSET(A496,-1,0)+1,LARGE(A$3:A495,1))</f>
        <v>#NUM!</v>
      </c>
      <c r="B496" s="762">
        <f t="shared" ca="1" si="73"/>
        <v>4</v>
      </c>
      <c r="C496" s="762">
        <f t="shared" ca="1" si="74"/>
        <v>8</v>
      </c>
      <c r="D496" s="763">
        <f t="shared" ca="1" si="75"/>
        <v>3</v>
      </c>
      <c r="E496" s="763">
        <f t="shared" ca="1" si="76"/>
        <v>1</v>
      </c>
      <c r="G496" s="628"/>
      <c r="H496" s="766" t="s">
        <v>368</v>
      </c>
      <c r="I496" s="629" t="str">
        <f t="shared" ca="1" si="77"/>
        <v>04.008.003.001</v>
      </c>
      <c r="J496" s="654" t="s">
        <v>971</v>
      </c>
      <c r="K496" s="630" t="s">
        <v>1</v>
      </c>
      <c r="L496" s="631">
        <f>SUM(L489:L490)</f>
        <v>27.89</v>
      </c>
      <c r="M496" s="631">
        <f>VLOOKUP(J496,Preços!$C$7:$F$498,4,FALSE)</f>
        <v>34</v>
      </c>
      <c r="N496" s="646">
        <f>L496*M496</f>
        <v>948.26</v>
      </c>
      <c r="O496" s="767"/>
      <c r="P496" s="632" t="s">
        <v>333</v>
      </c>
      <c r="R496" s="742"/>
      <c r="S496" s="742"/>
    </row>
    <row r="497" spans="1:19" s="761" customFormat="1" collapsed="1" x14ac:dyDescent="0.2">
      <c r="A497" s="762" t="e">
        <f ca="1">IF($H497="UNIDADE CONSTRUTIVA",OFFSET(A497,-1,0)+1,LARGE(A$3:A619,1))</f>
        <v>#NUM!</v>
      </c>
      <c r="B497" s="762">
        <f t="shared" ca="1" si="73"/>
        <v>5</v>
      </c>
      <c r="C497" s="762">
        <f t="shared" ca="1" si="74"/>
        <v>0</v>
      </c>
      <c r="D497" s="763">
        <f t="shared" ca="1" si="75"/>
        <v>3</v>
      </c>
      <c r="E497" s="763">
        <f t="shared" ca="1" si="76"/>
        <v>1</v>
      </c>
      <c r="G497" s="628"/>
      <c r="H497" s="766" t="s">
        <v>365</v>
      </c>
      <c r="I497" s="629" t="str">
        <f t="shared" ca="1" si="77"/>
        <v>05</v>
      </c>
      <c r="J497" s="654" t="s">
        <v>289</v>
      </c>
      <c r="K497" s="630"/>
      <c r="L497" s="631"/>
      <c r="M497" s="631"/>
      <c r="N497" s="646">
        <f>N498</f>
        <v>1198158.95</v>
      </c>
      <c r="O497" s="767"/>
      <c r="P497" s="632"/>
      <c r="R497" s="742"/>
      <c r="S497" s="742"/>
    </row>
    <row r="498" spans="1:19" s="761" customFormat="1" hidden="1" outlineLevel="1" collapsed="1" x14ac:dyDescent="0.2">
      <c r="A498" s="762" t="e">
        <f ca="1">IF($H498="UNIDADE CONSTRUTIVA",OFFSET(A498,-1,0)+1,LARGE(A$3:A497,1))</f>
        <v>#NUM!</v>
      </c>
      <c r="B498" s="762">
        <f t="shared" ca="1" si="73"/>
        <v>5</v>
      </c>
      <c r="C498" s="762">
        <f t="shared" ca="1" si="74"/>
        <v>1</v>
      </c>
      <c r="D498" s="763">
        <f t="shared" ca="1" si="75"/>
        <v>0</v>
      </c>
      <c r="E498" s="763">
        <f t="shared" ca="1" si="76"/>
        <v>1</v>
      </c>
      <c r="G498" s="628"/>
      <c r="H498" s="766" t="s">
        <v>366</v>
      </c>
      <c r="I498" s="629" t="str">
        <f t="shared" ca="1" si="77"/>
        <v>05.001</v>
      </c>
      <c r="J498" s="654" t="s">
        <v>289</v>
      </c>
      <c r="K498" s="630"/>
      <c r="L498" s="631"/>
      <c r="M498" s="631"/>
      <c r="N498" s="646">
        <f>SUM(N499,N501,N503,N505,N507,N509,N511)</f>
        <v>1198158.95</v>
      </c>
      <c r="O498" s="767"/>
      <c r="P498" s="632"/>
      <c r="R498" s="742"/>
      <c r="S498" s="742"/>
    </row>
    <row r="499" spans="1:19" s="761" customFormat="1" hidden="1" outlineLevel="2" collapsed="1" x14ac:dyDescent="0.2">
      <c r="A499" s="762" t="e">
        <f ca="1">IF($H499="UNIDADE CONSTRUTIVA",OFFSET(A499,-1,0)+1,LARGE(A$3:A498,1))</f>
        <v>#NUM!</v>
      </c>
      <c r="B499" s="762">
        <f t="shared" ca="1" si="73"/>
        <v>5</v>
      </c>
      <c r="C499" s="762">
        <f t="shared" ca="1" si="74"/>
        <v>1</v>
      </c>
      <c r="D499" s="763">
        <f t="shared" ca="1" si="75"/>
        <v>1</v>
      </c>
      <c r="E499" s="763">
        <f t="shared" ca="1" si="76"/>
        <v>0</v>
      </c>
      <c r="G499" s="628"/>
      <c r="H499" s="766" t="s">
        <v>367</v>
      </c>
      <c r="I499" s="629" t="str">
        <f t="shared" ca="1" si="77"/>
        <v>05.001.001</v>
      </c>
      <c r="J499" s="654" t="s">
        <v>290</v>
      </c>
      <c r="K499" s="630"/>
      <c r="L499" s="631"/>
      <c r="M499" s="631"/>
      <c r="N499" s="646">
        <f>SUM(N500)</f>
        <v>47000</v>
      </c>
      <c r="O499" s="767"/>
      <c r="P499" s="632"/>
      <c r="R499" s="742"/>
      <c r="S499" s="742"/>
    </row>
    <row r="500" spans="1:19" s="761" customFormat="1" ht="22.5" hidden="1" outlineLevel="3" x14ac:dyDescent="0.2">
      <c r="A500" s="762" t="e">
        <f ca="1">IF($H500="UNIDADE CONSTRUTIVA",OFFSET(A500,-1,0)+1,LARGE(A$3:A499,1))</f>
        <v>#NUM!</v>
      </c>
      <c r="B500" s="762">
        <f t="shared" ca="1" si="73"/>
        <v>5</v>
      </c>
      <c r="C500" s="762">
        <f t="shared" ca="1" si="74"/>
        <v>1</v>
      </c>
      <c r="D500" s="763">
        <f t="shared" ca="1" si="75"/>
        <v>1</v>
      </c>
      <c r="E500" s="763">
        <f t="shared" ca="1" si="76"/>
        <v>1</v>
      </c>
      <c r="G500" s="628"/>
      <c r="H500" s="766" t="s">
        <v>368</v>
      </c>
      <c r="I500" s="629" t="str">
        <f t="shared" ca="1" si="77"/>
        <v>05.001.001.001</v>
      </c>
      <c r="J500" s="654" t="s">
        <v>290</v>
      </c>
      <c r="K500" s="630" t="s">
        <v>250</v>
      </c>
      <c r="L500" s="631">
        <v>1</v>
      </c>
      <c r="M500" s="631">
        <f>VLOOKUP(J500,Preços!$C$7:$F$498,4,FALSE)</f>
        <v>47000</v>
      </c>
      <c r="N500" s="646">
        <f>L500*M500</f>
        <v>47000</v>
      </c>
      <c r="O500" s="767" t="s">
        <v>530</v>
      </c>
      <c r="P500" s="632" t="s">
        <v>333</v>
      </c>
      <c r="R500" s="742"/>
      <c r="S500" s="742"/>
    </row>
    <row r="501" spans="1:19" s="761" customFormat="1" hidden="1" outlineLevel="2" collapsed="1" x14ac:dyDescent="0.2">
      <c r="A501" s="762" t="e">
        <f ca="1">IF($H501="UNIDADE CONSTRUTIVA",OFFSET(A501,-1,0)+1,LARGE(A$3:A500,1))</f>
        <v>#NUM!</v>
      </c>
      <c r="B501" s="762">
        <f t="shared" ca="1" si="73"/>
        <v>5</v>
      </c>
      <c r="C501" s="762">
        <f t="shared" ca="1" si="74"/>
        <v>1</v>
      </c>
      <c r="D501" s="763">
        <f t="shared" ca="1" si="75"/>
        <v>2</v>
      </c>
      <c r="E501" s="763">
        <f t="shared" ca="1" si="76"/>
        <v>0</v>
      </c>
      <c r="G501" s="628"/>
      <c r="H501" s="766" t="s">
        <v>367</v>
      </c>
      <c r="I501" s="629" t="str">
        <f t="shared" ca="1" si="77"/>
        <v>05.001.002</v>
      </c>
      <c r="J501" s="654" t="s">
        <v>295</v>
      </c>
      <c r="K501" s="630"/>
      <c r="L501" s="631"/>
      <c r="M501" s="631"/>
      <c r="N501" s="646">
        <f>SUM(N502)</f>
        <v>87000</v>
      </c>
      <c r="O501" s="767"/>
      <c r="P501" s="632"/>
      <c r="R501" s="742"/>
      <c r="S501" s="742"/>
    </row>
    <row r="502" spans="1:19" s="761" customFormat="1" ht="22.5" hidden="1" outlineLevel="3" x14ac:dyDescent="0.2">
      <c r="A502" s="762" t="e">
        <f ca="1">IF($H502="UNIDADE CONSTRUTIVA",OFFSET(A502,-1,0)+1,LARGE(A$3:A501,1))</f>
        <v>#NUM!</v>
      </c>
      <c r="B502" s="762">
        <f t="shared" ca="1" si="73"/>
        <v>5</v>
      </c>
      <c r="C502" s="762">
        <f t="shared" ca="1" si="74"/>
        <v>1</v>
      </c>
      <c r="D502" s="763">
        <f t="shared" ca="1" si="75"/>
        <v>2</v>
      </c>
      <c r="E502" s="763">
        <f t="shared" ca="1" si="76"/>
        <v>1</v>
      </c>
      <c r="G502" s="628"/>
      <c r="H502" s="766" t="s">
        <v>368</v>
      </c>
      <c r="I502" s="629" t="str">
        <f t="shared" ca="1" si="77"/>
        <v>05.001.002.001</v>
      </c>
      <c r="J502" s="654" t="s">
        <v>295</v>
      </c>
      <c r="K502" s="630" t="s">
        <v>250</v>
      </c>
      <c r="L502" s="631">
        <v>1</v>
      </c>
      <c r="M502" s="961">
        <f>VLOOKUP(J502,Preços!$C$7:$F$498,4,FALSE)</f>
        <v>87000</v>
      </c>
      <c r="N502" s="646">
        <f>L502*M502</f>
        <v>87000</v>
      </c>
      <c r="O502" s="767" t="s">
        <v>530</v>
      </c>
      <c r="P502" s="632" t="s">
        <v>333</v>
      </c>
      <c r="R502" s="742"/>
      <c r="S502" s="742"/>
    </row>
    <row r="503" spans="1:19" s="761" customFormat="1" hidden="1" outlineLevel="2" collapsed="1" x14ac:dyDescent="0.2">
      <c r="A503" s="762" t="e">
        <f ca="1">IF($H503="UNIDADE CONSTRUTIVA",OFFSET(A503,-1,0)+1,LARGE(A$3:A502,1))</f>
        <v>#NUM!</v>
      </c>
      <c r="B503" s="762">
        <f t="shared" ca="1" si="73"/>
        <v>5</v>
      </c>
      <c r="C503" s="762">
        <f t="shared" ca="1" si="74"/>
        <v>1</v>
      </c>
      <c r="D503" s="763">
        <f t="shared" ca="1" si="75"/>
        <v>3</v>
      </c>
      <c r="E503" s="763">
        <f t="shared" ca="1" si="76"/>
        <v>0</v>
      </c>
      <c r="G503" s="628"/>
      <c r="H503" s="766" t="s">
        <v>367</v>
      </c>
      <c r="I503" s="629" t="str">
        <f t="shared" ca="1" si="77"/>
        <v>05.001.003</v>
      </c>
      <c r="J503" s="654" t="s">
        <v>296</v>
      </c>
      <c r="K503" s="630"/>
      <c r="L503" s="631"/>
      <c r="M503" s="631"/>
      <c r="N503" s="646">
        <f>SUM(N504)</f>
        <v>158562.29</v>
      </c>
      <c r="O503" s="767"/>
      <c r="P503" s="632"/>
      <c r="R503" s="742"/>
      <c r="S503" s="742"/>
    </row>
    <row r="504" spans="1:19" s="761" customFormat="1" ht="22.5" hidden="1" outlineLevel="3" x14ac:dyDescent="0.2">
      <c r="A504" s="762" t="e">
        <f ca="1">IF($H504="UNIDADE CONSTRUTIVA",OFFSET(A504,-1,0)+1,LARGE(A$3:A503,1))</f>
        <v>#NUM!</v>
      </c>
      <c r="B504" s="762">
        <f t="shared" ca="1" si="73"/>
        <v>5</v>
      </c>
      <c r="C504" s="762">
        <f t="shared" ca="1" si="74"/>
        <v>1</v>
      </c>
      <c r="D504" s="763">
        <f t="shared" ca="1" si="75"/>
        <v>3</v>
      </c>
      <c r="E504" s="763">
        <f t="shared" ca="1" si="76"/>
        <v>1</v>
      </c>
      <c r="G504" s="628"/>
      <c r="H504" s="766" t="s">
        <v>368</v>
      </c>
      <c r="I504" s="629" t="str">
        <f t="shared" ca="1" si="77"/>
        <v>05.001.003.001</v>
      </c>
      <c r="J504" s="654" t="s">
        <v>296</v>
      </c>
      <c r="K504" s="630" t="s">
        <v>250</v>
      </c>
      <c r="L504" s="631">
        <v>1</v>
      </c>
      <c r="M504" s="631">
        <f>VLOOKUP(J504,Preços!$C$7:$F$498,4,FALSE)</f>
        <v>158562.29</v>
      </c>
      <c r="N504" s="646">
        <f>L504*M504</f>
        <v>158562.29</v>
      </c>
      <c r="O504" s="767" t="s">
        <v>530</v>
      </c>
      <c r="P504" s="632" t="s">
        <v>333</v>
      </c>
      <c r="R504" s="742"/>
      <c r="S504" s="742"/>
    </row>
    <row r="505" spans="1:19" s="761" customFormat="1" hidden="1" outlineLevel="2" collapsed="1" x14ac:dyDescent="0.2">
      <c r="A505" s="762" t="e">
        <f ca="1">IF($H505="UNIDADE CONSTRUTIVA",OFFSET(A505,-1,0)+1,LARGE(A$3:A504,1))</f>
        <v>#NUM!</v>
      </c>
      <c r="B505" s="762">
        <f t="shared" ca="1" si="73"/>
        <v>5</v>
      </c>
      <c r="C505" s="762">
        <f t="shared" ca="1" si="74"/>
        <v>1</v>
      </c>
      <c r="D505" s="763">
        <f t="shared" ca="1" si="75"/>
        <v>4</v>
      </c>
      <c r="E505" s="763">
        <f t="shared" ca="1" si="76"/>
        <v>0</v>
      </c>
      <c r="G505" s="628"/>
      <c r="H505" s="766" t="s">
        <v>367</v>
      </c>
      <c r="I505" s="629" t="str">
        <f t="shared" ca="1" si="77"/>
        <v>05.001.004</v>
      </c>
      <c r="J505" s="654" t="s">
        <v>297</v>
      </c>
      <c r="K505" s="630"/>
      <c r="L505" s="631"/>
      <c r="M505" s="631"/>
      <c r="N505" s="646">
        <f>SUM(N506)</f>
        <v>248285.46</v>
      </c>
      <c r="O505" s="767"/>
      <c r="P505" s="632"/>
      <c r="R505" s="742"/>
      <c r="S505" s="742"/>
    </row>
    <row r="506" spans="1:19" s="761" customFormat="1" ht="22.5" hidden="1" outlineLevel="3" x14ac:dyDescent="0.2">
      <c r="A506" s="762" t="e">
        <f ca="1">IF($H506="UNIDADE CONSTRUTIVA",OFFSET(A506,-1,0)+1,LARGE(A$3:A505,1))</f>
        <v>#NUM!</v>
      </c>
      <c r="B506" s="762">
        <f t="shared" ca="1" si="73"/>
        <v>5</v>
      </c>
      <c r="C506" s="762">
        <f t="shared" ca="1" si="74"/>
        <v>1</v>
      </c>
      <c r="D506" s="763">
        <f t="shared" ca="1" si="75"/>
        <v>4</v>
      </c>
      <c r="E506" s="763">
        <f t="shared" ca="1" si="76"/>
        <v>1</v>
      </c>
      <c r="G506" s="628"/>
      <c r="H506" s="766" t="s">
        <v>368</v>
      </c>
      <c r="I506" s="629" t="str">
        <f t="shared" ca="1" si="77"/>
        <v>05.001.004.001</v>
      </c>
      <c r="J506" s="654" t="s">
        <v>297</v>
      </c>
      <c r="K506" s="630" t="s">
        <v>250</v>
      </c>
      <c r="L506" s="631">
        <v>1</v>
      </c>
      <c r="M506" s="631">
        <f>VLOOKUP(J506,Preços!$C$7:$F$498,4,FALSE)</f>
        <v>248285.46</v>
      </c>
      <c r="N506" s="646">
        <f>L506*M506</f>
        <v>248285.46</v>
      </c>
      <c r="O506" s="767" t="s">
        <v>530</v>
      </c>
      <c r="P506" s="632" t="s">
        <v>333</v>
      </c>
      <c r="R506" s="742"/>
      <c r="S506" s="742"/>
    </row>
    <row r="507" spans="1:19" s="761" customFormat="1" hidden="1" outlineLevel="2" collapsed="1" x14ac:dyDescent="0.2">
      <c r="A507" s="762" t="e">
        <f ca="1">IF($H507="UNIDADE CONSTRUTIVA",OFFSET(A507,-1,0)+1,LARGE(A$3:A506,1))</f>
        <v>#NUM!</v>
      </c>
      <c r="B507" s="762">
        <f t="shared" ca="1" si="73"/>
        <v>5</v>
      </c>
      <c r="C507" s="762">
        <f t="shared" ca="1" si="74"/>
        <v>1</v>
      </c>
      <c r="D507" s="763">
        <f t="shared" ca="1" si="75"/>
        <v>5</v>
      </c>
      <c r="E507" s="763">
        <f t="shared" ca="1" si="76"/>
        <v>0</v>
      </c>
      <c r="G507" s="628"/>
      <c r="H507" s="766" t="s">
        <v>367</v>
      </c>
      <c r="I507" s="629" t="str">
        <f t="shared" ca="1" si="77"/>
        <v>05.001.005</v>
      </c>
      <c r="J507" s="654" t="s">
        <v>298</v>
      </c>
      <c r="K507" s="630"/>
      <c r="L507" s="631"/>
      <c r="M507" s="631"/>
      <c r="N507" s="646">
        <f>SUM(N508)</f>
        <v>120384.93</v>
      </c>
      <c r="O507" s="767"/>
      <c r="P507" s="632"/>
      <c r="R507" s="742"/>
      <c r="S507" s="742"/>
    </row>
    <row r="508" spans="1:19" s="761" customFormat="1" ht="22.5" hidden="1" outlineLevel="3" x14ac:dyDescent="0.2">
      <c r="A508" s="762" t="e">
        <f ca="1">IF($H508="UNIDADE CONSTRUTIVA",OFFSET(A508,-1,0)+1,LARGE(A$3:A507,1))</f>
        <v>#NUM!</v>
      </c>
      <c r="B508" s="762">
        <f t="shared" ca="1" si="73"/>
        <v>5</v>
      </c>
      <c r="C508" s="762">
        <f t="shared" ca="1" si="74"/>
        <v>1</v>
      </c>
      <c r="D508" s="763">
        <f t="shared" ca="1" si="75"/>
        <v>5</v>
      </c>
      <c r="E508" s="763">
        <f t="shared" ca="1" si="76"/>
        <v>1</v>
      </c>
      <c r="G508" s="628"/>
      <c r="H508" s="766" t="s">
        <v>368</v>
      </c>
      <c r="I508" s="629" t="str">
        <f t="shared" ca="1" si="77"/>
        <v>05.001.005.001</v>
      </c>
      <c r="J508" s="654" t="s">
        <v>298</v>
      </c>
      <c r="K508" s="630" t="s">
        <v>250</v>
      </c>
      <c r="L508" s="631">
        <v>1</v>
      </c>
      <c r="M508" s="631">
        <f>VLOOKUP(J508,Preços!$C$7:$F$498,4,FALSE)</f>
        <v>120384.93</v>
      </c>
      <c r="N508" s="646">
        <f>L508*M508</f>
        <v>120384.93</v>
      </c>
      <c r="O508" s="767" t="s">
        <v>530</v>
      </c>
      <c r="P508" s="632" t="s">
        <v>333</v>
      </c>
      <c r="R508" s="742"/>
      <c r="S508" s="742"/>
    </row>
    <row r="509" spans="1:19" s="761" customFormat="1" hidden="1" outlineLevel="2" collapsed="1" x14ac:dyDescent="0.2">
      <c r="A509" s="762" t="e">
        <f ca="1">IF($H509="UNIDADE CONSTRUTIVA",OFFSET(A509,-1,0)+1,LARGE(A$3:A508,1))</f>
        <v>#NUM!</v>
      </c>
      <c r="B509" s="762">
        <f t="shared" ca="1" si="73"/>
        <v>5</v>
      </c>
      <c r="C509" s="762">
        <f t="shared" ca="1" si="74"/>
        <v>1</v>
      </c>
      <c r="D509" s="763">
        <f t="shared" ca="1" si="75"/>
        <v>6</v>
      </c>
      <c r="E509" s="763">
        <f t="shared" ca="1" si="76"/>
        <v>0</v>
      </c>
      <c r="G509" s="628"/>
      <c r="H509" s="766" t="s">
        <v>367</v>
      </c>
      <c r="I509" s="629" t="str">
        <f t="shared" ca="1" si="77"/>
        <v>05.001.006</v>
      </c>
      <c r="J509" s="654" t="s">
        <v>299</v>
      </c>
      <c r="K509" s="630"/>
      <c r="L509" s="631"/>
      <c r="M509" s="631"/>
      <c r="N509" s="646">
        <f>SUM(N510)</f>
        <v>15132.07</v>
      </c>
      <c r="O509" s="767"/>
      <c r="P509" s="632"/>
      <c r="R509" s="742"/>
      <c r="S509" s="742"/>
    </row>
    <row r="510" spans="1:19" s="761" customFormat="1" ht="22.5" hidden="1" outlineLevel="3" x14ac:dyDescent="0.2">
      <c r="A510" s="762" t="e">
        <f ca="1">IF($H510="UNIDADE CONSTRUTIVA",OFFSET(A510,-1,0)+1,LARGE(A$3:A509,1))</f>
        <v>#NUM!</v>
      </c>
      <c r="B510" s="762">
        <f t="shared" ca="1" si="73"/>
        <v>5</v>
      </c>
      <c r="C510" s="762">
        <f t="shared" ca="1" si="74"/>
        <v>1</v>
      </c>
      <c r="D510" s="763">
        <f t="shared" ca="1" si="75"/>
        <v>6</v>
      </c>
      <c r="E510" s="763">
        <f t="shared" ca="1" si="76"/>
        <v>1</v>
      </c>
      <c r="G510" s="628"/>
      <c r="H510" s="766" t="s">
        <v>368</v>
      </c>
      <c r="I510" s="629" t="str">
        <f t="shared" ca="1" si="77"/>
        <v>05.001.006.001</v>
      </c>
      <c r="J510" s="654" t="s">
        <v>300</v>
      </c>
      <c r="K510" s="630" t="s">
        <v>250</v>
      </c>
      <c r="L510" s="631">
        <v>1</v>
      </c>
      <c r="M510" s="631">
        <f>VLOOKUP(J510,Preços!$C$7:$F$498,4,FALSE)</f>
        <v>15132.07</v>
      </c>
      <c r="N510" s="646">
        <f>L510*M510</f>
        <v>15132.07</v>
      </c>
      <c r="O510" s="767" t="s">
        <v>530</v>
      </c>
      <c r="P510" s="632" t="s">
        <v>333</v>
      </c>
      <c r="R510" s="742"/>
      <c r="S510" s="742"/>
    </row>
    <row r="511" spans="1:19" s="761" customFormat="1" hidden="1" outlineLevel="2" collapsed="1" x14ac:dyDescent="0.2">
      <c r="A511" s="762" t="e">
        <f ca="1">IF($H511="UNIDADE CONSTRUTIVA",OFFSET(A511,-1,0)+1,LARGE(A$3:A510,1))</f>
        <v>#NUM!</v>
      </c>
      <c r="B511" s="762">
        <f t="shared" ref="B511:B530" ca="1" si="78">IF(H511="UNIDADE CONSTRUTIVA",0,IF(H511="CÉLULA CONSTRUTIVA",OFFSET(B511,-1,0)+1,OFFSET(B511,-1,0)))</f>
        <v>5</v>
      </c>
      <c r="C511" s="762">
        <f t="shared" ref="C511:C530" ca="1" si="79">IF(H511="CÉLULA CONSTRUTIVA",0,IF(H511="ETAPA",OFFSET(C511,-1,0)+1,OFFSET(C511,-1,0)))</f>
        <v>1</v>
      </c>
      <c r="D511" s="763">
        <f t="shared" ref="D511:D530" ca="1" si="80">IF(H511="ETAPA",0,IF(H511="SUBETAPA",OFFSET(D511,-1,0)+1,OFFSET(D511,-1,0)))</f>
        <v>7</v>
      </c>
      <c r="E511" s="763">
        <f t="shared" ref="E511:E530" ca="1" si="81">IF(H511="Subetapa",0,IF(H511="serviço",OFFSET(E511,-1,0)+1,OFFSET(E511,-1,0)))</f>
        <v>0</v>
      </c>
      <c r="G511" s="628"/>
      <c r="H511" s="766" t="s">
        <v>367</v>
      </c>
      <c r="I511" s="629" t="str">
        <f t="shared" ref="I511:I530" ca="1" si="82">IF(H511="Unidade Construtiva",TEXT(A511,"00"),IF(H511="Célula Construtiva",TEXT(B511,"00"),IF(H511="Etapa",CONCATENATE(TEXT(B511,"00"),".",TEXT(C511,"000")),IF(H511="Subetapa",CONCATENATE(TEXT(B511,"00"),".",TEXT(C511,"000"),".",TEXT(D511,"000")),IF(H511="Serviço",CONCATENATE(TEXT(B511,"00"),".",TEXT(C511,"000"),".",TEXT(D511,"000"),".",TEXT(E511,"000")),"")))))</f>
        <v>05.001.007</v>
      </c>
      <c r="J511" s="654" t="s">
        <v>211</v>
      </c>
      <c r="K511" s="630"/>
      <c r="L511" s="631"/>
      <c r="M511" s="631"/>
      <c r="N511" s="646">
        <f>SUM(N512)</f>
        <v>521794.20000000007</v>
      </c>
      <c r="O511" s="767"/>
      <c r="P511" s="632"/>
      <c r="R511" s="742"/>
      <c r="S511" s="742"/>
    </row>
    <row r="512" spans="1:19" s="761" customFormat="1" ht="22.5" hidden="1" outlineLevel="3" x14ac:dyDescent="0.2">
      <c r="A512" s="762" t="e">
        <f ca="1">IF($H512="UNIDADE CONSTRUTIVA",OFFSET(A512,-1,0)+1,LARGE(A$3:A511,1))</f>
        <v>#NUM!</v>
      </c>
      <c r="B512" s="762">
        <f t="shared" ca="1" si="78"/>
        <v>5</v>
      </c>
      <c r="C512" s="762">
        <f t="shared" ca="1" si="79"/>
        <v>1</v>
      </c>
      <c r="D512" s="763">
        <f t="shared" ca="1" si="80"/>
        <v>7</v>
      </c>
      <c r="E512" s="763">
        <f t="shared" ca="1" si="81"/>
        <v>1</v>
      </c>
      <c r="G512" s="628"/>
      <c r="H512" s="766" t="s">
        <v>368</v>
      </c>
      <c r="I512" s="629" t="str">
        <f t="shared" ca="1" si="82"/>
        <v>05.001.007.001</v>
      </c>
      <c r="J512" s="654" t="s">
        <v>979</v>
      </c>
      <c r="K512" s="630" t="s">
        <v>1</v>
      </c>
      <c r="L512" s="631">
        <f>'Projeção torre'!F55</f>
        <v>8696.5700000000015</v>
      </c>
      <c r="M512" s="631">
        <f>VLOOKUP(J512,Preços!$C$7:$F$498,4,FALSE)</f>
        <v>60</v>
      </c>
      <c r="N512" s="646">
        <f>L512*M512</f>
        <v>521794.20000000007</v>
      </c>
      <c r="O512" s="767"/>
      <c r="P512" s="632" t="s">
        <v>333</v>
      </c>
      <c r="R512" s="742"/>
      <c r="S512" s="742"/>
    </row>
    <row r="513" spans="1:19" s="761" customFormat="1" collapsed="1" x14ac:dyDescent="0.2">
      <c r="A513" s="762" t="e">
        <f ca="1">IF($H513="UNIDADE CONSTRUTIVA",OFFSET(A513,-1,0)+1,LARGE(A$3:A619,1))</f>
        <v>#NUM!</v>
      </c>
      <c r="B513" s="762">
        <f t="shared" ca="1" si="78"/>
        <v>6</v>
      </c>
      <c r="C513" s="762">
        <f t="shared" ca="1" si="79"/>
        <v>0</v>
      </c>
      <c r="D513" s="763">
        <f t="shared" ca="1" si="80"/>
        <v>7</v>
      </c>
      <c r="E513" s="763">
        <f t="shared" ca="1" si="81"/>
        <v>1</v>
      </c>
      <c r="G513" s="628"/>
      <c r="H513" s="766" t="s">
        <v>365</v>
      </c>
      <c r="I513" s="629" t="str">
        <f t="shared" ca="1" si="82"/>
        <v>06</v>
      </c>
      <c r="J513" s="654" t="s">
        <v>302</v>
      </c>
      <c r="K513" s="630"/>
      <c r="L513" s="631"/>
      <c r="M513" s="631"/>
      <c r="N513" s="646">
        <f>N514</f>
        <v>106252.34</v>
      </c>
      <c r="O513" s="767"/>
      <c r="P513" s="632"/>
      <c r="R513" s="742"/>
      <c r="S513" s="742"/>
    </row>
    <row r="514" spans="1:19" s="761" customFormat="1" hidden="1" outlineLevel="1" collapsed="1" x14ac:dyDescent="0.2">
      <c r="A514" s="762" t="e">
        <f ca="1">IF($H514="UNIDADE CONSTRUTIVA",OFFSET(A514,-1,0)+1,LARGE(A$3:A513,1))</f>
        <v>#NUM!</v>
      </c>
      <c r="B514" s="762">
        <f t="shared" ca="1" si="78"/>
        <v>6</v>
      </c>
      <c r="C514" s="762">
        <f t="shared" ca="1" si="79"/>
        <v>1</v>
      </c>
      <c r="D514" s="763">
        <f t="shared" ca="1" si="80"/>
        <v>0</v>
      </c>
      <c r="E514" s="763">
        <f t="shared" ca="1" si="81"/>
        <v>1</v>
      </c>
      <c r="G514" s="628"/>
      <c r="H514" s="766" t="s">
        <v>366</v>
      </c>
      <c r="I514" s="629" t="str">
        <f t="shared" ca="1" si="82"/>
        <v>06.001</v>
      </c>
      <c r="J514" s="654" t="s">
        <v>302</v>
      </c>
      <c r="K514" s="630"/>
      <c r="L514" s="631"/>
      <c r="M514" s="631"/>
      <c r="N514" s="646">
        <f>N515</f>
        <v>106252.34</v>
      </c>
      <c r="O514" s="767"/>
      <c r="P514" s="632"/>
      <c r="R514" s="742"/>
      <c r="S514" s="742"/>
    </row>
    <row r="515" spans="1:19" s="761" customFormat="1" hidden="1" outlineLevel="2" collapsed="1" x14ac:dyDescent="0.2">
      <c r="A515" s="762" t="e">
        <f ca="1">IF($H515="UNIDADE CONSTRUTIVA",OFFSET(A515,-1,0)+1,LARGE(A$3:A514,1))</f>
        <v>#NUM!</v>
      </c>
      <c r="B515" s="762">
        <f t="shared" ca="1" si="78"/>
        <v>6</v>
      </c>
      <c r="C515" s="762">
        <f t="shared" ca="1" si="79"/>
        <v>1</v>
      </c>
      <c r="D515" s="763">
        <f t="shared" ca="1" si="80"/>
        <v>1</v>
      </c>
      <c r="E515" s="763">
        <f t="shared" ca="1" si="81"/>
        <v>0</v>
      </c>
      <c r="G515" s="628"/>
      <c r="H515" s="766" t="s">
        <v>367</v>
      </c>
      <c r="I515" s="629" t="str">
        <f t="shared" ca="1" si="82"/>
        <v>06.001.001</v>
      </c>
      <c r="J515" s="654" t="s">
        <v>1661</v>
      </c>
      <c r="K515" s="630"/>
      <c r="L515" s="631"/>
      <c r="M515" s="631"/>
      <c r="N515" s="646">
        <f>N516</f>
        <v>106252.34</v>
      </c>
      <c r="O515" s="767"/>
      <c r="P515" s="632"/>
      <c r="R515" s="742"/>
      <c r="S515" s="742"/>
    </row>
    <row r="516" spans="1:19" s="761" customFormat="1" ht="22.5" hidden="1" outlineLevel="2" x14ac:dyDescent="0.2">
      <c r="A516" s="762" t="e">
        <f ca="1">IF($H516="UNIDADE CONSTRUTIVA",OFFSET(A516,-1,0)+1,LARGE(A$3:A515,1))</f>
        <v>#NUM!</v>
      </c>
      <c r="B516" s="762">
        <f t="shared" ca="1" si="78"/>
        <v>6</v>
      </c>
      <c r="C516" s="762">
        <f t="shared" ca="1" si="79"/>
        <v>1</v>
      </c>
      <c r="D516" s="763">
        <f t="shared" ca="1" si="80"/>
        <v>1</v>
      </c>
      <c r="E516" s="763">
        <f t="shared" ca="1" si="81"/>
        <v>1</v>
      </c>
      <c r="G516" s="628"/>
      <c r="H516" s="766" t="s">
        <v>368</v>
      </c>
      <c r="I516" s="629" t="str">
        <f t="shared" ca="1" si="82"/>
        <v>06.001.001.001</v>
      </c>
      <c r="J516" s="654" t="s">
        <v>984</v>
      </c>
      <c r="K516" s="630" t="s">
        <v>250</v>
      </c>
      <c r="L516" s="631">
        <v>1</v>
      </c>
      <c r="M516" s="631">
        <f>VLOOKUP(J516,Preços!$C$7:$F$498,4,FALSE)</f>
        <v>106252.34</v>
      </c>
      <c r="N516" s="646">
        <f>L516*M516</f>
        <v>106252.34</v>
      </c>
      <c r="O516" s="767" t="s">
        <v>530</v>
      </c>
      <c r="P516" s="632" t="s">
        <v>333</v>
      </c>
      <c r="R516" s="742"/>
      <c r="S516" s="742"/>
    </row>
    <row r="517" spans="1:19" s="761" customFormat="1" ht="22.5" collapsed="1" x14ac:dyDescent="0.2">
      <c r="A517" s="762" t="e">
        <f ca="1">IF($H517="UNIDADE CONSTRUTIVA",OFFSET(A517,-1,0)+1,LARGE(A$3:A619,1))</f>
        <v>#NUM!</v>
      </c>
      <c r="B517" s="762">
        <f t="shared" ca="1" si="78"/>
        <v>7</v>
      </c>
      <c r="C517" s="762">
        <f t="shared" ca="1" si="79"/>
        <v>0</v>
      </c>
      <c r="D517" s="763">
        <f t="shared" ca="1" si="80"/>
        <v>1</v>
      </c>
      <c r="E517" s="763">
        <f t="shared" ca="1" si="81"/>
        <v>1</v>
      </c>
      <c r="G517" s="628"/>
      <c r="H517" s="766" t="s">
        <v>365</v>
      </c>
      <c r="I517" s="629" t="str">
        <f t="shared" ca="1" si="82"/>
        <v>07</v>
      </c>
      <c r="J517" s="654" t="s">
        <v>292</v>
      </c>
      <c r="K517" s="630"/>
      <c r="L517" s="631"/>
      <c r="M517" s="631"/>
      <c r="N517" s="646">
        <f>SUM(N518,N531,N538,N545,N552,N561,N570)</f>
        <v>1139543.3599999999</v>
      </c>
      <c r="O517" s="767"/>
      <c r="P517" s="632"/>
      <c r="R517" s="742"/>
      <c r="S517" s="742"/>
    </row>
    <row r="518" spans="1:19" s="761" customFormat="1" ht="22.5" hidden="1" outlineLevel="1" collapsed="1" x14ac:dyDescent="0.2">
      <c r="A518" s="762" t="e">
        <f ca="1">IF($H518="UNIDADE CONSTRUTIVA",OFFSET(A518,-1,0)+1,LARGE(A$3:A517,1))</f>
        <v>#NUM!</v>
      </c>
      <c r="B518" s="762">
        <f t="shared" ca="1" si="78"/>
        <v>7</v>
      </c>
      <c r="C518" s="762">
        <f t="shared" ca="1" si="79"/>
        <v>1</v>
      </c>
      <c r="D518" s="763">
        <f t="shared" ca="1" si="80"/>
        <v>0</v>
      </c>
      <c r="E518" s="763">
        <f t="shared" ca="1" si="81"/>
        <v>1</v>
      </c>
      <c r="G518" s="628"/>
      <c r="H518" s="766" t="s">
        <v>366</v>
      </c>
      <c r="I518" s="629" t="str">
        <f t="shared" ca="1" si="82"/>
        <v>07.001</v>
      </c>
      <c r="J518" s="654" t="s">
        <v>1634</v>
      </c>
      <c r="K518" s="630"/>
      <c r="L518" s="631"/>
      <c r="M518" s="631"/>
      <c r="N518" s="646">
        <f>SUM(N519,N521,N523,N525,N527,N529)</f>
        <v>359955.02999999997</v>
      </c>
      <c r="O518" s="767"/>
      <c r="P518" s="632"/>
      <c r="R518" s="742"/>
      <c r="S518" s="742"/>
    </row>
    <row r="519" spans="1:19" s="761" customFormat="1" hidden="1" outlineLevel="2" collapsed="1" x14ac:dyDescent="0.2">
      <c r="A519" s="762" t="e">
        <f ca="1">IF($H519="UNIDADE CONSTRUTIVA",OFFSET(A519,-1,0)+1,LARGE(A$3:A518,1))</f>
        <v>#NUM!</v>
      </c>
      <c r="B519" s="762">
        <f ca="1">IF(H519="UNIDADE CONSTRUTIVA",0,IF(H519="CÉLULA CONSTRUTIVA",OFFSET(B519,-1,0)+1,OFFSET(B519,-1,0)))</f>
        <v>7</v>
      </c>
      <c r="C519" s="762">
        <f ca="1">IF(H519="CÉLULA CONSTRUTIVA",0,IF(H519="ETAPA",OFFSET(C519,-1,0)+1,OFFSET(C519,-1,0)))</f>
        <v>1</v>
      </c>
      <c r="D519" s="763">
        <f ca="1">IF(H519="ETAPA",0,IF(H519="SUBETAPA",OFFSET(D519,-1,0)+1,OFFSET(D519,-1,0)))</f>
        <v>1</v>
      </c>
      <c r="E519" s="763">
        <f ca="1">IF(H519="Subetapa",0,IF(H519="serviço",OFFSET(E519,-1,0)+1,OFFSET(E519,-1,0)))</f>
        <v>0</v>
      </c>
      <c r="G519" s="628"/>
      <c r="H519" s="766" t="s">
        <v>367</v>
      </c>
      <c r="I519" s="629" t="str">
        <f ca="1">IF(H519="Unidade Construtiva",TEXT(A519,"00"),IF(H519="Célula Construtiva",TEXT(B519,"00"),IF(H519="Etapa",CONCATENATE(TEXT(B519,"00"),".",TEXT(C519,"000")),IF(H519="Subetapa",CONCATENATE(TEXT(B519,"00"),".",TEXT(C519,"000"),".",TEXT(D519,"000")),IF(H519="Serviço",CONCATENATE(TEXT(B519,"00"),".",TEXT(C519,"000"),".",TEXT(D519,"000"),".",TEXT(E519,"000")),"")))))</f>
        <v>07.001.001</v>
      </c>
      <c r="J519" s="654" t="s">
        <v>1697</v>
      </c>
      <c r="K519" s="630"/>
      <c r="L519" s="631"/>
      <c r="M519" s="631"/>
      <c r="N519" s="646">
        <f>SUM(N520)</f>
        <v>241320</v>
      </c>
      <c r="O519" s="767"/>
      <c r="P519" s="632"/>
      <c r="R519" s="742"/>
      <c r="S519" s="742"/>
    </row>
    <row r="520" spans="1:19" s="761" customFormat="1" ht="22.5" hidden="1" outlineLevel="3" x14ac:dyDescent="0.2">
      <c r="A520" s="762" t="e">
        <f ca="1">IF($H520="UNIDADE CONSTRUTIVA",OFFSET(A520,-1,0)+1,LARGE(A$3:A519,1))</f>
        <v>#NUM!</v>
      </c>
      <c r="B520" s="762">
        <f ca="1">IF(H520="UNIDADE CONSTRUTIVA",0,IF(H520="CÉLULA CONSTRUTIVA",OFFSET(B520,-1,0)+1,OFFSET(B520,-1,0)))</f>
        <v>7</v>
      </c>
      <c r="C520" s="762">
        <f ca="1">IF(H520="CÉLULA CONSTRUTIVA",0,IF(H520="ETAPA",OFFSET(C520,-1,0)+1,OFFSET(C520,-1,0)))</f>
        <v>1</v>
      </c>
      <c r="D520" s="763">
        <f ca="1">IF(H520="ETAPA",0,IF(H520="SUBETAPA",OFFSET(D520,-1,0)+1,OFFSET(D520,-1,0)))</f>
        <v>1</v>
      </c>
      <c r="E520" s="763">
        <f ca="1">IF(H520="Subetapa",0,IF(H520="serviço",OFFSET(E520,-1,0)+1,OFFSET(E520,-1,0)))</f>
        <v>1</v>
      </c>
      <c r="G520" s="628"/>
      <c r="H520" s="766" t="s">
        <v>368</v>
      </c>
      <c r="I520" s="629" t="str">
        <f ca="1">IF(H520="Unidade Construtiva",TEXT(A520,"00"),IF(H520="Célula Construtiva",TEXT(B520,"00"),IF(H520="Etapa",CONCATENATE(TEXT(B520,"00"),".",TEXT(C520,"000")),IF(H520="Subetapa",CONCATENATE(TEXT(B520,"00"),".",TEXT(C520,"000"),".",TEXT(D520,"000")),IF(H520="Serviço",CONCATENATE(TEXT(B520,"00"),".",TEXT(C520,"000"),".",TEXT(D520,"000"),".",TEXT(E520,"000")),"")))))</f>
        <v>07.001.001.001</v>
      </c>
      <c r="J520" s="654" t="s">
        <v>1699</v>
      </c>
      <c r="K520" s="630" t="s">
        <v>250</v>
      </c>
      <c r="L520" s="631">
        <v>1</v>
      </c>
      <c r="M520" s="631">
        <f>VLOOKUP(J520,Preços!$C$7:$F$498,4,FALSE)</f>
        <v>241320</v>
      </c>
      <c r="N520" s="646">
        <f>L520*M520</f>
        <v>241320</v>
      </c>
      <c r="O520" s="767"/>
      <c r="P520" s="632" t="s">
        <v>333</v>
      </c>
      <c r="R520" s="742"/>
      <c r="S520" s="742"/>
    </row>
    <row r="521" spans="1:19" s="761" customFormat="1" hidden="1" outlineLevel="2" collapsed="1" x14ac:dyDescent="0.2">
      <c r="A521" s="762" t="e">
        <f ca="1">IF($H521="UNIDADE CONSTRUTIVA",OFFSET(A521,-1,0)+1,LARGE(A$3:A518,1))</f>
        <v>#NUM!</v>
      </c>
      <c r="B521" s="762">
        <f t="shared" ca="1" si="78"/>
        <v>7</v>
      </c>
      <c r="C521" s="762">
        <f t="shared" ca="1" si="79"/>
        <v>1</v>
      </c>
      <c r="D521" s="763">
        <f t="shared" ca="1" si="80"/>
        <v>2</v>
      </c>
      <c r="E521" s="763">
        <f t="shared" ca="1" si="81"/>
        <v>0</v>
      </c>
      <c r="G521" s="628"/>
      <c r="H521" s="766" t="s">
        <v>367</v>
      </c>
      <c r="I521" s="629" t="str">
        <f t="shared" ca="1" si="82"/>
        <v>07.001.002</v>
      </c>
      <c r="J521" s="654" t="s">
        <v>293</v>
      </c>
      <c r="K521" s="630"/>
      <c r="L521" s="631"/>
      <c r="M521" s="631"/>
      <c r="N521" s="646">
        <f>SUM(N522)</f>
        <v>5265.99</v>
      </c>
      <c r="O521" s="767"/>
      <c r="P521" s="632"/>
      <c r="R521" s="742"/>
      <c r="S521" s="742"/>
    </row>
    <row r="522" spans="1:19" s="761" customFormat="1" ht="22.5" hidden="1" outlineLevel="3" x14ac:dyDescent="0.2">
      <c r="A522" s="762" t="e">
        <f ca="1">IF($H522="UNIDADE CONSTRUTIVA",OFFSET(A522,-1,0)+1,LARGE(A$3:A521,1))</f>
        <v>#NUM!</v>
      </c>
      <c r="B522" s="762">
        <f t="shared" ca="1" si="78"/>
        <v>7</v>
      </c>
      <c r="C522" s="762">
        <f t="shared" ca="1" si="79"/>
        <v>1</v>
      </c>
      <c r="D522" s="763">
        <f t="shared" ca="1" si="80"/>
        <v>2</v>
      </c>
      <c r="E522" s="763">
        <f t="shared" ca="1" si="81"/>
        <v>1</v>
      </c>
      <c r="G522" s="628"/>
      <c r="H522" s="766" t="s">
        <v>368</v>
      </c>
      <c r="I522" s="629" t="str">
        <f t="shared" ca="1" si="82"/>
        <v>07.001.002.001</v>
      </c>
      <c r="J522" s="654" t="s">
        <v>1134</v>
      </c>
      <c r="K522" s="630" t="s">
        <v>250</v>
      </c>
      <c r="L522" s="631">
        <v>1</v>
      </c>
      <c r="M522" s="631">
        <f>VLOOKUP(J522,Preços!$C$7:$F$498,4,FALSE)</f>
        <v>5265.99</v>
      </c>
      <c r="N522" s="646">
        <f>L522*M522</f>
        <v>5265.99</v>
      </c>
      <c r="O522" s="767" t="s">
        <v>530</v>
      </c>
      <c r="P522" s="632" t="s">
        <v>333</v>
      </c>
      <c r="R522" s="742"/>
      <c r="S522" s="742"/>
    </row>
    <row r="523" spans="1:19" s="761" customFormat="1" hidden="1" outlineLevel="2" collapsed="1" x14ac:dyDescent="0.2">
      <c r="A523" s="762" t="e">
        <f ca="1">IF($H523="UNIDADE CONSTRUTIVA",OFFSET(A523,-1,0)+1,LARGE(A$3:A522,1))</f>
        <v>#NUM!</v>
      </c>
      <c r="B523" s="762">
        <f t="shared" ca="1" si="78"/>
        <v>7</v>
      </c>
      <c r="C523" s="762">
        <f t="shared" ca="1" si="79"/>
        <v>1</v>
      </c>
      <c r="D523" s="763">
        <f t="shared" ca="1" si="80"/>
        <v>3</v>
      </c>
      <c r="E523" s="763">
        <f t="shared" ca="1" si="81"/>
        <v>0</v>
      </c>
      <c r="G523" s="628"/>
      <c r="H523" s="766" t="s">
        <v>367</v>
      </c>
      <c r="I523" s="629" t="str">
        <f t="shared" ca="1" si="82"/>
        <v>07.001.003</v>
      </c>
      <c r="J523" s="654" t="s">
        <v>294</v>
      </c>
      <c r="K523" s="630"/>
      <c r="L523" s="631"/>
      <c r="M523" s="631"/>
      <c r="N523" s="646">
        <f>SUM(N524)</f>
        <v>10789.45</v>
      </c>
      <c r="O523" s="767"/>
      <c r="P523" s="632"/>
      <c r="R523" s="742"/>
      <c r="S523" s="742"/>
    </row>
    <row r="524" spans="1:19" s="761" customFormat="1" ht="22.5" hidden="1" outlineLevel="3" x14ac:dyDescent="0.2">
      <c r="A524" s="762" t="e">
        <f ca="1">IF($H524="UNIDADE CONSTRUTIVA",OFFSET(A524,-1,0)+1,LARGE(A$3:A523,1))</f>
        <v>#NUM!</v>
      </c>
      <c r="B524" s="762">
        <f t="shared" ca="1" si="78"/>
        <v>7</v>
      </c>
      <c r="C524" s="762">
        <f t="shared" ca="1" si="79"/>
        <v>1</v>
      </c>
      <c r="D524" s="763">
        <f t="shared" ca="1" si="80"/>
        <v>3</v>
      </c>
      <c r="E524" s="763">
        <f t="shared" ca="1" si="81"/>
        <v>1</v>
      </c>
      <c r="G524" s="628"/>
      <c r="H524" s="766" t="s">
        <v>368</v>
      </c>
      <c r="I524" s="629" t="str">
        <f t="shared" ca="1" si="82"/>
        <v>07.001.003.001</v>
      </c>
      <c r="J524" s="654" t="s">
        <v>1135</v>
      </c>
      <c r="K524" s="630" t="s">
        <v>250</v>
      </c>
      <c r="L524" s="631">
        <v>1</v>
      </c>
      <c r="M524" s="631">
        <f>VLOOKUP(J524,Preços!$C$7:$F$498,4,FALSE)</f>
        <v>10789.45</v>
      </c>
      <c r="N524" s="646">
        <f>L524*M524</f>
        <v>10789.45</v>
      </c>
      <c r="O524" s="767" t="s">
        <v>530</v>
      </c>
      <c r="P524" s="632" t="s">
        <v>333</v>
      </c>
      <c r="R524" s="742"/>
      <c r="S524" s="742"/>
    </row>
    <row r="525" spans="1:19" s="761" customFormat="1" hidden="1" outlineLevel="2" collapsed="1" x14ac:dyDescent="0.2">
      <c r="A525" s="762" t="e">
        <f ca="1">IF($H525="UNIDADE CONSTRUTIVA",OFFSET(A525,-1,0)+1,LARGE(A$3:A524,1))</f>
        <v>#NUM!</v>
      </c>
      <c r="B525" s="762">
        <f t="shared" ca="1" si="78"/>
        <v>7</v>
      </c>
      <c r="C525" s="762">
        <f t="shared" ca="1" si="79"/>
        <v>1</v>
      </c>
      <c r="D525" s="763">
        <f t="shared" ca="1" si="80"/>
        <v>4</v>
      </c>
      <c r="E525" s="763">
        <f t="shared" ca="1" si="81"/>
        <v>0</v>
      </c>
      <c r="G525" s="628"/>
      <c r="H525" s="766" t="s">
        <v>367</v>
      </c>
      <c r="I525" s="629" t="str">
        <f t="shared" ca="1" si="82"/>
        <v>07.001.004</v>
      </c>
      <c r="J525" s="654" t="s">
        <v>1641</v>
      </c>
      <c r="K525" s="630"/>
      <c r="L525" s="631"/>
      <c r="M525" s="631"/>
      <c r="N525" s="646">
        <f>SUM(N526)</f>
        <v>15609.97</v>
      </c>
      <c r="O525" s="767"/>
      <c r="P525" s="632"/>
      <c r="R525" s="742"/>
      <c r="S525" s="742"/>
    </row>
    <row r="526" spans="1:19" s="761" customFormat="1" ht="22.5" hidden="1" outlineLevel="3" x14ac:dyDescent="0.2">
      <c r="A526" s="762" t="e">
        <f ca="1">IF($H526="UNIDADE CONSTRUTIVA",OFFSET(A526,-1,0)+1,LARGE(A$3:A525,1))</f>
        <v>#NUM!</v>
      </c>
      <c r="B526" s="762">
        <f t="shared" ca="1" si="78"/>
        <v>7</v>
      </c>
      <c r="C526" s="762">
        <f t="shared" ca="1" si="79"/>
        <v>1</v>
      </c>
      <c r="D526" s="763">
        <f t="shared" ca="1" si="80"/>
        <v>4</v>
      </c>
      <c r="E526" s="763">
        <f t="shared" ca="1" si="81"/>
        <v>1</v>
      </c>
      <c r="G526" s="628"/>
      <c r="H526" s="766" t="s">
        <v>368</v>
      </c>
      <c r="I526" s="629" t="str">
        <f t="shared" ca="1" si="82"/>
        <v>07.001.004.001</v>
      </c>
      <c r="J526" s="654" t="s">
        <v>1136</v>
      </c>
      <c r="K526" s="630" t="s">
        <v>250</v>
      </c>
      <c r="L526" s="631">
        <v>1</v>
      </c>
      <c r="M526" s="631">
        <f>VLOOKUP(J526,Preços!$C$7:$F$498,4,FALSE)</f>
        <v>15609.97</v>
      </c>
      <c r="N526" s="646">
        <f>L526*M526</f>
        <v>15609.97</v>
      </c>
      <c r="O526" s="767" t="s">
        <v>530</v>
      </c>
      <c r="P526" s="632" t="s">
        <v>333</v>
      </c>
      <c r="R526" s="742"/>
      <c r="S526" s="742"/>
    </row>
    <row r="527" spans="1:19" s="761" customFormat="1" hidden="1" outlineLevel="2" collapsed="1" x14ac:dyDescent="0.2">
      <c r="A527" s="762" t="e">
        <f ca="1">IF($H527="UNIDADE CONSTRUTIVA",OFFSET(A527,-1,0)+1,LARGE(A$3:A526,1))</f>
        <v>#NUM!</v>
      </c>
      <c r="B527" s="762">
        <f t="shared" ca="1" si="78"/>
        <v>7</v>
      </c>
      <c r="C527" s="762">
        <f t="shared" ca="1" si="79"/>
        <v>1</v>
      </c>
      <c r="D527" s="763">
        <f t="shared" ca="1" si="80"/>
        <v>5</v>
      </c>
      <c r="E527" s="763">
        <f t="shared" ca="1" si="81"/>
        <v>0</v>
      </c>
      <c r="G527" s="628"/>
      <c r="H527" s="766" t="s">
        <v>367</v>
      </c>
      <c r="I527" s="629" t="str">
        <f t="shared" ca="1" si="82"/>
        <v>07.001.005</v>
      </c>
      <c r="J527" s="654" t="s">
        <v>777</v>
      </c>
      <c r="K527" s="630"/>
      <c r="L527" s="631"/>
      <c r="M527" s="631"/>
      <c r="N527" s="646">
        <f>SUM(N528)</f>
        <v>52715.07</v>
      </c>
      <c r="O527" s="767"/>
      <c r="P527" s="632"/>
      <c r="R527" s="742"/>
      <c r="S527" s="742"/>
    </row>
    <row r="528" spans="1:19" s="761" customFormat="1" ht="22.5" hidden="1" outlineLevel="3" x14ac:dyDescent="0.2">
      <c r="A528" s="762" t="e">
        <f ca="1">IF($H528="UNIDADE CONSTRUTIVA",OFFSET(A528,-1,0)+1,LARGE(A$3:A527,1))</f>
        <v>#NUM!</v>
      </c>
      <c r="B528" s="762">
        <f t="shared" ca="1" si="78"/>
        <v>7</v>
      </c>
      <c r="C528" s="762">
        <f t="shared" ca="1" si="79"/>
        <v>1</v>
      </c>
      <c r="D528" s="763">
        <f t="shared" ca="1" si="80"/>
        <v>5</v>
      </c>
      <c r="E528" s="763">
        <f t="shared" ca="1" si="81"/>
        <v>1</v>
      </c>
      <c r="G528" s="628"/>
      <c r="H528" s="766" t="s">
        <v>368</v>
      </c>
      <c r="I528" s="629" t="str">
        <f t="shared" ca="1" si="82"/>
        <v>07.001.005.001</v>
      </c>
      <c r="J528" s="654" t="s">
        <v>1642</v>
      </c>
      <c r="K528" s="630" t="s">
        <v>250</v>
      </c>
      <c r="L528" s="631">
        <v>1</v>
      </c>
      <c r="M528" s="631">
        <f>VLOOKUP(J528,Preços!$C$7:$F$498,4,FALSE)</f>
        <v>52715.07</v>
      </c>
      <c r="N528" s="646">
        <f>L528*M528</f>
        <v>52715.07</v>
      </c>
      <c r="O528" s="767" t="s">
        <v>530</v>
      </c>
      <c r="P528" s="632" t="s">
        <v>333</v>
      </c>
      <c r="R528" s="742"/>
      <c r="S528" s="742"/>
    </row>
    <row r="529" spans="1:19" s="761" customFormat="1" hidden="1" outlineLevel="2" collapsed="1" x14ac:dyDescent="0.2">
      <c r="A529" s="762" t="e">
        <f ca="1">IF($H529="UNIDADE CONSTRUTIVA",OFFSET(A529,-1,0)+1,LARGE(A$3:A526,1))</f>
        <v>#NUM!</v>
      </c>
      <c r="B529" s="762">
        <f t="shared" ca="1" si="78"/>
        <v>7</v>
      </c>
      <c r="C529" s="762">
        <f t="shared" ca="1" si="79"/>
        <v>1</v>
      </c>
      <c r="D529" s="763">
        <f t="shared" ca="1" si="80"/>
        <v>6</v>
      </c>
      <c r="E529" s="763">
        <f t="shared" ca="1" si="81"/>
        <v>0</v>
      </c>
      <c r="G529" s="628"/>
      <c r="H529" s="766" t="s">
        <v>367</v>
      </c>
      <c r="I529" s="629" t="str">
        <f t="shared" ca="1" si="82"/>
        <v>07.001.006</v>
      </c>
      <c r="J529" s="654" t="s">
        <v>211</v>
      </c>
      <c r="K529" s="630"/>
      <c r="L529" s="631"/>
      <c r="M529" s="631"/>
      <c r="N529" s="646">
        <f>SUM(N530)</f>
        <v>34254.549999999996</v>
      </c>
      <c r="O529" s="767"/>
      <c r="P529" s="632"/>
      <c r="R529" s="742"/>
      <c r="S529" s="742"/>
    </row>
    <row r="530" spans="1:19" s="761" customFormat="1" ht="22.5" hidden="1" outlineLevel="2" x14ac:dyDescent="0.2">
      <c r="A530" s="762" t="e">
        <f ca="1">IF($H530="UNIDADE CONSTRUTIVA",OFFSET(A530,-1,0)+1,LARGE(A$3:A529,1))</f>
        <v>#NUM!</v>
      </c>
      <c r="B530" s="762">
        <f t="shared" ca="1" si="78"/>
        <v>7</v>
      </c>
      <c r="C530" s="762">
        <f t="shared" ca="1" si="79"/>
        <v>1</v>
      </c>
      <c r="D530" s="763">
        <f t="shared" ca="1" si="80"/>
        <v>6</v>
      </c>
      <c r="E530" s="763">
        <f t="shared" ca="1" si="81"/>
        <v>1</v>
      </c>
      <c r="G530" s="628"/>
      <c r="H530" s="766" t="s">
        <v>368</v>
      </c>
      <c r="I530" s="629" t="str">
        <f t="shared" ca="1" si="82"/>
        <v>07.001.006.001</v>
      </c>
      <c r="J530" s="654" t="s">
        <v>981</v>
      </c>
      <c r="K530" s="630" t="s">
        <v>1</v>
      </c>
      <c r="L530" s="631">
        <f>'Projeção torre'!F45</f>
        <v>622.80999999999995</v>
      </c>
      <c r="M530" s="631">
        <f>VLOOKUP(J530,Preços!$C$7:$F$498,4,FALSE)</f>
        <v>55</v>
      </c>
      <c r="N530" s="646">
        <f>L530*M530</f>
        <v>34254.549999999996</v>
      </c>
      <c r="O530" s="767"/>
      <c r="P530" s="632" t="s">
        <v>333</v>
      </c>
      <c r="R530" s="742"/>
      <c r="S530" s="742"/>
    </row>
    <row r="531" spans="1:19" s="761" customFormat="1" ht="22.5" hidden="1" outlineLevel="1" collapsed="1" x14ac:dyDescent="0.2">
      <c r="A531" s="762" t="e">
        <f ca="1">IF($H531="UNIDADE CONSTRUTIVA",OFFSET(A531,-1,0)+1,LARGE(A$3:A530,1))</f>
        <v>#NUM!</v>
      </c>
      <c r="B531" s="762">
        <f t="shared" ref="B531:B560" ca="1" si="83">IF(H531="UNIDADE CONSTRUTIVA",0,IF(H531="CÉLULA CONSTRUTIVA",OFFSET(B531,-1,0)+1,OFFSET(B531,-1,0)))</f>
        <v>7</v>
      </c>
      <c r="C531" s="762">
        <f t="shared" ref="C531:C560" ca="1" si="84">IF(H531="CÉLULA CONSTRUTIVA",0,IF(H531="ETAPA",OFFSET(C531,-1,0)+1,OFFSET(C531,-1,0)))</f>
        <v>2</v>
      </c>
      <c r="D531" s="763">
        <f t="shared" ref="D531:D560" ca="1" si="85">IF(H531="ETAPA",0,IF(H531="SUBETAPA",OFFSET(D531,-1,0)+1,OFFSET(D531,-1,0)))</f>
        <v>0</v>
      </c>
      <c r="E531" s="763">
        <f t="shared" ref="E531:E560" ca="1" si="86">IF(H531="Subetapa",0,IF(H531="serviço",OFFSET(E531,-1,0)+1,OFFSET(E531,-1,0)))</f>
        <v>1</v>
      </c>
      <c r="G531" s="628"/>
      <c r="H531" s="766" t="s">
        <v>366</v>
      </c>
      <c r="I531" s="629" t="str">
        <f t="shared" ref="I531:I560" ca="1" si="87">IF(H531="Unidade Construtiva",TEXT(A531,"00"),IF(H531="Célula Construtiva",TEXT(B531,"00"),IF(H531="Etapa",CONCATENATE(TEXT(B531,"00"),".",TEXT(C531,"000")),IF(H531="Subetapa",CONCATENATE(TEXT(B531,"00"),".",TEXT(C531,"000"),".",TEXT(D531,"000")),IF(H531="Serviço",CONCATENATE(TEXT(B531,"00"),".",TEXT(C531,"000"),".",TEXT(D531,"000"),".",TEXT(E531,"000")),"")))))</f>
        <v>07.002</v>
      </c>
      <c r="J531" s="654" t="s">
        <v>1635</v>
      </c>
      <c r="K531" s="630"/>
      <c r="L531" s="631"/>
      <c r="M531" s="631"/>
      <c r="N531" s="646">
        <f>SUM(N532,N534,N536)</f>
        <v>42146.67</v>
      </c>
      <c r="O531" s="767"/>
      <c r="P531" s="632"/>
      <c r="R531" s="742"/>
      <c r="S531" s="742"/>
    </row>
    <row r="532" spans="1:19" s="761" customFormat="1" hidden="1" outlineLevel="2" collapsed="1" x14ac:dyDescent="0.2">
      <c r="A532" s="762" t="e">
        <f ca="1">IF($H532="UNIDADE CONSTRUTIVA",OFFSET(A532,-1,0)+1,LARGE(A$3:A531,1))</f>
        <v>#NUM!</v>
      </c>
      <c r="B532" s="762">
        <f t="shared" ca="1" si="83"/>
        <v>7</v>
      </c>
      <c r="C532" s="762">
        <f t="shared" ca="1" si="84"/>
        <v>2</v>
      </c>
      <c r="D532" s="763">
        <f t="shared" ca="1" si="85"/>
        <v>1</v>
      </c>
      <c r="E532" s="763">
        <f t="shared" ca="1" si="86"/>
        <v>0</v>
      </c>
      <c r="G532" s="628"/>
      <c r="H532" s="766" t="s">
        <v>367</v>
      </c>
      <c r="I532" s="629" t="str">
        <f t="shared" ca="1" si="87"/>
        <v>07.002.001</v>
      </c>
      <c r="J532" s="654" t="s">
        <v>293</v>
      </c>
      <c r="K532" s="630"/>
      <c r="L532" s="631"/>
      <c r="M532" s="631"/>
      <c r="N532" s="646">
        <f>SUM(N533)</f>
        <v>114.96</v>
      </c>
      <c r="O532" s="767"/>
      <c r="P532" s="632"/>
      <c r="R532" s="742"/>
      <c r="S532" s="742"/>
    </row>
    <row r="533" spans="1:19" s="761" customFormat="1" ht="22.5" hidden="1" outlineLevel="3" x14ac:dyDescent="0.2">
      <c r="A533" s="762" t="e">
        <f ca="1">IF($H533="UNIDADE CONSTRUTIVA",OFFSET(A533,-1,0)+1,LARGE(A$3:A532,1))</f>
        <v>#NUM!</v>
      </c>
      <c r="B533" s="762">
        <f t="shared" ca="1" si="83"/>
        <v>7</v>
      </c>
      <c r="C533" s="762">
        <f t="shared" ca="1" si="84"/>
        <v>2</v>
      </c>
      <c r="D533" s="763">
        <f t="shared" ca="1" si="85"/>
        <v>1</v>
      </c>
      <c r="E533" s="763">
        <f t="shared" ca="1" si="86"/>
        <v>1</v>
      </c>
      <c r="G533" s="628"/>
      <c r="H533" s="766" t="s">
        <v>368</v>
      </c>
      <c r="I533" s="629" t="str">
        <f t="shared" ca="1" si="87"/>
        <v>07.002.001.001</v>
      </c>
      <c r="J533" s="654" t="s">
        <v>1138</v>
      </c>
      <c r="K533" s="630" t="s">
        <v>250</v>
      </c>
      <c r="L533" s="631">
        <v>1</v>
      </c>
      <c r="M533" s="631">
        <f>VLOOKUP(J533,Preços!$C$7:$F$498,4,FALSE)</f>
        <v>114.96</v>
      </c>
      <c r="N533" s="646">
        <f>L533*M533</f>
        <v>114.96</v>
      </c>
      <c r="O533" s="767" t="s">
        <v>530</v>
      </c>
      <c r="P533" s="632" t="s">
        <v>333</v>
      </c>
      <c r="R533" s="742"/>
      <c r="S533" s="742"/>
    </row>
    <row r="534" spans="1:19" s="761" customFormat="1" hidden="1" outlineLevel="2" collapsed="1" x14ac:dyDescent="0.2">
      <c r="A534" s="762" t="e">
        <f ca="1">IF($H534="UNIDADE CONSTRUTIVA",OFFSET(A534,-1,0)+1,LARGE(A$3:A533,1))</f>
        <v>#NUM!</v>
      </c>
      <c r="B534" s="762">
        <f t="shared" ca="1" si="83"/>
        <v>7</v>
      </c>
      <c r="C534" s="762">
        <f t="shared" ca="1" si="84"/>
        <v>2</v>
      </c>
      <c r="D534" s="763">
        <f t="shared" ca="1" si="85"/>
        <v>2</v>
      </c>
      <c r="E534" s="763">
        <f t="shared" ca="1" si="86"/>
        <v>0</v>
      </c>
      <c r="G534" s="628"/>
      <c r="H534" s="766" t="s">
        <v>367</v>
      </c>
      <c r="I534" s="629" t="str">
        <f t="shared" ca="1" si="87"/>
        <v>07.002.002</v>
      </c>
      <c r="J534" s="654" t="s">
        <v>1641</v>
      </c>
      <c r="K534" s="630"/>
      <c r="L534" s="631"/>
      <c r="M534" s="631"/>
      <c r="N534" s="646">
        <f>SUM(N535)</f>
        <v>6113.96</v>
      </c>
      <c r="O534" s="767"/>
      <c r="P534" s="632"/>
      <c r="R534" s="742"/>
      <c r="S534" s="742"/>
    </row>
    <row r="535" spans="1:19" s="761" customFormat="1" ht="22.5" hidden="1" outlineLevel="3" x14ac:dyDescent="0.2">
      <c r="A535" s="762" t="e">
        <f ca="1">IF($H535="UNIDADE CONSTRUTIVA",OFFSET(A535,-1,0)+1,LARGE(A$3:A534,1))</f>
        <v>#NUM!</v>
      </c>
      <c r="B535" s="762">
        <f t="shared" ca="1" si="83"/>
        <v>7</v>
      </c>
      <c r="C535" s="762">
        <f t="shared" ca="1" si="84"/>
        <v>2</v>
      </c>
      <c r="D535" s="763">
        <f t="shared" ca="1" si="85"/>
        <v>2</v>
      </c>
      <c r="E535" s="763">
        <f t="shared" ca="1" si="86"/>
        <v>1</v>
      </c>
      <c r="G535" s="628"/>
      <c r="H535" s="766" t="s">
        <v>368</v>
      </c>
      <c r="I535" s="629" t="str">
        <f t="shared" ca="1" si="87"/>
        <v>07.002.002.001</v>
      </c>
      <c r="J535" s="654" t="s">
        <v>1139</v>
      </c>
      <c r="K535" s="630" t="s">
        <v>250</v>
      </c>
      <c r="L535" s="631">
        <v>1</v>
      </c>
      <c r="M535" s="631">
        <f>VLOOKUP(J535,Preços!$C$7:$F$498,4,FALSE)</f>
        <v>6113.96</v>
      </c>
      <c r="N535" s="646">
        <f>L535*M535</f>
        <v>6113.96</v>
      </c>
      <c r="O535" s="767" t="s">
        <v>530</v>
      </c>
      <c r="P535" s="632" t="s">
        <v>333</v>
      </c>
      <c r="R535" s="742"/>
      <c r="S535" s="742"/>
    </row>
    <row r="536" spans="1:19" s="761" customFormat="1" hidden="1" outlineLevel="2" collapsed="1" x14ac:dyDescent="0.2">
      <c r="A536" s="762" t="e">
        <f ca="1">IF($H536="UNIDADE CONSTRUTIVA",OFFSET(A536,-1,0)+1,LARGE(A$3:A535,1))</f>
        <v>#NUM!</v>
      </c>
      <c r="B536" s="762">
        <f t="shared" ca="1" si="83"/>
        <v>7</v>
      </c>
      <c r="C536" s="762">
        <f t="shared" ca="1" si="84"/>
        <v>2</v>
      </c>
      <c r="D536" s="763">
        <f t="shared" ca="1" si="85"/>
        <v>3</v>
      </c>
      <c r="E536" s="763">
        <f t="shared" ca="1" si="86"/>
        <v>0</v>
      </c>
      <c r="G536" s="628"/>
      <c r="H536" s="766" t="s">
        <v>367</v>
      </c>
      <c r="I536" s="629" t="str">
        <f t="shared" ca="1" si="87"/>
        <v>07.002.003</v>
      </c>
      <c r="J536" s="654" t="s">
        <v>211</v>
      </c>
      <c r="K536" s="630"/>
      <c r="L536" s="631"/>
      <c r="M536" s="631"/>
      <c r="N536" s="646">
        <f>SUM(N537)</f>
        <v>35917.75</v>
      </c>
      <c r="O536" s="767"/>
      <c r="P536" s="632"/>
      <c r="R536" s="742"/>
      <c r="S536" s="742"/>
    </row>
    <row r="537" spans="1:19" s="761" customFormat="1" ht="22.5" hidden="1" outlineLevel="2" x14ac:dyDescent="0.2">
      <c r="A537" s="762" t="e">
        <f ca="1">IF($H537="UNIDADE CONSTRUTIVA",OFFSET(A537,-1,0)+1,LARGE(A$3:A536,1))</f>
        <v>#NUM!</v>
      </c>
      <c r="B537" s="762">
        <f t="shared" ca="1" si="83"/>
        <v>7</v>
      </c>
      <c r="C537" s="762">
        <f t="shared" ca="1" si="84"/>
        <v>2</v>
      </c>
      <c r="D537" s="763">
        <f t="shared" ca="1" si="85"/>
        <v>3</v>
      </c>
      <c r="E537" s="763">
        <f t="shared" ca="1" si="86"/>
        <v>1</v>
      </c>
      <c r="G537" s="628"/>
      <c r="H537" s="766" t="s">
        <v>368</v>
      </c>
      <c r="I537" s="629" t="str">
        <f t="shared" ca="1" si="87"/>
        <v>07.002.003.001</v>
      </c>
      <c r="J537" s="654" t="s">
        <v>981</v>
      </c>
      <c r="K537" s="630" t="s">
        <v>1</v>
      </c>
      <c r="L537" s="631">
        <f>'Projeção torre'!F46</f>
        <v>653.04999999999995</v>
      </c>
      <c r="M537" s="631">
        <f>VLOOKUP(J537,Preços!$C$7:$F$498,4,FALSE)</f>
        <v>55</v>
      </c>
      <c r="N537" s="646">
        <f>L537*M537</f>
        <v>35917.75</v>
      </c>
      <c r="O537" s="767"/>
      <c r="P537" s="632" t="s">
        <v>333</v>
      </c>
      <c r="R537" s="742"/>
      <c r="S537" s="742"/>
    </row>
    <row r="538" spans="1:19" s="761" customFormat="1" ht="22.5" hidden="1" outlineLevel="1" collapsed="1" x14ac:dyDescent="0.2">
      <c r="A538" s="762" t="e">
        <f ca="1">IF($H538="UNIDADE CONSTRUTIVA",OFFSET(A538,-1,0)+1,LARGE(A$3:A506,1))</f>
        <v>#NUM!</v>
      </c>
      <c r="B538" s="762">
        <f t="shared" ca="1" si="83"/>
        <v>7</v>
      </c>
      <c r="C538" s="762">
        <f t="shared" ca="1" si="84"/>
        <v>3</v>
      </c>
      <c r="D538" s="763">
        <f t="shared" ca="1" si="85"/>
        <v>0</v>
      </c>
      <c r="E538" s="763">
        <f t="shared" ca="1" si="86"/>
        <v>1</v>
      </c>
      <c r="G538" s="628"/>
      <c r="H538" s="766" t="s">
        <v>366</v>
      </c>
      <c r="I538" s="629" t="str">
        <f t="shared" ca="1" si="87"/>
        <v>07.003</v>
      </c>
      <c r="J538" s="654" t="s">
        <v>1636</v>
      </c>
      <c r="K538" s="630"/>
      <c r="L538" s="631"/>
      <c r="M538" s="631"/>
      <c r="N538" s="646">
        <f>SUM(N539,N541,N543)</f>
        <v>38352.46</v>
      </c>
      <c r="O538" s="767"/>
      <c r="P538" s="632"/>
      <c r="R538" s="742"/>
      <c r="S538" s="742"/>
    </row>
    <row r="539" spans="1:19" s="761" customFormat="1" hidden="1" outlineLevel="2" collapsed="1" x14ac:dyDescent="0.2">
      <c r="A539" s="762" t="e">
        <f ca="1">IF($H539="UNIDADE CONSTRUTIVA",OFFSET(A539,-1,0)+1,LARGE(A$3:A538,1))</f>
        <v>#NUM!</v>
      </c>
      <c r="B539" s="762">
        <f t="shared" ca="1" si="83"/>
        <v>7</v>
      </c>
      <c r="C539" s="762">
        <f t="shared" ca="1" si="84"/>
        <v>3</v>
      </c>
      <c r="D539" s="763">
        <f t="shared" ca="1" si="85"/>
        <v>1</v>
      </c>
      <c r="E539" s="763">
        <f t="shared" ca="1" si="86"/>
        <v>0</v>
      </c>
      <c r="G539" s="628"/>
      <c r="H539" s="766" t="s">
        <v>367</v>
      </c>
      <c r="I539" s="629" t="str">
        <f t="shared" ca="1" si="87"/>
        <v>07.003.001</v>
      </c>
      <c r="J539" s="654" t="s">
        <v>293</v>
      </c>
      <c r="K539" s="630"/>
      <c r="L539" s="631"/>
      <c r="M539" s="631"/>
      <c r="N539" s="646">
        <f>SUM(N540)</f>
        <v>17.87</v>
      </c>
      <c r="O539" s="767"/>
      <c r="P539" s="632"/>
      <c r="R539" s="742"/>
      <c r="S539" s="742"/>
    </row>
    <row r="540" spans="1:19" s="761" customFormat="1" ht="22.5" hidden="1" outlineLevel="3" x14ac:dyDescent="0.2">
      <c r="A540" s="762" t="e">
        <f ca="1">IF($H540="UNIDADE CONSTRUTIVA",OFFSET(A540,-1,0)+1,LARGE(A$3:A539,1))</f>
        <v>#NUM!</v>
      </c>
      <c r="B540" s="762">
        <f t="shared" ca="1" si="83"/>
        <v>7</v>
      </c>
      <c r="C540" s="762">
        <f t="shared" ca="1" si="84"/>
        <v>3</v>
      </c>
      <c r="D540" s="763">
        <f t="shared" ca="1" si="85"/>
        <v>1</v>
      </c>
      <c r="E540" s="763">
        <f t="shared" ca="1" si="86"/>
        <v>1</v>
      </c>
      <c r="G540" s="628"/>
      <c r="H540" s="766" t="s">
        <v>368</v>
      </c>
      <c r="I540" s="629" t="str">
        <f t="shared" ca="1" si="87"/>
        <v>07.003.001.001</v>
      </c>
      <c r="J540" s="654" t="s">
        <v>1140</v>
      </c>
      <c r="K540" s="630" t="s">
        <v>250</v>
      </c>
      <c r="L540" s="631">
        <v>1</v>
      </c>
      <c r="M540" s="631">
        <f>VLOOKUP(J540,Preços!$C$7:$F$498,4,FALSE)</f>
        <v>17.87</v>
      </c>
      <c r="N540" s="646">
        <f>L540*M540</f>
        <v>17.87</v>
      </c>
      <c r="O540" s="767" t="s">
        <v>530</v>
      </c>
      <c r="P540" s="632" t="s">
        <v>333</v>
      </c>
      <c r="R540" s="742"/>
      <c r="S540" s="742"/>
    </row>
    <row r="541" spans="1:19" s="761" customFormat="1" hidden="1" outlineLevel="2" collapsed="1" x14ac:dyDescent="0.2">
      <c r="A541" s="762" t="e">
        <f ca="1">IF($H541="UNIDADE CONSTRUTIVA",OFFSET(A541,-1,0)+1,LARGE(A$3:A540,1))</f>
        <v>#NUM!</v>
      </c>
      <c r="B541" s="762">
        <f t="shared" ca="1" si="83"/>
        <v>7</v>
      </c>
      <c r="C541" s="762">
        <f t="shared" ca="1" si="84"/>
        <v>3</v>
      </c>
      <c r="D541" s="763">
        <f t="shared" ca="1" si="85"/>
        <v>2</v>
      </c>
      <c r="E541" s="763">
        <f t="shared" ca="1" si="86"/>
        <v>0</v>
      </c>
      <c r="G541" s="628"/>
      <c r="H541" s="766" t="s">
        <v>367</v>
      </c>
      <c r="I541" s="629" t="str">
        <f t="shared" ca="1" si="87"/>
        <v>07.003.002</v>
      </c>
      <c r="J541" s="654" t="s">
        <v>1641</v>
      </c>
      <c r="K541" s="630"/>
      <c r="L541" s="631"/>
      <c r="M541" s="631"/>
      <c r="N541" s="646">
        <f>SUM(N542)</f>
        <v>2416.84</v>
      </c>
      <c r="O541" s="767"/>
      <c r="P541" s="632"/>
      <c r="R541" s="742"/>
      <c r="S541" s="742"/>
    </row>
    <row r="542" spans="1:19" s="761" customFormat="1" ht="22.5" hidden="1" outlineLevel="3" x14ac:dyDescent="0.2">
      <c r="A542" s="762" t="e">
        <f ca="1">IF($H542="UNIDADE CONSTRUTIVA",OFFSET(A542,-1,0)+1,LARGE(A$3:A541,1))</f>
        <v>#NUM!</v>
      </c>
      <c r="B542" s="762">
        <f t="shared" ca="1" si="83"/>
        <v>7</v>
      </c>
      <c r="C542" s="762">
        <f t="shared" ca="1" si="84"/>
        <v>3</v>
      </c>
      <c r="D542" s="763">
        <f t="shared" ca="1" si="85"/>
        <v>2</v>
      </c>
      <c r="E542" s="763">
        <f t="shared" ca="1" si="86"/>
        <v>1</v>
      </c>
      <c r="G542" s="628"/>
      <c r="H542" s="766" t="s">
        <v>368</v>
      </c>
      <c r="I542" s="629" t="str">
        <f t="shared" ca="1" si="87"/>
        <v>07.003.002.001</v>
      </c>
      <c r="J542" s="654" t="s">
        <v>1141</v>
      </c>
      <c r="K542" s="630" t="s">
        <v>250</v>
      </c>
      <c r="L542" s="631">
        <v>1</v>
      </c>
      <c r="M542" s="631">
        <f>VLOOKUP(J542,Preços!$C$7:$F$498,4,FALSE)</f>
        <v>2416.84</v>
      </c>
      <c r="N542" s="646">
        <f>L542*M542</f>
        <v>2416.84</v>
      </c>
      <c r="O542" s="767" t="s">
        <v>530</v>
      </c>
      <c r="P542" s="632" t="s">
        <v>333</v>
      </c>
      <c r="R542" s="742"/>
      <c r="S542" s="742"/>
    </row>
    <row r="543" spans="1:19" s="761" customFormat="1" hidden="1" outlineLevel="2" collapsed="1" x14ac:dyDescent="0.2">
      <c r="A543" s="762" t="e">
        <f ca="1">IF($H543="UNIDADE CONSTRUTIVA",OFFSET(A543,-1,0)+1,LARGE(A$3:A542,1))</f>
        <v>#NUM!</v>
      </c>
      <c r="B543" s="762">
        <f t="shared" ca="1" si="83"/>
        <v>7</v>
      </c>
      <c r="C543" s="762">
        <f t="shared" ca="1" si="84"/>
        <v>3</v>
      </c>
      <c r="D543" s="763">
        <f t="shared" ca="1" si="85"/>
        <v>3</v>
      </c>
      <c r="E543" s="763">
        <f t="shared" ca="1" si="86"/>
        <v>0</v>
      </c>
      <c r="G543" s="628"/>
      <c r="H543" s="766" t="s">
        <v>367</v>
      </c>
      <c r="I543" s="629" t="str">
        <f t="shared" ca="1" si="87"/>
        <v>07.003.003</v>
      </c>
      <c r="J543" s="654" t="s">
        <v>211</v>
      </c>
      <c r="K543" s="630"/>
      <c r="L543" s="631"/>
      <c r="M543" s="631"/>
      <c r="N543" s="646">
        <f>SUM(N544)</f>
        <v>35917.75</v>
      </c>
      <c r="O543" s="767"/>
      <c r="P543" s="632"/>
      <c r="R543" s="742"/>
      <c r="S543" s="742"/>
    </row>
    <row r="544" spans="1:19" s="761" customFormat="1" ht="22.5" hidden="1" outlineLevel="2" x14ac:dyDescent="0.2">
      <c r="A544" s="762" t="e">
        <f ca="1">IF($H544="UNIDADE CONSTRUTIVA",OFFSET(A544,-1,0)+1,LARGE(A$3:A543,1))</f>
        <v>#NUM!</v>
      </c>
      <c r="B544" s="762">
        <f t="shared" ca="1" si="83"/>
        <v>7</v>
      </c>
      <c r="C544" s="762">
        <f t="shared" ca="1" si="84"/>
        <v>3</v>
      </c>
      <c r="D544" s="763">
        <f t="shared" ca="1" si="85"/>
        <v>3</v>
      </c>
      <c r="E544" s="763">
        <f t="shared" ca="1" si="86"/>
        <v>1</v>
      </c>
      <c r="G544" s="628"/>
      <c r="H544" s="766" t="s">
        <v>368</v>
      </c>
      <c r="I544" s="629" t="str">
        <f t="shared" ca="1" si="87"/>
        <v>07.003.003.001</v>
      </c>
      <c r="J544" s="654" t="s">
        <v>981</v>
      </c>
      <c r="K544" s="630" t="s">
        <v>1</v>
      </c>
      <c r="L544" s="631">
        <f>'Projeção torre'!F47</f>
        <v>653.04999999999995</v>
      </c>
      <c r="M544" s="631">
        <f>VLOOKUP(J544,Preços!$C$7:$F$498,4,FALSE)</f>
        <v>55</v>
      </c>
      <c r="N544" s="646">
        <f>L544*M544</f>
        <v>35917.75</v>
      </c>
      <c r="O544" s="767"/>
      <c r="P544" s="632" t="s">
        <v>333</v>
      </c>
      <c r="R544" s="742"/>
      <c r="S544" s="742"/>
    </row>
    <row r="545" spans="1:19" s="761" customFormat="1" ht="22.5" hidden="1" outlineLevel="1" collapsed="1" x14ac:dyDescent="0.2">
      <c r="A545" s="762" t="e">
        <f ca="1">IF($H545="UNIDADE CONSTRUTIVA",OFFSET(A545,-1,0)+1,LARGE(A$3:A517,1))</f>
        <v>#NUM!</v>
      </c>
      <c r="B545" s="762">
        <f t="shared" ref="B545:B551" ca="1" si="88">IF(H545="UNIDADE CONSTRUTIVA",0,IF(H545="CÉLULA CONSTRUTIVA",OFFSET(B545,-1,0)+1,OFFSET(B545,-1,0)))</f>
        <v>7</v>
      </c>
      <c r="C545" s="762">
        <f t="shared" ref="C545:C551" ca="1" si="89">IF(H545="CÉLULA CONSTRUTIVA",0,IF(H545="ETAPA",OFFSET(C545,-1,0)+1,OFFSET(C545,-1,0)))</f>
        <v>4</v>
      </c>
      <c r="D545" s="763">
        <f t="shared" ref="D545:D551" ca="1" si="90">IF(H545="ETAPA",0,IF(H545="SUBETAPA",OFFSET(D545,-1,0)+1,OFFSET(D545,-1,0)))</f>
        <v>0</v>
      </c>
      <c r="E545" s="763">
        <f t="shared" ref="E545:E551" ca="1" si="91">IF(H545="Subetapa",0,IF(H545="serviço",OFFSET(E545,-1,0)+1,OFFSET(E545,-1,0)))</f>
        <v>1</v>
      </c>
      <c r="G545" s="628"/>
      <c r="H545" s="766" t="s">
        <v>366</v>
      </c>
      <c r="I545" s="629" t="str">
        <f t="shared" ref="I545:I551" ca="1" si="92">IF(H545="Unidade Construtiva",TEXT(A545,"00"),IF(H545="Célula Construtiva",TEXT(B545,"00"),IF(H545="Etapa",CONCATENATE(TEXT(B545,"00"),".",TEXT(C545,"000")),IF(H545="Subetapa",CONCATENATE(TEXT(B545,"00"),".",TEXT(C545,"000"),".",TEXT(D545,"000")),IF(H545="Serviço",CONCATENATE(TEXT(B545,"00"),".",TEXT(C545,"000"),".",TEXT(D545,"000"),".",TEXT(E545,"000")),"")))))</f>
        <v>07.004</v>
      </c>
      <c r="J545" s="654" t="s">
        <v>1637</v>
      </c>
      <c r="K545" s="630"/>
      <c r="L545" s="631"/>
      <c r="M545" s="631"/>
      <c r="N545" s="646">
        <f>SUM(N546,N548,N550)</f>
        <v>38699.97</v>
      </c>
      <c r="O545" s="767"/>
      <c r="P545" s="632"/>
      <c r="R545" s="742"/>
      <c r="S545" s="742"/>
    </row>
    <row r="546" spans="1:19" s="761" customFormat="1" hidden="1" outlineLevel="2" collapsed="1" x14ac:dyDescent="0.2">
      <c r="A546" s="762" t="e">
        <f ca="1">IF($H546="UNIDADE CONSTRUTIVA",OFFSET(A546,-1,0)+1,LARGE(A$3:A545,1))</f>
        <v>#NUM!</v>
      </c>
      <c r="B546" s="762">
        <f t="shared" ca="1" si="88"/>
        <v>7</v>
      </c>
      <c r="C546" s="762">
        <f t="shared" ca="1" si="89"/>
        <v>4</v>
      </c>
      <c r="D546" s="763">
        <f t="shared" ca="1" si="90"/>
        <v>1</v>
      </c>
      <c r="E546" s="763">
        <f t="shared" ca="1" si="91"/>
        <v>0</v>
      </c>
      <c r="G546" s="628"/>
      <c r="H546" s="766" t="s">
        <v>367</v>
      </c>
      <c r="I546" s="629" t="str">
        <f t="shared" ca="1" si="92"/>
        <v>07.004.001</v>
      </c>
      <c r="J546" s="654" t="s">
        <v>293</v>
      </c>
      <c r="K546" s="630"/>
      <c r="L546" s="631"/>
      <c r="M546" s="631"/>
      <c r="N546" s="646">
        <f>SUM(N547)</f>
        <v>58.15</v>
      </c>
      <c r="O546" s="767"/>
      <c r="P546" s="632"/>
      <c r="R546" s="742"/>
      <c r="S546" s="742"/>
    </row>
    <row r="547" spans="1:19" s="761" customFormat="1" ht="22.5" hidden="1" outlineLevel="3" x14ac:dyDescent="0.2">
      <c r="A547" s="762" t="e">
        <f ca="1">IF($H547="UNIDADE CONSTRUTIVA",OFFSET(A547,-1,0)+1,LARGE(A$3:A546,1))</f>
        <v>#NUM!</v>
      </c>
      <c r="B547" s="762">
        <f t="shared" ca="1" si="88"/>
        <v>7</v>
      </c>
      <c r="C547" s="762">
        <f t="shared" ca="1" si="89"/>
        <v>4</v>
      </c>
      <c r="D547" s="763">
        <f t="shared" ca="1" si="90"/>
        <v>1</v>
      </c>
      <c r="E547" s="763">
        <f t="shared" ca="1" si="91"/>
        <v>1</v>
      </c>
      <c r="G547" s="628"/>
      <c r="H547" s="766" t="s">
        <v>368</v>
      </c>
      <c r="I547" s="629" t="str">
        <f t="shared" ca="1" si="92"/>
        <v>07.004.001.001</v>
      </c>
      <c r="J547" s="654" t="s">
        <v>1644</v>
      </c>
      <c r="K547" s="630" t="s">
        <v>250</v>
      </c>
      <c r="L547" s="631">
        <v>1</v>
      </c>
      <c r="M547" s="631">
        <f>VLOOKUP(J547,Preços!$C$7:$F$498,4,FALSE)</f>
        <v>58.15</v>
      </c>
      <c r="N547" s="646">
        <f>L547*M547</f>
        <v>58.15</v>
      </c>
      <c r="O547" s="767" t="s">
        <v>530</v>
      </c>
      <c r="P547" s="632" t="s">
        <v>333</v>
      </c>
      <c r="R547" s="742"/>
      <c r="S547" s="742"/>
    </row>
    <row r="548" spans="1:19" s="761" customFormat="1" hidden="1" outlineLevel="2" collapsed="1" x14ac:dyDescent="0.2">
      <c r="A548" s="762" t="e">
        <f ca="1">IF($H548="UNIDADE CONSTRUTIVA",OFFSET(A548,-1,0)+1,LARGE(A$3:A547,1))</f>
        <v>#NUM!</v>
      </c>
      <c r="B548" s="762">
        <f t="shared" ca="1" si="88"/>
        <v>7</v>
      </c>
      <c r="C548" s="762">
        <f t="shared" ca="1" si="89"/>
        <v>4</v>
      </c>
      <c r="D548" s="763">
        <f t="shared" ca="1" si="90"/>
        <v>2</v>
      </c>
      <c r="E548" s="763">
        <f t="shared" ca="1" si="91"/>
        <v>0</v>
      </c>
      <c r="G548" s="628"/>
      <c r="H548" s="766" t="s">
        <v>367</v>
      </c>
      <c r="I548" s="629" t="str">
        <f t="shared" ca="1" si="92"/>
        <v>07.004.002</v>
      </c>
      <c r="J548" s="654" t="s">
        <v>1641</v>
      </c>
      <c r="K548" s="630"/>
      <c r="L548" s="631"/>
      <c r="M548" s="631"/>
      <c r="N548" s="646">
        <f>SUM(N549)</f>
        <v>2724.07</v>
      </c>
      <c r="O548" s="767"/>
      <c r="P548" s="632"/>
      <c r="R548" s="742"/>
      <c r="S548" s="742"/>
    </row>
    <row r="549" spans="1:19" s="761" customFormat="1" ht="22.5" hidden="1" outlineLevel="3" x14ac:dyDescent="0.2">
      <c r="A549" s="762" t="e">
        <f ca="1">IF($H549="UNIDADE CONSTRUTIVA",OFFSET(A549,-1,0)+1,LARGE(A$3:A548,1))</f>
        <v>#NUM!</v>
      </c>
      <c r="B549" s="762">
        <f t="shared" ca="1" si="88"/>
        <v>7</v>
      </c>
      <c r="C549" s="762">
        <f t="shared" ca="1" si="89"/>
        <v>4</v>
      </c>
      <c r="D549" s="763">
        <f t="shared" ca="1" si="90"/>
        <v>2</v>
      </c>
      <c r="E549" s="763">
        <f t="shared" ca="1" si="91"/>
        <v>1</v>
      </c>
      <c r="G549" s="628"/>
      <c r="H549" s="766" t="s">
        <v>368</v>
      </c>
      <c r="I549" s="629" t="str">
        <f t="shared" ca="1" si="92"/>
        <v>07.004.002.001</v>
      </c>
      <c r="J549" s="654" t="s">
        <v>1643</v>
      </c>
      <c r="K549" s="630" t="s">
        <v>250</v>
      </c>
      <c r="L549" s="631">
        <v>1</v>
      </c>
      <c r="M549" s="631">
        <f>VLOOKUP(J549,Preços!$C$7:$F$498,4,FALSE)</f>
        <v>2724.07</v>
      </c>
      <c r="N549" s="646">
        <f>L549*M549</f>
        <v>2724.07</v>
      </c>
      <c r="O549" s="767" t="s">
        <v>530</v>
      </c>
      <c r="P549" s="632" t="s">
        <v>333</v>
      </c>
      <c r="R549" s="742"/>
      <c r="S549" s="742"/>
    </row>
    <row r="550" spans="1:19" s="761" customFormat="1" hidden="1" outlineLevel="2" collapsed="1" x14ac:dyDescent="0.2">
      <c r="A550" s="762" t="e">
        <f ca="1">IF($H550="UNIDADE CONSTRUTIVA",OFFSET(A550,-1,0)+1,LARGE(A$3:A549,1))</f>
        <v>#NUM!</v>
      </c>
      <c r="B550" s="762">
        <f t="shared" ca="1" si="88"/>
        <v>7</v>
      </c>
      <c r="C550" s="762">
        <f t="shared" ca="1" si="89"/>
        <v>4</v>
      </c>
      <c r="D550" s="763">
        <f t="shared" ca="1" si="90"/>
        <v>3</v>
      </c>
      <c r="E550" s="763">
        <f t="shared" ca="1" si="91"/>
        <v>0</v>
      </c>
      <c r="G550" s="628"/>
      <c r="H550" s="766" t="s">
        <v>367</v>
      </c>
      <c r="I550" s="629" t="str">
        <f t="shared" ca="1" si="92"/>
        <v>07.004.003</v>
      </c>
      <c r="J550" s="654" t="s">
        <v>211</v>
      </c>
      <c r="K550" s="630"/>
      <c r="L550" s="631"/>
      <c r="M550" s="631"/>
      <c r="N550" s="646">
        <f>SUM(N551)</f>
        <v>35917.75</v>
      </c>
      <c r="O550" s="767"/>
      <c r="P550" s="632"/>
      <c r="R550" s="742"/>
      <c r="S550" s="742"/>
    </row>
    <row r="551" spans="1:19" s="761" customFormat="1" ht="22.5" hidden="1" outlineLevel="3" x14ac:dyDescent="0.2">
      <c r="A551" s="762" t="e">
        <f ca="1">IF($H551="UNIDADE CONSTRUTIVA",OFFSET(A551,-1,0)+1,LARGE(A$3:A550,1))</f>
        <v>#NUM!</v>
      </c>
      <c r="B551" s="762">
        <f t="shared" ca="1" si="88"/>
        <v>7</v>
      </c>
      <c r="C551" s="762">
        <f t="shared" ca="1" si="89"/>
        <v>4</v>
      </c>
      <c r="D551" s="763">
        <f t="shared" ca="1" si="90"/>
        <v>3</v>
      </c>
      <c r="E551" s="763">
        <f t="shared" ca="1" si="91"/>
        <v>1</v>
      </c>
      <c r="G551" s="628"/>
      <c r="H551" s="766" t="s">
        <v>368</v>
      </c>
      <c r="I551" s="629" t="str">
        <f t="shared" ca="1" si="92"/>
        <v>07.004.003.001</v>
      </c>
      <c r="J551" s="654" t="s">
        <v>981</v>
      </c>
      <c r="K551" s="630" t="s">
        <v>1</v>
      </c>
      <c r="L551" s="631">
        <f>'Projeção torre'!F48</f>
        <v>653.04999999999995</v>
      </c>
      <c r="M551" s="631">
        <f>VLOOKUP(J551,Preços!$C$7:$F$498,4,FALSE)</f>
        <v>55</v>
      </c>
      <c r="N551" s="646">
        <f>L551*M551</f>
        <v>35917.75</v>
      </c>
      <c r="O551" s="767"/>
      <c r="P551" s="632" t="s">
        <v>333</v>
      </c>
      <c r="R551" s="742"/>
      <c r="S551" s="742"/>
    </row>
    <row r="552" spans="1:19" s="761" customFormat="1" ht="22.5" hidden="1" outlineLevel="1" collapsed="1" x14ac:dyDescent="0.2">
      <c r="A552" s="762" t="e">
        <f ca="1">IF($H552="UNIDADE CONSTRUTIVA",OFFSET(A552,-1,0)+1,LARGE(A$3:A530,1))</f>
        <v>#NUM!</v>
      </c>
      <c r="B552" s="762">
        <f t="shared" ca="1" si="83"/>
        <v>7</v>
      </c>
      <c r="C552" s="762">
        <f t="shared" ca="1" si="84"/>
        <v>5</v>
      </c>
      <c r="D552" s="763">
        <f t="shared" ca="1" si="85"/>
        <v>0</v>
      </c>
      <c r="E552" s="763">
        <f t="shared" ca="1" si="86"/>
        <v>1</v>
      </c>
      <c r="G552" s="628"/>
      <c r="H552" s="766" t="s">
        <v>366</v>
      </c>
      <c r="I552" s="629" t="str">
        <f t="shared" ca="1" si="87"/>
        <v>07.005</v>
      </c>
      <c r="J552" s="654" t="s">
        <v>1638</v>
      </c>
      <c r="K552" s="630"/>
      <c r="L552" s="631"/>
      <c r="M552" s="631"/>
      <c r="N552" s="646">
        <f>SUM(N553,N555,N557,N559)</f>
        <v>52817.09</v>
      </c>
      <c r="O552" s="767"/>
      <c r="P552" s="632"/>
      <c r="R552" s="742"/>
      <c r="S552" s="742"/>
    </row>
    <row r="553" spans="1:19" s="761" customFormat="1" hidden="1" outlineLevel="2" collapsed="1" x14ac:dyDescent="0.2">
      <c r="A553" s="762" t="e">
        <f ca="1">IF($H553="UNIDADE CONSTRUTIVA",OFFSET(A553,-1,0)+1,LARGE(A$3:A552,1))</f>
        <v>#NUM!</v>
      </c>
      <c r="B553" s="762">
        <f t="shared" ca="1" si="83"/>
        <v>7</v>
      </c>
      <c r="C553" s="762">
        <f t="shared" ca="1" si="84"/>
        <v>5</v>
      </c>
      <c r="D553" s="763">
        <f t="shared" ca="1" si="85"/>
        <v>1</v>
      </c>
      <c r="E553" s="763">
        <f t="shared" ca="1" si="86"/>
        <v>0</v>
      </c>
      <c r="G553" s="628"/>
      <c r="H553" s="766" t="s">
        <v>367</v>
      </c>
      <c r="I553" s="629" t="str">
        <f t="shared" ca="1" si="87"/>
        <v>07.005.001</v>
      </c>
      <c r="J553" s="654" t="s">
        <v>293</v>
      </c>
      <c r="K553" s="630"/>
      <c r="L553" s="631"/>
      <c r="M553" s="631"/>
      <c r="N553" s="646">
        <f>SUM(N554)</f>
        <v>4043.8</v>
      </c>
      <c r="O553" s="767"/>
      <c r="P553" s="632"/>
      <c r="R553" s="742"/>
      <c r="S553" s="742"/>
    </row>
    <row r="554" spans="1:19" s="761" customFormat="1" ht="22.5" hidden="1" outlineLevel="3" x14ac:dyDescent="0.2">
      <c r="A554" s="762" t="e">
        <f ca="1">IF($H554="UNIDADE CONSTRUTIVA",OFFSET(A554,-1,0)+1,LARGE(A$3:A553,1))</f>
        <v>#NUM!</v>
      </c>
      <c r="B554" s="762">
        <f t="shared" ca="1" si="83"/>
        <v>7</v>
      </c>
      <c r="C554" s="762">
        <f t="shared" ca="1" si="84"/>
        <v>5</v>
      </c>
      <c r="D554" s="763">
        <f t="shared" ca="1" si="85"/>
        <v>1</v>
      </c>
      <c r="E554" s="763">
        <f t="shared" ca="1" si="86"/>
        <v>1</v>
      </c>
      <c r="G554" s="628"/>
      <c r="H554" s="766" t="s">
        <v>368</v>
      </c>
      <c r="I554" s="629" t="str">
        <f t="shared" ca="1" si="87"/>
        <v>07.005.001.001</v>
      </c>
      <c r="J554" s="654" t="s">
        <v>1645</v>
      </c>
      <c r="K554" s="630" t="s">
        <v>250</v>
      </c>
      <c r="L554" s="631">
        <v>1</v>
      </c>
      <c r="M554" s="631">
        <f>VLOOKUP(J554,Preços!$C$7:$F$498,4,FALSE)</f>
        <v>4043.8</v>
      </c>
      <c r="N554" s="646">
        <f>L554*M554</f>
        <v>4043.8</v>
      </c>
      <c r="O554" s="767" t="s">
        <v>530</v>
      </c>
      <c r="P554" s="632" t="s">
        <v>333</v>
      </c>
      <c r="R554" s="742"/>
      <c r="S554" s="742"/>
    </row>
    <row r="555" spans="1:19" s="761" customFormat="1" hidden="1" outlineLevel="2" collapsed="1" x14ac:dyDescent="0.2">
      <c r="A555" s="762" t="e">
        <f ca="1">IF($H555="UNIDADE CONSTRUTIVA",OFFSET(A555,-1,0)+1,LARGE(A$3:A554,1))</f>
        <v>#NUM!</v>
      </c>
      <c r="B555" s="762">
        <f t="shared" ca="1" si="83"/>
        <v>7</v>
      </c>
      <c r="C555" s="762">
        <f t="shared" ca="1" si="84"/>
        <v>5</v>
      </c>
      <c r="D555" s="763">
        <f t="shared" ca="1" si="85"/>
        <v>2</v>
      </c>
      <c r="E555" s="763">
        <f t="shared" ca="1" si="86"/>
        <v>0</v>
      </c>
      <c r="G555" s="628"/>
      <c r="H555" s="766" t="s">
        <v>367</v>
      </c>
      <c r="I555" s="629" t="str">
        <f t="shared" ca="1" si="87"/>
        <v>07.005.002</v>
      </c>
      <c r="J555" s="654" t="s">
        <v>294</v>
      </c>
      <c r="K555" s="630"/>
      <c r="L555" s="631"/>
      <c r="M555" s="631"/>
      <c r="N555" s="646">
        <f>SUM(N556)</f>
        <v>622.96</v>
      </c>
      <c r="O555" s="767"/>
      <c r="P555" s="632"/>
      <c r="R555" s="742"/>
      <c r="S555" s="742"/>
    </row>
    <row r="556" spans="1:19" s="761" customFormat="1" ht="22.5" hidden="1" outlineLevel="3" x14ac:dyDescent="0.2">
      <c r="A556" s="762" t="e">
        <f ca="1">IF($H556="UNIDADE CONSTRUTIVA",OFFSET(A556,-1,0)+1,LARGE(A$3:A555,1))</f>
        <v>#NUM!</v>
      </c>
      <c r="B556" s="762">
        <f t="shared" ca="1" si="83"/>
        <v>7</v>
      </c>
      <c r="C556" s="762">
        <f t="shared" ca="1" si="84"/>
        <v>5</v>
      </c>
      <c r="D556" s="763">
        <f t="shared" ca="1" si="85"/>
        <v>2</v>
      </c>
      <c r="E556" s="763">
        <f t="shared" ca="1" si="86"/>
        <v>1</v>
      </c>
      <c r="G556" s="628"/>
      <c r="H556" s="766" t="s">
        <v>368</v>
      </c>
      <c r="I556" s="629" t="str">
        <f t="shared" ca="1" si="87"/>
        <v>07.005.002.001</v>
      </c>
      <c r="J556" s="654" t="s">
        <v>1646</v>
      </c>
      <c r="K556" s="630" t="s">
        <v>250</v>
      </c>
      <c r="L556" s="631">
        <v>1</v>
      </c>
      <c r="M556" s="631">
        <f>VLOOKUP(J556,Preços!$C$7:$F$498,4,FALSE)</f>
        <v>622.96</v>
      </c>
      <c r="N556" s="646">
        <f>L556*M556</f>
        <v>622.96</v>
      </c>
      <c r="O556" s="767" t="s">
        <v>530</v>
      </c>
      <c r="P556" s="632" t="s">
        <v>333</v>
      </c>
      <c r="R556" s="742"/>
      <c r="S556" s="742"/>
    </row>
    <row r="557" spans="1:19" s="761" customFormat="1" hidden="1" outlineLevel="2" collapsed="1" x14ac:dyDescent="0.2">
      <c r="A557" s="762" t="e">
        <f ca="1">IF($H557="UNIDADE CONSTRUTIVA",OFFSET(A557,-1,0)+1,LARGE(A$3:A556,1))</f>
        <v>#NUM!</v>
      </c>
      <c r="B557" s="762">
        <f t="shared" ca="1" si="83"/>
        <v>7</v>
      </c>
      <c r="C557" s="762">
        <f t="shared" ca="1" si="84"/>
        <v>5</v>
      </c>
      <c r="D557" s="763">
        <f t="shared" ca="1" si="85"/>
        <v>3</v>
      </c>
      <c r="E557" s="763">
        <f t="shared" ca="1" si="86"/>
        <v>0</v>
      </c>
      <c r="G557" s="628"/>
      <c r="H557" s="766" t="s">
        <v>367</v>
      </c>
      <c r="I557" s="629" t="str">
        <f t="shared" ca="1" si="87"/>
        <v>07.005.003</v>
      </c>
      <c r="J557" s="654" t="s">
        <v>1641</v>
      </c>
      <c r="K557" s="630"/>
      <c r="L557" s="631"/>
      <c r="M557" s="631"/>
      <c r="N557" s="646">
        <f>SUM(N558)</f>
        <v>12232.58</v>
      </c>
      <c r="O557" s="767"/>
      <c r="P557" s="632"/>
      <c r="R557" s="742"/>
      <c r="S557" s="742"/>
    </row>
    <row r="558" spans="1:19" s="761" customFormat="1" ht="22.5" hidden="1" outlineLevel="3" x14ac:dyDescent="0.2">
      <c r="A558" s="762" t="e">
        <f ca="1">IF($H558="UNIDADE CONSTRUTIVA",OFFSET(A558,-1,0)+1,LARGE(A$3:A557,1))</f>
        <v>#NUM!</v>
      </c>
      <c r="B558" s="762">
        <f t="shared" ca="1" si="83"/>
        <v>7</v>
      </c>
      <c r="C558" s="762">
        <f t="shared" ca="1" si="84"/>
        <v>5</v>
      </c>
      <c r="D558" s="763">
        <f t="shared" ca="1" si="85"/>
        <v>3</v>
      </c>
      <c r="E558" s="763">
        <f t="shared" ca="1" si="86"/>
        <v>1</v>
      </c>
      <c r="G558" s="628"/>
      <c r="H558" s="766" t="s">
        <v>368</v>
      </c>
      <c r="I558" s="629" t="str">
        <f t="shared" ca="1" si="87"/>
        <v>07.005.003.001</v>
      </c>
      <c r="J558" s="654" t="s">
        <v>1647</v>
      </c>
      <c r="K558" s="630" t="s">
        <v>250</v>
      </c>
      <c r="L558" s="631">
        <v>1</v>
      </c>
      <c r="M558" s="631">
        <f>VLOOKUP(J558,Preços!$C$7:$F$498,4,FALSE)</f>
        <v>12232.58</v>
      </c>
      <c r="N558" s="646">
        <f>L558*M558</f>
        <v>12232.58</v>
      </c>
      <c r="O558" s="767" t="s">
        <v>530</v>
      </c>
      <c r="P558" s="632" t="s">
        <v>333</v>
      </c>
      <c r="R558" s="742"/>
      <c r="S558" s="742"/>
    </row>
    <row r="559" spans="1:19" s="761" customFormat="1" hidden="1" outlineLevel="2" collapsed="1" x14ac:dyDescent="0.2">
      <c r="A559" s="762" t="e">
        <f ca="1">IF($H559="UNIDADE CONSTRUTIVA",OFFSET(A559,-1,0)+1,LARGE(A$3:A558,1))</f>
        <v>#NUM!</v>
      </c>
      <c r="B559" s="762">
        <f t="shared" ca="1" si="83"/>
        <v>7</v>
      </c>
      <c r="C559" s="762">
        <f t="shared" ca="1" si="84"/>
        <v>5</v>
      </c>
      <c r="D559" s="763">
        <f t="shared" ca="1" si="85"/>
        <v>4</v>
      </c>
      <c r="E559" s="763">
        <f t="shared" ca="1" si="86"/>
        <v>0</v>
      </c>
      <c r="G559" s="628"/>
      <c r="H559" s="766" t="s">
        <v>367</v>
      </c>
      <c r="I559" s="629" t="str">
        <f t="shared" ca="1" si="87"/>
        <v>07.005.004</v>
      </c>
      <c r="J559" s="654" t="s">
        <v>211</v>
      </c>
      <c r="K559" s="630"/>
      <c r="L559" s="631"/>
      <c r="M559" s="631"/>
      <c r="N559" s="646">
        <f>SUM(N560)</f>
        <v>35917.75</v>
      </c>
      <c r="O559" s="767"/>
      <c r="P559" s="632"/>
      <c r="R559" s="742"/>
      <c r="S559" s="742"/>
    </row>
    <row r="560" spans="1:19" s="761" customFormat="1" ht="22.5" hidden="1" outlineLevel="3" x14ac:dyDescent="0.2">
      <c r="A560" s="762" t="e">
        <f ca="1">IF($H560="UNIDADE CONSTRUTIVA",OFFSET(A560,-1,0)+1,LARGE(A$3:A559,1))</f>
        <v>#NUM!</v>
      </c>
      <c r="B560" s="762">
        <f t="shared" ca="1" si="83"/>
        <v>7</v>
      </c>
      <c r="C560" s="762">
        <f t="shared" ca="1" si="84"/>
        <v>5</v>
      </c>
      <c r="D560" s="763">
        <f t="shared" ca="1" si="85"/>
        <v>4</v>
      </c>
      <c r="E560" s="763">
        <f t="shared" ca="1" si="86"/>
        <v>1</v>
      </c>
      <c r="G560" s="628"/>
      <c r="H560" s="766" t="s">
        <v>368</v>
      </c>
      <c r="I560" s="629" t="str">
        <f t="shared" ca="1" si="87"/>
        <v>07.005.004.001</v>
      </c>
      <c r="J560" s="654" t="s">
        <v>981</v>
      </c>
      <c r="K560" s="630" t="s">
        <v>1</v>
      </c>
      <c r="L560" s="631">
        <f>'Projeção torre'!F49</f>
        <v>653.04999999999995</v>
      </c>
      <c r="M560" s="631">
        <f>VLOOKUP(J560,Preços!$C$7:$F$498,4,FALSE)</f>
        <v>55</v>
      </c>
      <c r="N560" s="646">
        <f>L560*M560</f>
        <v>35917.75</v>
      </c>
      <c r="O560" s="767"/>
      <c r="P560" s="632" t="s">
        <v>333</v>
      </c>
      <c r="R560" s="742"/>
      <c r="S560" s="742"/>
    </row>
    <row r="561" spans="1:19" s="761" customFormat="1" ht="22.5" hidden="1" outlineLevel="2" collapsed="1" x14ac:dyDescent="0.2">
      <c r="A561" s="762" t="e">
        <f ca="1">IF($H561="UNIDADE CONSTRUTIVA",OFFSET(A561,-1,0)+1,LARGE(A$3:A537,1))</f>
        <v>#NUM!</v>
      </c>
      <c r="B561" s="762">
        <f t="shared" ref="B561:B569" ca="1" si="93">IF(H561="UNIDADE CONSTRUTIVA",0,IF(H561="CÉLULA CONSTRUTIVA",OFFSET(B561,-1,0)+1,OFFSET(B561,-1,0)))</f>
        <v>7</v>
      </c>
      <c r="C561" s="762">
        <f t="shared" ref="C561:C569" ca="1" si="94">IF(H561="CÉLULA CONSTRUTIVA",0,IF(H561="ETAPA",OFFSET(C561,-1,0)+1,OFFSET(C561,-1,0)))</f>
        <v>6</v>
      </c>
      <c r="D561" s="763">
        <f t="shared" ref="D561:D569" ca="1" si="95">IF(H561="ETAPA",0,IF(H561="SUBETAPA",OFFSET(D561,-1,0)+1,OFFSET(D561,-1,0)))</f>
        <v>0</v>
      </c>
      <c r="E561" s="763">
        <f t="shared" ref="E561:E569" ca="1" si="96">IF(H561="Subetapa",0,IF(H561="serviço",OFFSET(E561,-1,0)+1,OFFSET(E561,-1,0)))</f>
        <v>1</v>
      </c>
      <c r="G561" s="628"/>
      <c r="H561" s="766" t="s">
        <v>366</v>
      </c>
      <c r="I561" s="629" t="str">
        <f t="shared" ref="I561:I569" ca="1" si="97">IF(H561="Unidade Construtiva",TEXT(A561,"00"),IF(H561="Célula Construtiva",TEXT(B561,"00"),IF(H561="Etapa",CONCATENATE(TEXT(B561,"00"),".",TEXT(C561,"000")),IF(H561="Subetapa",CONCATENATE(TEXT(B561,"00"),".",TEXT(C561,"000"),".",TEXT(D561,"000")),IF(H561="Serviço",CONCATENATE(TEXT(B561,"00"),".",TEXT(C561,"000"),".",TEXT(D561,"000"),".",TEXT(E561,"000")),"")))))</f>
        <v>07.006</v>
      </c>
      <c r="J561" s="654" t="s">
        <v>1639</v>
      </c>
      <c r="K561" s="630"/>
      <c r="L561" s="631"/>
      <c r="M561" s="631"/>
      <c r="N561" s="646">
        <f>SUM(N562,N564,N566,N568)</f>
        <v>533190.73</v>
      </c>
      <c r="O561" s="767"/>
      <c r="P561" s="632"/>
      <c r="R561" s="742"/>
      <c r="S561" s="742"/>
    </row>
    <row r="562" spans="1:19" s="761" customFormat="1" hidden="1" outlineLevel="3" collapsed="1" x14ac:dyDescent="0.2">
      <c r="A562" s="762" t="e">
        <f ca="1">IF($H562="UNIDADE CONSTRUTIVA",OFFSET(A562,-1,0)+1,LARGE(A$3:A561,1))</f>
        <v>#NUM!</v>
      </c>
      <c r="B562" s="762">
        <f t="shared" ca="1" si="93"/>
        <v>7</v>
      </c>
      <c r="C562" s="762">
        <f t="shared" ca="1" si="94"/>
        <v>6</v>
      </c>
      <c r="D562" s="763">
        <f t="shared" ca="1" si="95"/>
        <v>1</v>
      </c>
      <c r="E562" s="763">
        <f t="shared" ca="1" si="96"/>
        <v>0</v>
      </c>
      <c r="G562" s="628"/>
      <c r="H562" s="766" t="s">
        <v>367</v>
      </c>
      <c r="I562" s="629" t="str">
        <f t="shared" ca="1" si="97"/>
        <v>07.006.001</v>
      </c>
      <c r="J562" s="654" t="s">
        <v>293</v>
      </c>
      <c r="K562" s="630"/>
      <c r="L562" s="631"/>
      <c r="M562" s="631"/>
      <c r="N562" s="646">
        <f>SUM(N563)</f>
        <v>27997.53</v>
      </c>
      <c r="O562" s="767"/>
      <c r="P562" s="632"/>
      <c r="R562" s="742"/>
      <c r="S562" s="742"/>
    </row>
    <row r="563" spans="1:19" s="761" customFormat="1" ht="22.5" hidden="1" outlineLevel="4" x14ac:dyDescent="0.2">
      <c r="A563" s="762" t="e">
        <f ca="1">IF($H563="UNIDADE CONSTRUTIVA",OFFSET(A563,-1,0)+1,LARGE(A$3:A562,1))</f>
        <v>#NUM!</v>
      </c>
      <c r="B563" s="762">
        <f t="shared" ca="1" si="93"/>
        <v>7</v>
      </c>
      <c r="C563" s="762">
        <f t="shared" ca="1" si="94"/>
        <v>6</v>
      </c>
      <c r="D563" s="763">
        <f t="shared" ca="1" si="95"/>
        <v>1</v>
      </c>
      <c r="E563" s="763">
        <f t="shared" ca="1" si="96"/>
        <v>1</v>
      </c>
      <c r="G563" s="628"/>
      <c r="H563" s="766" t="s">
        <v>368</v>
      </c>
      <c r="I563" s="629" t="str">
        <f t="shared" ca="1" si="97"/>
        <v>07.006.001.001</v>
      </c>
      <c r="J563" s="654" t="s">
        <v>1629</v>
      </c>
      <c r="K563" s="630" t="s">
        <v>250</v>
      </c>
      <c r="L563" s="631">
        <v>1</v>
      </c>
      <c r="M563" s="631">
        <f>VLOOKUP(J563,Preços!$C$7:$F$498,4,FALSE)</f>
        <v>27997.53</v>
      </c>
      <c r="N563" s="646">
        <f>L563*M563</f>
        <v>27997.53</v>
      </c>
      <c r="O563" s="767" t="s">
        <v>530</v>
      </c>
      <c r="P563" s="632" t="s">
        <v>333</v>
      </c>
      <c r="R563" s="742"/>
      <c r="S563" s="742"/>
    </row>
    <row r="564" spans="1:19" s="761" customFormat="1" hidden="1" outlineLevel="3" collapsed="1" x14ac:dyDescent="0.2">
      <c r="A564" s="762" t="e">
        <f ca="1">IF($H564="UNIDADE CONSTRUTIVA",OFFSET(A564,-1,0)+1,LARGE(A$3:A563,1))</f>
        <v>#NUM!</v>
      </c>
      <c r="B564" s="762">
        <f t="shared" ca="1" si="93"/>
        <v>7</v>
      </c>
      <c r="C564" s="762">
        <f t="shared" ca="1" si="94"/>
        <v>6</v>
      </c>
      <c r="D564" s="763">
        <f t="shared" ca="1" si="95"/>
        <v>2</v>
      </c>
      <c r="E564" s="763">
        <f t="shared" ca="1" si="96"/>
        <v>0</v>
      </c>
      <c r="G564" s="628"/>
      <c r="H564" s="766" t="s">
        <v>367</v>
      </c>
      <c r="I564" s="629" t="str">
        <f t="shared" ca="1" si="97"/>
        <v>07.006.002</v>
      </c>
      <c r="J564" s="654" t="s">
        <v>294</v>
      </c>
      <c r="K564" s="630"/>
      <c r="L564" s="631"/>
      <c r="M564" s="631"/>
      <c r="N564" s="646">
        <f>SUM(N565)</f>
        <v>104604.11</v>
      </c>
      <c r="O564" s="767"/>
      <c r="P564" s="632"/>
      <c r="R564" s="742"/>
      <c r="S564" s="742"/>
    </row>
    <row r="565" spans="1:19" s="761" customFormat="1" ht="22.5" hidden="1" outlineLevel="4" x14ac:dyDescent="0.2">
      <c r="A565" s="762" t="e">
        <f ca="1">IF($H565="UNIDADE CONSTRUTIVA",OFFSET(A565,-1,0)+1,LARGE(A$3:A564,1))</f>
        <v>#NUM!</v>
      </c>
      <c r="B565" s="762">
        <f t="shared" ca="1" si="93"/>
        <v>7</v>
      </c>
      <c r="C565" s="762">
        <f t="shared" ca="1" si="94"/>
        <v>6</v>
      </c>
      <c r="D565" s="763">
        <f t="shared" ca="1" si="95"/>
        <v>2</v>
      </c>
      <c r="E565" s="763">
        <f t="shared" ca="1" si="96"/>
        <v>1</v>
      </c>
      <c r="G565" s="628"/>
      <c r="H565" s="766" t="s">
        <v>368</v>
      </c>
      <c r="I565" s="629" t="str">
        <f t="shared" ca="1" si="97"/>
        <v>07.006.002.001</v>
      </c>
      <c r="J565" s="654" t="s">
        <v>1630</v>
      </c>
      <c r="K565" s="630" t="s">
        <v>250</v>
      </c>
      <c r="L565" s="631">
        <v>1</v>
      </c>
      <c r="M565" s="631">
        <f>VLOOKUP(J565,Preços!$C$7:$F$498,4,FALSE)</f>
        <v>104604.11</v>
      </c>
      <c r="N565" s="646">
        <f>L565*M565</f>
        <v>104604.11</v>
      </c>
      <c r="O565" s="767" t="s">
        <v>530</v>
      </c>
      <c r="P565" s="632" t="s">
        <v>333</v>
      </c>
      <c r="R565" s="742"/>
      <c r="S565" s="742"/>
    </row>
    <row r="566" spans="1:19" s="761" customFormat="1" hidden="1" outlineLevel="3" collapsed="1" x14ac:dyDescent="0.2">
      <c r="A566" s="762" t="e">
        <f ca="1">IF($H566="UNIDADE CONSTRUTIVA",OFFSET(A566,-1,0)+1,LARGE(A$3:A565,1))</f>
        <v>#NUM!</v>
      </c>
      <c r="B566" s="762">
        <f t="shared" ca="1" si="93"/>
        <v>7</v>
      </c>
      <c r="C566" s="762">
        <f t="shared" ca="1" si="94"/>
        <v>6</v>
      </c>
      <c r="D566" s="763">
        <f t="shared" ca="1" si="95"/>
        <v>3</v>
      </c>
      <c r="E566" s="763">
        <f t="shared" ca="1" si="96"/>
        <v>0</v>
      </c>
      <c r="G566" s="628"/>
      <c r="H566" s="766" t="s">
        <v>367</v>
      </c>
      <c r="I566" s="629" t="str">
        <f t="shared" ca="1" si="97"/>
        <v>07.006.003</v>
      </c>
      <c r="J566" s="654" t="s">
        <v>1641</v>
      </c>
      <c r="K566" s="630"/>
      <c r="L566" s="631"/>
      <c r="M566" s="631"/>
      <c r="N566" s="646">
        <f>SUM(N567)</f>
        <v>103930.09</v>
      </c>
      <c r="O566" s="767"/>
      <c r="P566" s="632"/>
      <c r="R566" s="742"/>
      <c r="S566" s="742"/>
    </row>
    <row r="567" spans="1:19" s="761" customFormat="1" ht="22.5" hidden="1" outlineLevel="4" x14ac:dyDescent="0.2">
      <c r="A567" s="762" t="e">
        <f ca="1">IF($H567="UNIDADE CONSTRUTIVA",OFFSET(A567,-1,0)+1,LARGE(A$3:A566,1))</f>
        <v>#NUM!</v>
      </c>
      <c r="B567" s="762">
        <f t="shared" ca="1" si="93"/>
        <v>7</v>
      </c>
      <c r="C567" s="762">
        <f t="shared" ca="1" si="94"/>
        <v>6</v>
      </c>
      <c r="D567" s="763">
        <f t="shared" ca="1" si="95"/>
        <v>3</v>
      </c>
      <c r="E567" s="763">
        <f t="shared" ca="1" si="96"/>
        <v>1</v>
      </c>
      <c r="G567" s="628"/>
      <c r="H567" s="766" t="s">
        <v>368</v>
      </c>
      <c r="I567" s="629" t="str">
        <f t="shared" ca="1" si="97"/>
        <v>07.006.003.001</v>
      </c>
      <c r="J567" s="654" t="s">
        <v>1631</v>
      </c>
      <c r="K567" s="630" t="s">
        <v>250</v>
      </c>
      <c r="L567" s="631">
        <v>1</v>
      </c>
      <c r="M567" s="631">
        <f>VLOOKUP(J567,Preços!$C$7:$F$498,4,FALSE)</f>
        <v>103930.09</v>
      </c>
      <c r="N567" s="646">
        <f>L567*M567</f>
        <v>103930.09</v>
      </c>
      <c r="O567" s="767" t="s">
        <v>530</v>
      </c>
      <c r="P567" s="632" t="s">
        <v>333</v>
      </c>
      <c r="R567" s="742"/>
      <c r="S567" s="742"/>
    </row>
    <row r="568" spans="1:19" s="761" customFormat="1" hidden="1" outlineLevel="3" collapsed="1" x14ac:dyDescent="0.2">
      <c r="A568" s="762" t="e">
        <f ca="1">IF($H568="UNIDADE CONSTRUTIVA",OFFSET(A568,-1,0)+1,LARGE(A$3:A567,1))</f>
        <v>#NUM!</v>
      </c>
      <c r="B568" s="762">
        <f t="shared" ca="1" si="93"/>
        <v>7</v>
      </c>
      <c r="C568" s="762">
        <f t="shared" ca="1" si="94"/>
        <v>6</v>
      </c>
      <c r="D568" s="763">
        <f t="shared" ca="1" si="95"/>
        <v>4</v>
      </c>
      <c r="E568" s="763">
        <f t="shared" ca="1" si="96"/>
        <v>0</v>
      </c>
      <c r="G568" s="628"/>
      <c r="H568" s="766" t="s">
        <v>367</v>
      </c>
      <c r="I568" s="629" t="str">
        <f t="shared" ca="1" si="97"/>
        <v>07.006.004</v>
      </c>
      <c r="J568" s="654" t="s">
        <v>211</v>
      </c>
      <c r="K568" s="630"/>
      <c r="L568" s="631"/>
      <c r="M568" s="631"/>
      <c r="N568" s="646">
        <f>SUM(N569)</f>
        <v>296659</v>
      </c>
      <c r="O568" s="767"/>
      <c r="P568" s="632"/>
      <c r="R568" s="742"/>
      <c r="S568" s="742"/>
    </row>
    <row r="569" spans="1:19" s="761" customFormat="1" ht="22.5" hidden="1" outlineLevel="4" x14ac:dyDescent="0.2">
      <c r="A569" s="762" t="e">
        <f ca="1">IF($H569="UNIDADE CONSTRUTIVA",OFFSET(A569,-1,0)+1,LARGE(A$3:A568,1))</f>
        <v>#NUM!</v>
      </c>
      <c r="B569" s="762">
        <f t="shared" ca="1" si="93"/>
        <v>7</v>
      </c>
      <c r="C569" s="762">
        <f t="shared" ca="1" si="94"/>
        <v>6</v>
      </c>
      <c r="D569" s="763">
        <f t="shared" ca="1" si="95"/>
        <v>4</v>
      </c>
      <c r="E569" s="763">
        <f t="shared" ca="1" si="96"/>
        <v>1</v>
      </c>
      <c r="G569" s="628"/>
      <c r="H569" s="766" t="s">
        <v>368</v>
      </c>
      <c r="I569" s="629" t="str">
        <f t="shared" ca="1" si="97"/>
        <v>07.006.004.001</v>
      </c>
      <c r="J569" s="654" t="s">
        <v>981</v>
      </c>
      <c r="K569" s="630" t="s">
        <v>1</v>
      </c>
      <c r="L569" s="631">
        <f>'Projeção torre'!F50</f>
        <v>5393.8</v>
      </c>
      <c r="M569" s="631">
        <f>VLOOKUP(J569,Preços!$C$7:$F$498,4,FALSE)</f>
        <v>55</v>
      </c>
      <c r="N569" s="646">
        <f>L569*M569</f>
        <v>296659</v>
      </c>
      <c r="O569" s="767"/>
      <c r="P569" s="632" t="s">
        <v>333</v>
      </c>
      <c r="R569" s="742"/>
      <c r="S569" s="742"/>
    </row>
    <row r="570" spans="1:19" s="761" customFormat="1" ht="22.5" hidden="1" outlineLevel="1" collapsed="1" x14ac:dyDescent="0.2">
      <c r="A570" s="762" t="e">
        <f ca="1">IF($H570="UNIDADE CONSTRUTIVA",OFFSET(A570,-1,0)+1,LARGE(A$3:A544,1))</f>
        <v>#NUM!</v>
      </c>
      <c r="B570" s="762">
        <f t="shared" ref="B570:B578" ca="1" si="98">IF(H570="UNIDADE CONSTRUTIVA",0,IF(H570="CÉLULA CONSTRUTIVA",OFFSET(B570,-1,0)+1,OFFSET(B570,-1,0)))</f>
        <v>7</v>
      </c>
      <c r="C570" s="762">
        <f t="shared" ref="C570:C578" ca="1" si="99">IF(H570="CÉLULA CONSTRUTIVA",0,IF(H570="ETAPA",OFFSET(C570,-1,0)+1,OFFSET(C570,-1,0)))</f>
        <v>7</v>
      </c>
      <c r="D570" s="763">
        <f t="shared" ref="D570:D578" ca="1" si="100">IF(H570="ETAPA",0,IF(H570="SUBETAPA",OFFSET(D570,-1,0)+1,OFFSET(D570,-1,0)))</f>
        <v>0</v>
      </c>
      <c r="E570" s="763">
        <f t="shared" ref="E570:E578" ca="1" si="101">IF(H570="Subetapa",0,IF(H570="serviço",OFFSET(E570,-1,0)+1,OFFSET(E570,-1,0)))</f>
        <v>1</v>
      </c>
      <c r="G570" s="628"/>
      <c r="H570" s="766" t="s">
        <v>366</v>
      </c>
      <c r="I570" s="629" t="str">
        <f t="shared" ref="I570:I578" ca="1" si="102">IF(H570="Unidade Construtiva",TEXT(A570,"00"),IF(H570="Célula Construtiva",TEXT(B570,"00"),IF(H570="Etapa",CONCATENATE(TEXT(B570,"00"),".",TEXT(C570,"000")),IF(H570="Subetapa",CONCATENATE(TEXT(B570,"00"),".",TEXT(C570,"000"),".",TEXT(D570,"000")),IF(H570="Serviço",CONCATENATE(TEXT(B570,"00"),".",TEXT(C570,"000"),".",TEXT(D570,"000"),".",TEXT(E570,"000")),"")))))</f>
        <v>07.007</v>
      </c>
      <c r="J570" s="654" t="s">
        <v>1640</v>
      </c>
      <c r="K570" s="630"/>
      <c r="L570" s="631"/>
      <c r="M570" s="631"/>
      <c r="N570" s="646">
        <f>SUM(N571,N573,N575,N577)</f>
        <v>74381.41</v>
      </c>
      <c r="O570" s="767"/>
      <c r="P570" s="632"/>
      <c r="R570" s="742"/>
      <c r="S570" s="742"/>
    </row>
    <row r="571" spans="1:19" s="761" customFormat="1" hidden="1" outlineLevel="2" collapsed="1" x14ac:dyDescent="0.2">
      <c r="A571" s="762" t="e">
        <f ca="1">IF($H571="UNIDADE CONSTRUTIVA",OFFSET(A571,-1,0)+1,LARGE(A$3:A570,1))</f>
        <v>#NUM!</v>
      </c>
      <c r="B571" s="762">
        <f t="shared" ca="1" si="98"/>
        <v>7</v>
      </c>
      <c r="C571" s="762">
        <f t="shared" ca="1" si="99"/>
        <v>7</v>
      </c>
      <c r="D571" s="763">
        <f t="shared" ca="1" si="100"/>
        <v>1</v>
      </c>
      <c r="E571" s="763">
        <f t="shared" ca="1" si="101"/>
        <v>0</v>
      </c>
      <c r="G571" s="628"/>
      <c r="H571" s="766" t="s">
        <v>367</v>
      </c>
      <c r="I571" s="629" t="str">
        <f t="shared" ca="1" si="102"/>
        <v>07.007.001</v>
      </c>
      <c r="J571" s="654" t="s">
        <v>293</v>
      </c>
      <c r="K571" s="630"/>
      <c r="L571" s="631"/>
      <c r="M571" s="631"/>
      <c r="N571" s="646">
        <f>SUM(N572)</f>
        <v>45857.32</v>
      </c>
      <c r="O571" s="767"/>
      <c r="P571" s="632"/>
      <c r="R571" s="742"/>
      <c r="S571" s="742"/>
    </row>
    <row r="572" spans="1:19" s="761" customFormat="1" ht="22.5" hidden="1" outlineLevel="3" x14ac:dyDescent="0.2">
      <c r="A572" s="762" t="e">
        <f ca="1">IF($H572="UNIDADE CONSTRUTIVA",OFFSET(A572,-1,0)+1,LARGE(A$3:A571,1))</f>
        <v>#NUM!</v>
      </c>
      <c r="B572" s="762">
        <f t="shared" ca="1" si="98"/>
        <v>7</v>
      </c>
      <c r="C572" s="762">
        <f t="shared" ca="1" si="99"/>
        <v>7</v>
      </c>
      <c r="D572" s="763">
        <f t="shared" ca="1" si="100"/>
        <v>1</v>
      </c>
      <c r="E572" s="763">
        <f t="shared" ca="1" si="101"/>
        <v>1</v>
      </c>
      <c r="G572" s="628"/>
      <c r="H572" s="766" t="s">
        <v>368</v>
      </c>
      <c r="I572" s="629" t="str">
        <f t="shared" ca="1" si="102"/>
        <v>07.007.001.001</v>
      </c>
      <c r="J572" s="654" t="s">
        <v>1694</v>
      </c>
      <c r="K572" s="630" t="s">
        <v>250</v>
      </c>
      <c r="L572" s="631">
        <v>1</v>
      </c>
      <c r="M572" s="631">
        <f>VLOOKUP(J572,Preços!$C$7:$F$498,4,FALSE)</f>
        <v>45857.32</v>
      </c>
      <c r="N572" s="646">
        <f>L572*M572</f>
        <v>45857.32</v>
      </c>
      <c r="O572" s="767" t="s">
        <v>530</v>
      </c>
      <c r="P572" s="632" t="s">
        <v>333</v>
      </c>
      <c r="R572" s="742"/>
      <c r="S572" s="742"/>
    </row>
    <row r="573" spans="1:19" s="761" customFormat="1" hidden="1" outlineLevel="2" collapsed="1" x14ac:dyDescent="0.2">
      <c r="A573" s="762" t="e">
        <f ca="1">IF($H573="UNIDADE CONSTRUTIVA",OFFSET(A573,-1,0)+1,LARGE(A$3:A572,1))</f>
        <v>#NUM!</v>
      </c>
      <c r="B573" s="762">
        <f t="shared" ca="1" si="98"/>
        <v>7</v>
      </c>
      <c r="C573" s="762">
        <f t="shared" ca="1" si="99"/>
        <v>7</v>
      </c>
      <c r="D573" s="763">
        <f t="shared" ca="1" si="100"/>
        <v>2</v>
      </c>
      <c r="E573" s="763">
        <f t="shared" ca="1" si="101"/>
        <v>0</v>
      </c>
      <c r="G573" s="628"/>
      <c r="H573" s="766" t="s">
        <v>367</v>
      </c>
      <c r="I573" s="629" t="str">
        <f t="shared" ca="1" si="102"/>
        <v>07.007.002</v>
      </c>
      <c r="J573" s="654" t="s">
        <v>294</v>
      </c>
      <c r="K573" s="630"/>
      <c r="L573" s="631"/>
      <c r="M573" s="631"/>
      <c r="N573" s="646">
        <f>SUM(N574)</f>
        <v>19948.990000000002</v>
      </c>
      <c r="O573" s="767"/>
      <c r="P573" s="632"/>
      <c r="R573" s="742"/>
      <c r="S573" s="742"/>
    </row>
    <row r="574" spans="1:19" s="761" customFormat="1" ht="22.5" hidden="1" outlineLevel="3" x14ac:dyDescent="0.2">
      <c r="A574" s="762" t="e">
        <f ca="1">IF($H574="UNIDADE CONSTRUTIVA",OFFSET(A574,-1,0)+1,LARGE(A$3:A573,1))</f>
        <v>#NUM!</v>
      </c>
      <c r="B574" s="762">
        <f t="shared" ca="1" si="98"/>
        <v>7</v>
      </c>
      <c r="C574" s="762">
        <f t="shared" ca="1" si="99"/>
        <v>7</v>
      </c>
      <c r="D574" s="763">
        <f t="shared" ca="1" si="100"/>
        <v>2</v>
      </c>
      <c r="E574" s="763">
        <f t="shared" ca="1" si="101"/>
        <v>1</v>
      </c>
      <c r="G574" s="628"/>
      <c r="H574" s="766" t="s">
        <v>368</v>
      </c>
      <c r="I574" s="629" t="str">
        <f t="shared" ca="1" si="102"/>
        <v>07.007.002.001</v>
      </c>
      <c r="J574" s="654" t="s">
        <v>1696</v>
      </c>
      <c r="K574" s="630" t="s">
        <v>250</v>
      </c>
      <c r="L574" s="631">
        <v>1</v>
      </c>
      <c r="M574" s="631">
        <f>VLOOKUP(J574,Preços!$C$7:$F$498,4,FALSE)</f>
        <v>19948.990000000002</v>
      </c>
      <c r="N574" s="646">
        <f>L574*M574</f>
        <v>19948.990000000002</v>
      </c>
      <c r="O574" s="767" t="s">
        <v>530</v>
      </c>
      <c r="P574" s="632" t="s">
        <v>333</v>
      </c>
      <c r="R574" s="742"/>
      <c r="S574" s="742"/>
    </row>
    <row r="575" spans="1:19" s="761" customFormat="1" hidden="1" outlineLevel="2" collapsed="1" x14ac:dyDescent="0.2">
      <c r="A575" s="762" t="e">
        <f ca="1">IF($H575="UNIDADE CONSTRUTIVA",OFFSET(A575,-1,0)+1,LARGE(A$3:A574,1))</f>
        <v>#NUM!</v>
      </c>
      <c r="B575" s="762">
        <f t="shared" ca="1" si="98"/>
        <v>7</v>
      </c>
      <c r="C575" s="762">
        <f t="shared" ca="1" si="99"/>
        <v>7</v>
      </c>
      <c r="D575" s="763">
        <f t="shared" ca="1" si="100"/>
        <v>3</v>
      </c>
      <c r="E575" s="763">
        <f t="shared" ca="1" si="101"/>
        <v>0</v>
      </c>
      <c r="G575" s="628"/>
      <c r="H575" s="766" t="s">
        <v>367</v>
      </c>
      <c r="I575" s="629" t="str">
        <f t="shared" ca="1" si="102"/>
        <v>07.007.003</v>
      </c>
      <c r="J575" s="654" t="s">
        <v>1641</v>
      </c>
      <c r="K575" s="630"/>
      <c r="L575" s="631"/>
      <c r="M575" s="631"/>
      <c r="N575" s="646">
        <f>SUM(N576)</f>
        <v>4848.3</v>
      </c>
      <c r="O575" s="767"/>
      <c r="P575" s="632"/>
      <c r="R575" s="742"/>
      <c r="S575" s="742"/>
    </row>
    <row r="576" spans="1:19" s="761" customFormat="1" ht="22.5" hidden="1" outlineLevel="3" x14ac:dyDescent="0.2">
      <c r="A576" s="762" t="e">
        <f ca="1">IF($H576="UNIDADE CONSTRUTIVA",OFFSET(A576,-1,0)+1,LARGE(A$3:A575,1))</f>
        <v>#NUM!</v>
      </c>
      <c r="B576" s="762">
        <f t="shared" ca="1" si="98"/>
        <v>7</v>
      </c>
      <c r="C576" s="762">
        <f t="shared" ca="1" si="99"/>
        <v>7</v>
      </c>
      <c r="D576" s="763">
        <f t="shared" ca="1" si="100"/>
        <v>3</v>
      </c>
      <c r="E576" s="763">
        <f t="shared" ca="1" si="101"/>
        <v>1</v>
      </c>
      <c r="G576" s="628"/>
      <c r="H576" s="766" t="s">
        <v>368</v>
      </c>
      <c r="I576" s="629" t="str">
        <f t="shared" ca="1" si="102"/>
        <v>07.007.003.001</v>
      </c>
      <c r="J576" s="654" t="s">
        <v>1695</v>
      </c>
      <c r="K576" s="630" t="s">
        <v>250</v>
      </c>
      <c r="L576" s="631">
        <v>1</v>
      </c>
      <c r="M576" s="631">
        <f>VLOOKUP(J576,Preços!$C$7:$F$498,4,FALSE)</f>
        <v>4848.3</v>
      </c>
      <c r="N576" s="646">
        <f>L576*M576</f>
        <v>4848.3</v>
      </c>
      <c r="O576" s="767" t="s">
        <v>530</v>
      </c>
      <c r="P576" s="632" t="s">
        <v>333</v>
      </c>
      <c r="R576" s="742"/>
      <c r="S576" s="742"/>
    </row>
    <row r="577" spans="1:19" s="761" customFormat="1" hidden="1" outlineLevel="2" collapsed="1" x14ac:dyDescent="0.2">
      <c r="A577" s="762" t="e">
        <f ca="1">IF($H577="UNIDADE CONSTRUTIVA",OFFSET(A577,-1,0)+1,LARGE(A$3:A576,1))</f>
        <v>#NUM!</v>
      </c>
      <c r="B577" s="762">
        <f t="shared" ca="1" si="98"/>
        <v>7</v>
      </c>
      <c r="C577" s="762">
        <f t="shared" ca="1" si="99"/>
        <v>7</v>
      </c>
      <c r="D577" s="763">
        <f t="shared" ca="1" si="100"/>
        <v>4</v>
      </c>
      <c r="E577" s="763">
        <f t="shared" ca="1" si="101"/>
        <v>0</v>
      </c>
      <c r="G577" s="628"/>
      <c r="H577" s="766" t="s">
        <v>367</v>
      </c>
      <c r="I577" s="629" t="str">
        <f t="shared" ca="1" si="102"/>
        <v>07.007.004</v>
      </c>
      <c r="J577" s="654" t="s">
        <v>211</v>
      </c>
      <c r="K577" s="630"/>
      <c r="L577" s="631"/>
      <c r="M577" s="631"/>
      <c r="N577" s="646">
        <f>SUM(N578)</f>
        <v>3726.8</v>
      </c>
      <c r="O577" s="767"/>
      <c r="P577" s="632"/>
      <c r="R577" s="742"/>
      <c r="S577" s="742"/>
    </row>
    <row r="578" spans="1:19" s="761" customFormat="1" ht="22.5" hidden="1" outlineLevel="3" x14ac:dyDescent="0.2">
      <c r="A578" s="762" t="e">
        <f ca="1">IF($H578="UNIDADE CONSTRUTIVA",OFFSET(A578,-1,0)+1,LARGE(A$3:A577,1))</f>
        <v>#NUM!</v>
      </c>
      <c r="B578" s="762">
        <f t="shared" ca="1" si="98"/>
        <v>7</v>
      </c>
      <c r="C578" s="762">
        <f t="shared" ca="1" si="99"/>
        <v>7</v>
      </c>
      <c r="D578" s="763">
        <f t="shared" ca="1" si="100"/>
        <v>4</v>
      </c>
      <c r="E578" s="763">
        <f t="shared" ca="1" si="101"/>
        <v>1</v>
      </c>
      <c r="G578" s="628"/>
      <c r="H578" s="766" t="s">
        <v>368</v>
      </c>
      <c r="I578" s="629" t="str">
        <f t="shared" ca="1" si="102"/>
        <v>07.007.004.001</v>
      </c>
      <c r="J578" s="654" t="s">
        <v>981</v>
      </c>
      <c r="K578" s="630" t="s">
        <v>1</v>
      </c>
      <c r="L578" s="631">
        <f>'Projeção torre'!F52</f>
        <v>67.760000000000005</v>
      </c>
      <c r="M578" s="631">
        <f>VLOOKUP(J578,Preços!$C$7:$F$498,4,FALSE)</f>
        <v>55</v>
      </c>
      <c r="N578" s="646">
        <f>L578*M578</f>
        <v>3726.8</v>
      </c>
      <c r="O578" s="767"/>
      <c r="P578" s="632" t="s">
        <v>333</v>
      </c>
      <c r="R578" s="742"/>
      <c r="S578" s="742"/>
    </row>
    <row r="579" spans="1:19" s="761" customFormat="1" collapsed="1" x14ac:dyDescent="0.2">
      <c r="A579" s="762" t="e">
        <f ca="1">IF($H579="UNIDADE CONSTRUTIVA",OFFSET(A579,-1,0)+1,LARGE(A$3:A619,1))</f>
        <v>#NUM!</v>
      </c>
      <c r="B579" s="762">
        <f t="shared" ref="B579:B588" ca="1" si="103">IF(H579="UNIDADE CONSTRUTIVA",0,IF(H579="CÉLULA CONSTRUTIVA",OFFSET(B579,-1,0)+1,OFFSET(B579,-1,0)))</f>
        <v>8</v>
      </c>
      <c r="C579" s="762">
        <f t="shared" ref="C579:C588" ca="1" si="104">IF(H579="CÉLULA CONSTRUTIVA",0,IF(H579="ETAPA",OFFSET(C579,-1,0)+1,OFFSET(C579,-1,0)))</f>
        <v>0</v>
      </c>
      <c r="D579" s="763">
        <f t="shared" ref="D579:D588" ca="1" si="105">IF(H579="ETAPA",0,IF(H579="SUBETAPA",OFFSET(D579,-1,0)+1,OFFSET(D579,-1,0)))</f>
        <v>4</v>
      </c>
      <c r="E579" s="763">
        <f t="shared" ref="E579:E588" ca="1" si="106">IF(H579="Subetapa",0,IF(H579="serviço",OFFSET(E579,-1,0)+1,OFFSET(E579,-1,0)))</f>
        <v>1</v>
      </c>
      <c r="G579" s="628"/>
      <c r="H579" s="766" t="s">
        <v>365</v>
      </c>
      <c r="I579" s="629" t="str">
        <f t="shared" ref="I579:I588" ca="1" si="107">IF(H579="Unidade Construtiva",TEXT(A579,"00"),IF(H579="Célula Construtiva",TEXT(B579,"00"),IF(H579="Etapa",CONCATENATE(TEXT(B579,"00"),".",TEXT(C579,"000")),IF(H579="Subetapa",CONCATENATE(TEXT(B579,"00"),".",TEXT(C579,"000"),".",TEXT(D579,"000")),IF(H579="Serviço",CONCATENATE(TEXT(B579,"00"),".",TEXT(C579,"000"),".",TEXT(D579,"000"),".",TEXT(E579,"000")),"")))))</f>
        <v>08</v>
      </c>
      <c r="J579" s="654" t="s">
        <v>1648</v>
      </c>
      <c r="K579" s="630"/>
      <c r="L579" s="631"/>
      <c r="M579" s="631"/>
      <c r="N579" s="646">
        <f>N580</f>
        <v>361841.21</v>
      </c>
      <c r="O579" s="767"/>
      <c r="P579" s="632"/>
      <c r="R579" s="742"/>
      <c r="S579" s="742"/>
    </row>
    <row r="580" spans="1:19" s="761" customFormat="1" hidden="1" outlineLevel="1" collapsed="1" x14ac:dyDescent="0.2">
      <c r="A580" s="762" t="e">
        <f ca="1">IF($H580="UNIDADE CONSTRUTIVA",OFFSET(A580,-1,0)+1,LARGE(A$3:A579,1))</f>
        <v>#NUM!</v>
      </c>
      <c r="B580" s="762">
        <f t="shared" ca="1" si="103"/>
        <v>8</v>
      </c>
      <c r="C580" s="762">
        <f t="shared" ca="1" si="104"/>
        <v>1</v>
      </c>
      <c r="D580" s="763">
        <f t="shared" ca="1" si="105"/>
        <v>0</v>
      </c>
      <c r="E580" s="763">
        <f t="shared" ca="1" si="106"/>
        <v>1</v>
      </c>
      <c r="G580" s="628"/>
      <c r="H580" s="766" t="s">
        <v>366</v>
      </c>
      <c r="I580" s="629" t="str">
        <f t="shared" ca="1" si="107"/>
        <v>08.001</v>
      </c>
      <c r="J580" s="654" t="s">
        <v>1648</v>
      </c>
      <c r="K580" s="630"/>
      <c r="L580" s="631"/>
      <c r="M580" s="631"/>
      <c r="N580" s="646">
        <f>SUM(N581,N583,N585,N587)</f>
        <v>361841.21</v>
      </c>
      <c r="O580" s="767"/>
      <c r="P580" s="632"/>
      <c r="R580" s="742"/>
      <c r="S580" s="742"/>
    </row>
    <row r="581" spans="1:19" s="761" customFormat="1" hidden="1" outlineLevel="2" collapsed="1" x14ac:dyDescent="0.2">
      <c r="A581" s="762" t="e">
        <f ca="1">IF($H581="UNIDADE CONSTRUTIVA",OFFSET(A581,-1,0)+1,LARGE(A$3:A578,1))</f>
        <v>#NUM!</v>
      </c>
      <c r="B581" s="762">
        <f t="shared" ca="1" si="103"/>
        <v>8</v>
      </c>
      <c r="C581" s="762">
        <f t="shared" ca="1" si="104"/>
        <v>1</v>
      </c>
      <c r="D581" s="763">
        <f t="shared" ca="1" si="105"/>
        <v>1</v>
      </c>
      <c r="E581" s="763">
        <f t="shared" ca="1" si="106"/>
        <v>0</v>
      </c>
      <c r="G581" s="628"/>
      <c r="H581" s="766" t="s">
        <v>367</v>
      </c>
      <c r="I581" s="629" t="str">
        <f t="shared" ca="1" si="107"/>
        <v>08.001.001</v>
      </c>
      <c r="J581" s="654" t="s">
        <v>1151</v>
      </c>
      <c r="K581" s="630"/>
      <c r="L581" s="631"/>
      <c r="M581" s="631"/>
      <c r="N581" s="646">
        <f>SUM(N582)</f>
        <v>80963.58</v>
      </c>
      <c r="O581" s="767"/>
      <c r="P581" s="632"/>
      <c r="R581" s="742"/>
      <c r="S581" s="742"/>
    </row>
    <row r="582" spans="1:19" s="761" customFormat="1" ht="22.5" hidden="1" outlineLevel="3" x14ac:dyDescent="0.2">
      <c r="A582" s="762" t="e">
        <f ca="1">IF($H582="UNIDADE CONSTRUTIVA",OFFSET(A582,-1,0)+1,LARGE(A$3:A581,1))</f>
        <v>#NUM!</v>
      </c>
      <c r="B582" s="762">
        <f t="shared" ca="1" si="103"/>
        <v>8</v>
      </c>
      <c r="C582" s="762">
        <f t="shared" ca="1" si="104"/>
        <v>1</v>
      </c>
      <c r="D582" s="763">
        <f t="shared" ca="1" si="105"/>
        <v>1</v>
      </c>
      <c r="E582" s="763">
        <f t="shared" ca="1" si="106"/>
        <v>1</v>
      </c>
      <c r="G582" s="628"/>
      <c r="H582" s="766" t="s">
        <v>368</v>
      </c>
      <c r="I582" s="629" t="str">
        <f t="shared" ca="1" si="107"/>
        <v>08.001.001.001</v>
      </c>
      <c r="J582" s="654" t="s">
        <v>1151</v>
      </c>
      <c r="K582" s="630" t="s">
        <v>250</v>
      </c>
      <c r="L582" s="631">
        <v>1</v>
      </c>
      <c r="M582" s="631">
        <f>VLOOKUP(J582,Preços!$C$7:$F$498,4,FALSE)</f>
        <v>80963.58</v>
      </c>
      <c r="N582" s="646">
        <f>L582*M582</f>
        <v>80963.58</v>
      </c>
      <c r="O582" s="767" t="s">
        <v>530</v>
      </c>
      <c r="P582" s="632" t="s">
        <v>333</v>
      </c>
      <c r="R582" s="742"/>
      <c r="S582" s="742"/>
    </row>
    <row r="583" spans="1:19" s="761" customFormat="1" hidden="1" outlineLevel="2" collapsed="1" x14ac:dyDescent="0.2">
      <c r="A583" s="762" t="e">
        <f ca="1">IF($H583="UNIDADE CONSTRUTIVA",OFFSET(A583,-1,0)+1,LARGE(A$3:A580,1))</f>
        <v>#NUM!</v>
      </c>
      <c r="B583" s="762">
        <f t="shared" ca="1" si="103"/>
        <v>8</v>
      </c>
      <c r="C583" s="762">
        <f t="shared" ca="1" si="104"/>
        <v>1</v>
      </c>
      <c r="D583" s="763">
        <f t="shared" ca="1" si="105"/>
        <v>2</v>
      </c>
      <c r="E583" s="763">
        <f t="shared" ca="1" si="106"/>
        <v>0</v>
      </c>
      <c r="G583" s="628"/>
      <c r="H583" s="766" t="s">
        <v>367</v>
      </c>
      <c r="I583" s="629" t="str">
        <f t="shared" ca="1" si="107"/>
        <v>08.001.002</v>
      </c>
      <c r="J583" s="654" t="s">
        <v>380</v>
      </c>
      <c r="K583" s="630"/>
      <c r="L583" s="631"/>
      <c r="M583" s="631"/>
      <c r="N583" s="646">
        <f>SUM(N584)</f>
        <v>96242.97</v>
      </c>
      <c r="O583" s="767"/>
      <c r="P583" s="632"/>
      <c r="R583" s="742"/>
      <c r="S583" s="742"/>
    </row>
    <row r="584" spans="1:19" s="761" customFormat="1" ht="22.5" hidden="1" outlineLevel="3" x14ac:dyDescent="0.2">
      <c r="A584" s="762" t="e">
        <f ca="1">IF($H584="UNIDADE CONSTRUTIVA",OFFSET(A584,-1,0)+1,LARGE(A$3:A583,1))</f>
        <v>#NUM!</v>
      </c>
      <c r="B584" s="762">
        <f t="shared" ca="1" si="103"/>
        <v>8</v>
      </c>
      <c r="C584" s="762">
        <f t="shared" ca="1" si="104"/>
        <v>1</v>
      </c>
      <c r="D584" s="763">
        <f t="shared" ca="1" si="105"/>
        <v>2</v>
      </c>
      <c r="E584" s="763">
        <f t="shared" ca="1" si="106"/>
        <v>1</v>
      </c>
      <c r="G584" s="628"/>
      <c r="H584" s="766" t="s">
        <v>368</v>
      </c>
      <c r="I584" s="629" t="str">
        <f t="shared" ca="1" si="107"/>
        <v>08.001.002.001</v>
      </c>
      <c r="J584" s="654" t="s">
        <v>1152</v>
      </c>
      <c r="K584" s="630" t="s">
        <v>250</v>
      </c>
      <c r="L584" s="631">
        <v>1</v>
      </c>
      <c r="M584" s="631">
        <f>VLOOKUP(J584,Preços!$C$7:$F$498,4,FALSE)</f>
        <v>96242.97</v>
      </c>
      <c r="N584" s="646">
        <f>L584*M584</f>
        <v>96242.97</v>
      </c>
      <c r="O584" s="767" t="s">
        <v>530</v>
      </c>
      <c r="P584" s="632" t="s">
        <v>333</v>
      </c>
      <c r="R584" s="742"/>
      <c r="S584" s="742"/>
    </row>
    <row r="585" spans="1:19" s="761" customFormat="1" hidden="1" outlineLevel="2" collapsed="1" x14ac:dyDescent="0.2">
      <c r="A585" s="762" t="e">
        <f ca="1">IF($H585="UNIDADE CONSTRUTIVA",OFFSET(A585,-1,0)+1,LARGE(A$3:A584,1))</f>
        <v>#NUM!</v>
      </c>
      <c r="B585" s="762">
        <f t="shared" ca="1" si="103"/>
        <v>8</v>
      </c>
      <c r="C585" s="762">
        <f t="shared" ca="1" si="104"/>
        <v>1</v>
      </c>
      <c r="D585" s="763">
        <f t="shared" ca="1" si="105"/>
        <v>3</v>
      </c>
      <c r="E585" s="763">
        <f t="shared" ca="1" si="106"/>
        <v>0</v>
      </c>
      <c r="G585" s="628"/>
      <c r="H585" s="766" t="s">
        <v>367</v>
      </c>
      <c r="I585" s="629" t="str">
        <f t="shared" ca="1" si="107"/>
        <v>08.001.003</v>
      </c>
      <c r="J585" s="654" t="s">
        <v>301</v>
      </c>
      <c r="K585" s="630"/>
      <c r="L585" s="631"/>
      <c r="M585" s="631"/>
      <c r="N585" s="646">
        <f>SUM(N586)</f>
        <v>10703.26</v>
      </c>
      <c r="O585" s="767"/>
      <c r="P585" s="632"/>
      <c r="R585" s="742"/>
      <c r="S585" s="742"/>
    </row>
    <row r="586" spans="1:19" s="761" customFormat="1" ht="22.5" hidden="1" outlineLevel="3" x14ac:dyDescent="0.2">
      <c r="A586" s="762" t="e">
        <f ca="1">IF($H586="UNIDADE CONSTRUTIVA",OFFSET(A586,-1,0)+1,LARGE(A$3:A585,1))</f>
        <v>#NUM!</v>
      </c>
      <c r="B586" s="762">
        <f t="shared" ca="1" si="103"/>
        <v>8</v>
      </c>
      <c r="C586" s="762">
        <f t="shared" ca="1" si="104"/>
        <v>1</v>
      </c>
      <c r="D586" s="763">
        <f t="shared" ca="1" si="105"/>
        <v>3</v>
      </c>
      <c r="E586" s="763">
        <f t="shared" ca="1" si="106"/>
        <v>1</v>
      </c>
      <c r="G586" s="628"/>
      <c r="H586" s="766" t="s">
        <v>368</v>
      </c>
      <c r="I586" s="629" t="str">
        <f t="shared" ca="1" si="107"/>
        <v>08.001.003.001</v>
      </c>
      <c r="J586" s="654" t="s">
        <v>1153</v>
      </c>
      <c r="K586" s="630" t="s">
        <v>250</v>
      </c>
      <c r="L586" s="631">
        <v>1</v>
      </c>
      <c r="M586" s="631">
        <f>VLOOKUP(J586,Preços!$C$7:$F$498,4,FALSE)</f>
        <v>10703.26</v>
      </c>
      <c r="N586" s="646">
        <f>L586*M586</f>
        <v>10703.26</v>
      </c>
      <c r="O586" s="767" t="s">
        <v>530</v>
      </c>
      <c r="P586" s="632" t="s">
        <v>333</v>
      </c>
      <c r="R586" s="742"/>
      <c r="S586" s="742"/>
    </row>
    <row r="587" spans="1:19" s="761" customFormat="1" hidden="1" outlineLevel="2" collapsed="1" x14ac:dyDescent="0.2">
      <c r="A587" s="762" t="e">
        <f ca="1">IF($H587="UNIDADE CONSTRUTIVA",OFFSET(A587,-1,0)+1,LARGE(A$3:A586,1))</f>
        <v>#NUM!</v>
      </c>
      <c r="B587" s="762">
        <f t="shared" ca="1" si="103"/>
        <v>8</v>
      </c>
      <c r="C587" s="762">
        <f t="shared" ca="1" si="104"/>
        <v>1</v>
      </c>
      <c r="D587" s="763">
        <f t="shared" ca="1" si="105"/>
        <v>4</v>
      </c>
      <c r="E587" s="763">
        <f t="shared" ca="1" si="106"/>
        <v>0</v>
      </c>
      <c r="G587" s="628"/>
      <c r="H587" s="766" t="s">
        <v>367</v>
      </c>
      <c r="I587" s="629" t="str">
        <f t="shared" ca="1" si="107"/>
        <v>08.001.004</v>
      </c>
      <c r="J587" s="654" t="s">
        <v>211</v>
      </c>
      <c r="K587" s="630"/>
      <c r="L587" s="631"/>
      <c r="M587" s="631"/>
      <c r="N587" s="646">
        <f>SUM(N588)</f>
        <v>173931.40000000002</v>
      </c>
      <c r="O587" s="767"/>
      <c r="P587" s="632"/>
      <c r="R587" s="742"/>
      <c r="S587" s="742"/>
    </row>
    <row r="588" spans="1:19" s="761" customFormat="1" ht="22.5" hidden="1" outlineLevel="2" x14ac:dyDescent="0.2">
      <c r="A588" s="762" t="e">
        <f ca="1">IF($H588="UNIDADE CONSTRUTIVA",OFFSET(A588,-1,0)+1,LARGE(A$3:A587,1))</f>
        <v>#NUM!</v>
      </c>
      <c r="B588" s="762">
        <f t="shared" ca="1" si="103"/>
        <v>8</v>
      </c>
      <c r="C588" s="762">
        <f t="shared" ca="1" si="104"/>
        <v>1</v>
      </c>
      <c r="D588" s="763">
        <f t="shared" ca="1" si="105"/>
        <v>4</v>
      </c>
      <c r="E588" s="763">
        <f t="shared" ca="1" si="106"/>
        <v>1</v>
      </c>
      <c r="G588" s="628"/>
      <c r="H588" s="766" t="s">
        <v>368</v>
      </c>
      <c r="I588" s="629" t="str">
        <f t="shared" ca="1" si="107"/>
        <v>08.001.004.001</v>
      </c>
      <c r="J588" s="654" t="s">
        <v>1649</v>
      </c>
      <c r="K588" s="630" t="s">
        <v>1</v>
      </c>
      <c r="L588" s="631">
        <f>'Projeção torre'!F55</f>
        <v>8696.5700000000015</v>
      </c>
      <c r="M588" s="631">
        <f>VLOOKUP(J588,Preços!$C$7:$F$498,4,FALSE)</f>
        <v>20</v>
      </c>
      <c r="N588" s="646">
        <f>L588*M588</f>
        <v>173931.40000000002</v>
      </c>
      <c r="O588" s="767"/>
      <c r="P588" s="632" t="s">
        <v>333</v>
      </c>
      <c r="R588" s="742"/>
      <c r="S588" s="742"/>
    </row>
    <row r="589" spans="1:19" s="761" customFormat="1" collapsed="1" x14ac:dyDescent="0.2">
      <c r="A589" s="762" t="e">
        <f ca="1">IF($H589="UNIDADE CONSTRUTIVA",OFFSET(A589,-1,0)+1,LARGE(A$3:A1282,1))</f>
        <v>#NUM!</v>
      </c>
      <c r="B589" s="762">
        <f t="shared" ref="B589:B606" ca="1" si="108">IF(H589="UNIDADE CONSTRUTIVA",0,IF(H589="CÉLULA CONSTRUTIVA",OFFSET(B589,-1,0)+1,OFFSET(B589,-1,0)))</f>
        <v>9</v>
      </c>
      <c r="C589" s="762">
        <f t="shared" ref="C589:C606" ca="1" si="109">IF(H589="CÉLULA CONSTRUTIVA",0,IF(H589="ETAPA",OFFSET(C589,-1,0)+1,OFFSET(C589,-1,0)))</f>
        <v>0</v>
      </c>
      <c r="D589" s="763">
        <f t="shared" ref="D589:D606" ca="1" si="110">IF(H589="ETAPA",0,IF(H589="SUBETAPA",OFFSET(D589,-1,0)+1,OFFSET(D589,-1,0)))</f>
        <v>4</v>
      </c>
      <c r="E589" s="763">
        <f t="shared" ref="E589:E606" ca="1" si="111">IF(H589="Subetapa",0,IF(H589="serviço",OFFSET(E589,-1,0)+1,OFFSET(E589,-1,0)))</f>
        <v>1</v>
      </c>
      <c r="G589" s="628"/>
      <c r="H589" s="766" t="s">
        <v>365</v>
      </c>
      <c r="I589" s="629" t="str">
        <f t="shared" ref="I589:I616" ca="1" si="112">IF(H589="Unidade Construtiva",TEXT(A589,"00"),IF(H589="Célula Construtiva",TEXT(B589,"00"),IF(H589="Etapa",CONCATENATE(TEXT(B589,"00"),".",TEXT(C589,"000")),IF(H589="Subetapa",CONCATENATE(TEXT(B589,"00"),".",TEXT(C589,"000"),".",TEXT(D589,"000")),IF(H589="Serviço",CONCATENATE(TEXT(B589,"00"),".",TEXT(C589,"000"),".",TEXT(D589,"000"),".",TEXT(E589,"000")),"")))))</f>
        <v>09</v>
      </c>
      <c r="J589" s="654" t="s">
        <v>1650</v>
      </c>
      <c r="K589" s="630"/>
      <c r="L589" s="631"/>
      <c r="M589" s="631"/>
      <c r="N589" s="646">
        <f>N590</f>
        <v>198050</v>
      </c>
      <c r="O589" s="767"/>
      <c r="P589" s="632"/>
      <c r="R589" s="742"/>
      <c r="S589" s="742"/>
    </row>
    <row r="590" spans="1:19" s="761" customFormat="1" hidden="1" outlineLevel="1" collapsed="1" x14ac:dyDescent="0.2">
      <c r="A590" s="762" t="e">
        <f ca="1">IF($H590="UNIDADE CONSTRUTIVA",OFFSET(A590,-1,0)+1,LARGE(A$3:A589,1))</f>
        <v>#NUM!</v>
      </c>
      <c r="B590" s="762">
        <f t="shared" ca="1" si="108"/>
        <v>9</v>
      </c>
      <c r="C590" s="762">
        <f t="shared" ca="1" si="109"/>
        <v>1</v>
      </c>
      <c r="D590" s="763">
        <f t="shared" ca="1" si="110"/>
        <v>0</v>
      </c>
      <c r="E590" s="763">
        <f t="shared" ca="1" si="111"/>
        <v>1</v>
      </c>
      <c r="G590" s="628"/>
      <c r="H590" s="766" t="s">
        <v>366</v>
      </c>
      <c r="I590" s="629" t="str">
        <f t="shared" ca="1" si="112"/>
        <v>09.001</v>
      </c>
      <c r="J590" s="654" t="s">
        <v>1650</v>
      </c>
      <c r="K590" s="630"/>
      <c r="L590" s="631"/>
      <c r="M590" s="631"/>
      <c r="N590" s="646">
        <f>SUM(N591,N594)</f>
        <v>198050</v>
      </c>
      <c r="O590" s="767"/>
      <c r="P590" s="632"/>
      <c r="R590" s="742"/>
      <c r="S590" s="742"/>
    </row>
    <row r="591" spans="1:19" s="761" customFormat="1" hidden="1" outlineLevel="2" collapsed="1" x14ac:dyDescent="0.2">
      <c r="A591" s="762" t="e">
        <f ca="1">IF($H591="UNIDADE CONSTRUTIVA",OFFSET(A591,-1,0)+1,LARGE(A$3:A590,1))</f>
        <v>#NUM!</v>
      </c>
      <c r="B591" s="762">
        <f t="shared" ca="1" si="108"/>
        <v>9</v>
      </c>
      <c r="C591" s="762">
        <f t="shared" ca="1" si="109"/>
        <v>1</v>
      </c>
      <c r="D591" s="763">
        <f t="shared" ca="1" si="110"/>
        <v>1</v>
      </c>
      <c r="E591" s="763">
        <f t="shared" ca="1" si="111"/>
        <v>0</v>
      </c>
      <c r="G591" s="628"/>
      <c r="H591" s="766" t="s">
        <v>367</v>
      </c>
      <c r="I591" s="629" t="str">
        <f t="shared" ca="1" si="112"/>
        <v>09.001.001</v>
      </c>
      <c r="J591" s="654" t="s">
        <v>306</v>
      </c>
      <c r="K591" s="630"/>
      <c r="L591" s="631"/>
      <c r="M591" s="631"/>
      <c r="N591" s="646">
        <f>SUM(N592:N593)</f>
        <v>94500</v>
      </c>
      <c r="O591" s="767"/>
      <c r="P591" s="632"/>
      <c r="R591" s="742"/>
      <c r="S591" s="742"/>
    </row>
    <row r="592" spans="1:19" s="761" customFormat="1" ht="22.5" hidden="1" outlineLevel="3" x14ac:dyDescent="0.2">
      <c r="A592" s="762" t="e">
        <f ca="1">IF($H592="UNIDADE CONSTRUTIVA",OFFSET(A592,-1,0)+1,LARGE(A$3:A591,1))</f>
        <v>#NUM!</v>
      </c>
      <c r="B592" s="762">
        <f t="shared" ca="1" si="108"/>
        <v>9</v>
      </c>
      <c r="C592" s="762">
        <f t="shared" ca="1" si="109"/>
        <v>1</v>
      </c>
      <c r="D592" s="763">
        <f t="shared" ca="1" si="110"/>
        <v>1</v>
      </c>
      <c r="E592" s="763">
        <f t="shared" ca="1" si="111"/>
        <v>1</v>
      </c>
      <c r="G592" s="628"/>
      <c r="H592" s="766" t="s">
        <v>368</v>
      </c>
      <c r="I592" s="629" t="str">
        <f t="shared" ca="1" si="112"/>
        <v>09.001.001.001</v>
      </c>
      <c r="J592" s="654" t="s">
        <v>982</v>
      </c>
      <c r="K592" s="630" t="s">
        <v>1410</v>
      </c>
      <c r="L592" s="631">
        <v>9</v>
      </c>
      <c r="M592" s="631">
        <f>VLOOKUP(J592,Preços!$C$7:$F$498,4,FALSE)</f>
        <v>1500</v>
      </c>
      <c r="N592" s="646">
        <f>L592*M592</f>
        <v>13500</v>
      </c>
      <c r="O592" s="767"/>
      <c r="P592" s="632" t="s">
        <v>333</v>
      </c>
      <c r="R592" s="742"/>
      <c r="S592" s="742"/>
    </row>
    <row r="593" spans="1:19" s="761" customFormat="1" ht="22.5" hidden="1" outlineLevel="3" x14ac:dyDescent="0.2">
      <c r="A593" s="762" t="e">
        <f ca="1">IF($H593="UNIDADE CONSTRUTIVA",OFFSET(A593,-1,0)+1,LARGE(A$3:A592,1))</f>
        <v>#NUM!</v>
      </c>
      <c r="B593" s="762">
        <f t="shared" ca="1" si="108"/>
        <v>9</v>
      </c>
      <c r="C593" s="762">
        <f t="shared" ca="1" si="109"/>
        <v>1</v>
      </c>
      <c r="D593" s="763">
        <f t="shared" ca="1" si="110"/>
        <v>1</v>
      </c>
      <c r="E593" s="763">
        <f t="shared" ca="1" si="111"/>
        <v>2</v>
      </c>
      <c r="G593" s="628"/>
      <c r="H593" s="766" t="s">
        <v>368</v>
      </c>
      <c r="I593" s="629" t="str">
        <f t="shared" ca="1" si="112"/>
        <v>09.001.001.002</v>
      </c>
      <c r="J593" s="654" t="s">
        <v>983</v>
      </c>
      <c r="K593" s="630" t="s">
        <v>1410</v>
      </c>
      <c r="L593" s="631">
        <v>9</v>
      </c>
      <c r="M593" s="631">
        <f>VLOOKUP(J593,Preços!$C$7:$F$498,4,FALSE)</f>
        <v>9000</v>
      </c>
      <c r="N593" s="646">
        <f>L593*M593</f>
        <v>81000</v>
      </c>
      <c r="O593" s="767"/>
      <c r="P593" s="632" t="s">
        <v>333</v>
      </c>
      <c r="R593" s="742"/>
      <c r="S593" s="742"/>
    </row>
    <row r="594" spans="1:19" s="761" customFormat="1" hidden="1" outlineLevel="2" collapsed="1" x14ac:dyDescent="0.2">
      <c r="A594" s="762" t="e">
        <f ca="1">IF($H594="UNIDADE CONSTRUTIVA",OFFSET(A594,-1,0)+1,LARGE(A$3:A593,1))</f>
        <v>#NUM!</v>
      </c>
      <c r="B594" s="762">
        <f t="shared" ca="1" si="108"/>
        <v>9</v>
      </c>
      <c r="C594" s="762">
        <f t="shared" ca="1" si="109"/>
        <v>1</v>
      </c>
      <c r="D594" s="763">
        <f t="shared" ca="1" si="110"/>
        <v>2</v>
      </c>
      <c r="E594" s="763">
        <f t="shared" ca="1" si="111"/>
        <v>0</v>
      </c>
      <c r="G594" s="628"/>
      <c r="H594" s="766" t="s">
        <v>367</v>
      </c>
      <c r="I594" s="629" t="str">
        <f t="shared" ca="1" si="112"/>
        <v>09.001.002</v>
      </c>
      <c r="J594" s="654" t="s">
        <v>307</v>
      </c>
      <c r="K594" s="630"/>
      <c r="L594" s="631"/>
      <c r="M594" s="631"/>
      <c r="N594" s="646">
        <f>SUM(N595:N596)</f>
        <v>103550</v>
      </c>
      <c r="O594" s="767"/>
      <c r="P594" s="632"/>
      <c r="R594" s="742"/>
      <c r="S594" s="742"/>
    </row>
    <row r="595" spans="1:19" s="761" customFormat="1" ht="22.5" hidden="1" outlineLevel="3" x14ac:dyDescent="0.2">
      <c r="A595" s="762" t="e">
        <f ca="1">IF($H595="UNIDADE CONSTRUTIVA",OFFSET(A595,-1,0)+1,LARGE(A$3:A593,1))</f>
        <v>#NUM!</v>
      </c>
      <c r="B595" s="762">
        <f ca="1">IF(H595="UNIDADE CONSTRUTIVA",0,IF(H595="CÉLULA CONSTRUTIVA",OFFSET(B595,-1,0)+1,OFFSET(B595,-1,0)))</f>
        <v>9</v>
      </c>
      <c r="C595" s="762">
        <f ca="1">IF(H595="CÉLULA CONSTRUTIVA",0,IF(H595="ETAPA",OFFSET(C595,-1,0)+1,OFFSET(C595,-1,0)))</f>
        <v>1</v>
      </c>
      <c r="D595" s="763">
        <f ca="1">IF(H595="ETAPA",0,IF(H595="SUBETAPA",OFFSET(D595,-1,0)+1,OFFSET(D595,-1,0)))</f>
        <v>2</v>
      </c>
      <c r="E595" s="763">
        <f ca="1">IF(H595="Subetapa",0,IF(H595="serviço",OFFSET(E595,-1,0)+1,OFFSET(E595,-1,0)))</f>
        <v>1</v>
      </c>
      <c r="G595" s="628"/>
      <c r="H595" s="766" t="s">
        <v>368</v>
      </c>
      <c r="I595" s="629" t="str">
        <f ca="1">IF(H595="Unidade Construtiva",TEXT(A595,"00"),IF(H595="Célula Construtiva",TEXT(B595,"00"),IF(H595="Etapa",CONCATENATE(TEXT(B595,"00"),".",TEXT(C595,"000")),IF(H595="Subetapa",CONCATENATE(TEXT(B595,"00"),".",TEXT(C595,"000"),".",TEXT(D595,"000")),IF(H595="Serviço",CONCATENATE(TEXT(B595,"00"),".",TEXT(C595,"000"),".",TEXT(D595,"000"),".",TEXT(E595,"000")),"")))))</f>
        <v>09.001.002.001</v>
      </c>
      <c r="J595" s="654" t="s">
        <v>1025</v>
      </c>
      <c r="K595" s="630" t="s">
        <v>1410</v>
      </c>
      <c r="L595" s="631">
        <v>10</v>
      </c>
      <c r="M595" s="631">
        <f>VLOOKUP(J595,Preços!$C$7:$F$498,4,FALSE)</f>
        <v>905</v>
      </c>
      <c r="N595" s="646">
        <f>L595*M595</f>
        <v>9050</v>
      </c>
      <c r="O595" s="767"/>
      <c r="P595" s="632" t="s">
        <v>333</v>
      </c>
      <c r="R595" s="742"/>
      <c r="S595" s="742"/>
    </row>
    <row r="596" spans="1:19" s="761" customFormat="1" ht="22.5" hidden="1" outlineLevel="3" x14ac:dyDescent="0.2">
      <c r="A596" s="762" t="e">
        <f ca="1">IF($H596="UNIDADE CONSTRUTIVA",OFFSET(A596,-1,0)+1,LARGE(A$3:A594,1))</f>
        <v>#NUM!</v>
      </c>
      <c r="B596" s="762">
        <f t="shared" ca="1" si="108"/>
        <v>9</v>
      </c>
      <c r="C596" s="762">
        <f t="shared" ca="1" si="109"/>
        <v>1</v>
      </c>
      <c r="D596" s="763">
        <f t="shared" ca="1" si="110"/>
        <v>2</v>
      </c>
      <c r="E596" s="763">
        <f t="shared" ca="1" si="111"/>
        <v>2</v>
      </c>
      <c r="G596" s="628"/>
      <c r="H596" s="766" t="s">
        <v>368</v>
      </c>
      <c r="I596" s="629" t="str">
        <f t="shared" ca="1" si="112"/>
        <v>09.001.002.002</v>
      </c>
      <c r="J596" s="654" t="s">
        <v>1019</v>
      </c>
      <c r="K596" s="630" t="s">
        <v>1410</v>
      </c>
      <c r="L596" s="631">
        <v>63</v>
      </c>
      <c r="M596" s="631">
        <f>VLOOKUP(J596,Preços!$C$7:$F$498,4,FALSE)</f>
        <v>1500</v>
      </c>
      <c r="N596" s="646">
        <f>L596*M596</f>
        <v>94500</v>
      </c>
      <c r="O596" s="767"/>
      <c r="P596" s="632" t="s">
        <v>333</v>
      </c>
      <c r="R596" s="742"/>
      <c r="S596" s="742"/>
    </row>
    <row r="597" spans="1:19" s="761" customFormat="1" collapsed="1" x14ac:dyDescent="0.2">
      <c r="A597" s="762" t="e">
        <f ca="1">IF($H597="UNIDADE CONSTRUTIVA",OFFSET(A597,-1,0)+1,LARGE(A$3:A403,1))</f>
        <v>#NUM!</v>
      </c>
      <c r="B597" s="762">
        <f t="shared" ca="1" si="108"/>
        <v>10</v>
      </c>
      <c r="C597" s="762">
        <f t="shared" ca="1" si="109"/>
        <v>0</v>
      </c>
      <c r="D597" s="763">
        <f t="shared" ca="1" si="110"/>
        <v>2</v>
      </c>
      <c r="E597" s="763">
        <f t="shared" ca="1" si="111"/>
        <v>2</v>
      </c>
      <c r="G597" s="628"/>
      <c r="H597" s="766" t="s">
        <v>365</v>
      </c>
      <c r="I597" s="629" t="str">
        <f t="shared" ca="1" si="112"/>
        <v>10</v>
      </c>
      <c r="J597" s="867" t="s">
        <v>377</v>
      </c>
      <c r="K597" s="869"/>
      <c r="L597" s="869"/>
      <c r="M597" s="631"/>
      <c r="N597" s="646">
        <f>SUM(N598,N620,N628,N644,N636,N665,N680,N693)</f>
        <v>434083.0369105165</v>
      </c>
      <c r="O597" s="767"/>
      <c r="P597" s="632"/>
      <c r="R597" s="742"/>
      <c r="S597" s="742"/>
    </row>
    <row r="598" spans="1:19" s="761" customFormat="1" hidden="1" outlineLevel="1" collapsed="1" x14ac:dyDescent="0.2">
      <c r="A598" s="762" t="e">
        <f ca="1">IF($H598="UNIDADE CONSTRUTIVA",OFFSET(A598,-1,0)+1,LARGE(A$3:A597,1))</f>
        <v>#NUM!</v>
      </c>
      <c r="B598" s="762">
        <f t="shared" ca="1" si="108"/>
        <v>10</v>
      </c>
      <c r="C598" s="762">
        <f t="shared" ca="1" si="109"/>
        <v>1</v>
      </c>
      <c r="D598" s="763">
        <f t="shared" ca="1" si="110"/>
        <v>0</v>
      </c>
      <c r="E598" s="763">
        <f t="shared" ca="1" si="111"/>
        <v>2</v>
      </c>
      <c r="G598" s="628"/>
      <c r="H598" s="766" t="s">
        <v>366</v>
      </c>
      <c r="I598" s="629" t="str">
        <f t="shared" ca="1" si="112"/>
        <v>10.001</v>
      </c>
      <c r="J598" s="654" t="s">
        <v>1457</v>
      </c>
      <c r="K598" s="630"/>
      <c r="L598" s="631"/>
      <c r="M598" s="631"/>
      <c r="N598" s="646">
        <f>SUM(N599,N601,N604,N608,N610,N612,N614)</f>
        <v>41032.606460516443</v>
      </c>
      <c r="O598" s="767"/>
      <c r="P598" s="632"/>
      <c r="R598" s="742"/>
      <c r="S598" s="742"/>
    </row>
    <row r="599" spans="1:19" s="761" customFormat="1" hidden="1" outlineLevel="3" collapsed="1" x14ac:dyDescent="0.2">
      <c r="A599" s="762" t="e">
        <f ca="1">IF($H599="UNIDADE CONSTRUTIVA",OFFSET(A599,-1,0)+1,LARGE(A$3:A603,1))</f>
        <v>#NUM!</v>
      </c>
      <c r="B599" s="762">
        <f ca="1">IF(H599="UNIDADE CONSTRUTIVA",0,IF(H599="CÉLULA CONSTRUTIVA",OFFSET(B599,-1,0)+1,OFFSET(B599,-1,0)))</f>
        <v>10</v>
      </c>
      <c r="C599" s="762">
        <f ca="1">IF(H599="CÉLULA CONSTRUTIVA",0,IF(H599="ETAPA",OFFSET(C599,-1,0)+1,OFFSET(C599,-1,0)))</f>
        <v>1</v>
      </c>
      <c r="D599" s="763">
        <f ca="1">IF(H599="ETAPA",0,IF(H599="SUBETAPA",OFFSET(D599,-1,0)+1,OFFSET(D599,-1,0)))</f>
        <v>1</v>
      </c>
      <c r="E599" s="763">
        <f ca="1">IF(H599="Subetapa",0,IF(H599="serviço",OFFSET(E599,-1,0)+1,OFFSET(E599,-1,0)))</f>
        <v>0</v>
      </c>
      <c r="G599" s="628"/>
      <c r="H599" s="766" t="s">
        <v>367</v>
      </c>
      <c r="I599" s="629" t="str">
        <f ca="1">IF(H599="Unidade Construtiva",TEXT(A599,"00"),IF(H599="Célula Construtiva",TEXT(B599,"00"),IF(H599="Etapa",CONCATENATE(TEXT(B599,"00"),".",TEXT(C599,"000")),IF(H599="Subetapa",CONCATENATE(TEXT(B599,"00"),".",TEXT(C599,"000"),".",TEXT(D599,"000")),IF(H599="Serviço",CONCATENATE(TEXT(B599,"00"),".",TEXT(C599,"000"),".",TEXT(D599,"000"),".",TEXT(E599,"000")),"")))))</f>
        <v>10.001.001</v>
      </c>
      <c r="J599" s="654" t="s">
        <v>778</v>
      </c>
      <c r="K599" s="630"/>
      <c r="L599" s="631"/>
      <c r="M599" s="631"/>
      <c r="N599" s="646">
        <f>SUM(N600)</f>
        <v>4244.5603200000005</v>
      </c>
      <c r="O599" s="767"/>
      <c r="P599" s="632"/>
      <c r="R599" s="742"/>
      <c r="S599" s="742"/>
    </row>
    <row r="600" spans="1:19" s="761" customFormat="1" ht="22.5" hidden="1" outlineLevel="4" x14ac:dyDescent="0.2">
      <c r="A600" s="762" t="e">
        <f ca="1">IF($H600="UNIDADE CONSTRUTIVA",OFFSET(A600,-1,0)+1,LARGE(A$3:A599,1))</f>
        <v>#NUM!</v>
      </c>
      <c r="B600" s="762">
        <f ca="1">IF(H600="UNIDADE CONSTRUTIVA",0,IF(H600="CÉLULA CONSTRUTIVA",OFFSET(B600,-1,0)+1,OFFSET(B600,-1,0)))</f>
        <v>10</v>
      </c>
      <c r="C600" s="762">
        <f ca="1">IF(H600="CÉLULA CONSTRUTIVA",0,IF(H600="ETAPA",OFFSET(C600,-1,0)+1,OFFSET(C600,-1,0)))</f>
        <v>1</v>
      </c>
      <c r="D600" s="763">
        <f ca="1">IF(H600="ETAPA",0,IF(H600="SUBETAPA",OFFSET(D600,-1,0)+1,OFFSET(D600,-1,0)))</f>
        <v>1</v>
      </c>
      <c r="E600" s="763">
        <f ca="1">IF(H600="Subetapa",0,IF(H600="serviço",OFFSET(E600,-1,0)+1,OFFSET(E600,-1,0)))</f>
        <v>1</v>
      </c>
      <c r="G600" s="628"/>
      <c r="H600" s="766" t="s">
        <v>368</v>
      </c>
      <c r="I600" s="629" t="str">
        <f ca="1">IF(H600="Unidade Construtiva",TEXT(A600,"00"),IF(H600="Célula Construtiva",TEXT(B600,"00"),IF(H600="Etapa",CONCATENATE(TEXT(B600,"00"),".",TEXT(C600,"000")),IF(H600="Subetapa",CONCATENATE(TEXT(B600,"00"),".",TEXT(C600,"000"),".",TEXT(D600,"000")),IF(H600="Serviço",CONCATENATE(TEXT(B600,"00"),".",TEXT(C600,"000"),".",TEXT(D600,"000"),".",TEXT(E600,"000")),"")))))</f>
        <v>10.001.001.001</v>
      </c>
      <c r="J600" s="654" t="s">
        <v>1154</v>
      </c>
      <c r="K600" s="630" t="s">
        <v>1</v>
      </c>
      <c r="L600" s="631">
        <f>ARQ.!C28</f>
        <v>353.36</v>
      </c>
      <c r="M600" s="631">
        <f>VLOOKUP(J600,Preços!$C$7:$F$498,4,FALSE)</f>
        <v>12.012</v>
      </c>
      <c r="N600" s="646">
        <f>L600*M600</f>
        <v>4244.5603200000005</v>
      </c>
      <c r="O600" s="854"/>
      <c r="P600" s="632" t="s">
        <v>333</v>
      </c>
      <c r="R600" s="742"/>
      <c r="S600" s="742"/>
    </row>
    <row r="601" spans="1:19" s="761" customFormat="1" hidden="1" outlineLevel="3" collapsed="1" x14ac:dyDescent="0.2">
      <c r="A601" s="762" t="e">
        <f ca="1">IF($H601="UNIDADE CONSTRUTIVA",OFFSET(A601,-1,0)+1,LARGE(A$3:A598,1))</f>
        <v>#NUM!</v>
      </c>
      <c r="B601" s="762">
        <f t="shared" ca="1" si="108"/>
        <v>10</v>
      </c>
      <c r="C601" s="762">
        <f t="shared" ca="1" si="109"/>
        <v>1</v>
      </c>
      <c r="D601" s="763">
        <f t="shared" ca="1" si="110"/>
        <v>2</v>
      </c>
      <c r="E601" s="763">
        <f t="shared" ca="1" si="111"/>
        <v>0</v>
      </c>
      <c r="G601" s="628"/>
      <c r="H601" s="766" t="s">
        <v>367</v>
      </c>
      <c r="I601" s="629" t="str">
        <f t="shared" ca="1" si="112"/>
        <v>10.001.002</v>
      </c>
      <c r="J601" s="654" t="s">
        <v>212</v>
      </c>
      <c r="K601" s="630"/>
      <c r="L601" s="631"/>
      <c r="M601" s="631"/>
      <c r="N601" s="646">
        <f>SUM(N602:N603)</f>
        <v>670.76029999999992</v>
      </c>
      <c r="O601" s="767"/>
      <c r="P601" s="632"/>
      <c r="R601" s="742"/>
      <c r="S601" s="742"/>
    </row>
    <row r="602" spans="1:19" s="761" customFormat="1" ht="22.5" hidden="1" outlineLevel="4" x14ac:dyDescent="0.2">
      <c r="A602" s="762" t="e">
        <f ca="1">IF($H602="UNIDADE CONSTRUTIVA",OFFSET(A602,-1,0)+1,LARGE(A$3:A601,1))</f>
        <v>#NUM!</v>
      </c>
      <c r="B602" s="762">
        <f t="shared" ca="1" si="108"/>
        <v>10</v>
      </c>
      <c r="C602" s="762">
        <f t="shared" ca="1" si="109"/>
        <v>1</v>
      </c>
      <c r="D602" s="763">
        <f t="shared" ca="1" si="110"/>
        <v>2</v>
      </c>
      <c r="E602" s="763">
        <f t="shared" ca="1" si="111"/>
        <v>1</v>
      </c>
      <c r="G602" s="628"/>
      <c r="H602" s="766" t="s">
        <v>368</v>
      </c>
      <c r="I602" s="629" t="str">
        <f t="shared" ca="1" si="112"/>
        <v>10.001.002.001</v>
      </c>
      <c r="J602" s="654" t="s">
        <v>213</v>
      </c>
      <c r="K602" s="630" t="s">
        <v>1</v>
      </c>
      <c r="L602" s="631">
        <f>IMPERM.!D17</f>
        <v>23.42</v>
      </c>
      <c r="M602" s="631">
        <f>VLOOKUP(J602,Preços!$C$7:$F$498,4,FALSE)</f>
        <v>6.415</v>
      </c>
      <c r="N602" s="646">
        <f>L602*M602</f>
        <v>150.23930000000001</v>
      </c>
      <c r="O602" s="767"/>
      <c r="P602" s="632" t="s">
        <v>333</v>
      </c>
      <c r="R602" s="742"/>
      <c r="S602" s="742"/>
    </row>
    <row r="603" spans="1:19" s="761" customFormat="1" ht="22.5" hidden="1" outlineLevel="4" x14ac:dyDescent="0.2">
      <c r="A603" s="762" t="e">
        <f ca="1">IF($H603="UNIDADE CONSTRUTIVA",OFFSET(A603,-1,0)+1,LARGE(A$3:A602,1))</f>
        <v>#NUM!</v>
      </c>
      <c r="B603" s="762">
        <f t="shared" ca="1" si="108"/>
        <v>10</v>
      </c>
      <c r="C603" s="762">
        <f t="shared" ca="1" si="109"/>
        <v>1</v>
      </c>
      <c r="D603" s="763">
        <f t="shared" ca="1" si="110"/>
        <v>2</v>
      </c>
      <c r="E603" s="763">
        <f t="shared" ca="1" si="111"/>
        <v>2</v>
      </c>
      <c r="G603" s="628"/>
      <c r="H603" s="766" t="s">
        <v>368</v>
      </c>
      <c r="I603" s="629" t="str">
        <f t="shared" ca="1" si="112"/>
        <v>10.001.002.002</v>
      </c>
      <c r="J603" s="654" t="s">
        <v>1948</v>
      </c>
      <c r="K603" s="630" t="s">
        <v>1</v>
      </c>
      <c r="L603" s="631">
        <f>IMPERM.!D18</f>
        <v>17.98</v>
      </c>
      <c r="M603" s="631">
        <f>VLOOKUP(J603,Preços!$C$7:$F$498,4,FALSE)</f>
        <v>28.95</v>
      </c>
      <c r="N603" s="646">
        <f>L603*M603</f>
        <v>520.52099999999996</v>
      </c>
      <c r="O603" s="767"/>
      <c r="P603" s="632" t="s">
        <v>333</v>
      </c>
      <c r="R603" s="742"/>
      <c r="S603" s="742"/>
    </row>
    <row r="604" spans="1:19" s="761" customFormat="1" hidden="1" outlineLevel="3" collapsed="1" x14ac:dyDescent="0.2">
      <c r="A604" s="762" t="e">
        <f ca="1">IF($H604="UNIDADE CONSTRUTIVA",OFFSET(A604,-1,0)+1,LARGE(A$3:A603,1))</f>
        <v>#NUM!</v>
      </c>
      <c r="B604" s="762">
        <f t="shared" ca="1" si="108"/>
        <v>10</v>
      </c>
      <c r="C604" s="762">
        <f t="shared" ca="1" si="109"/>
        <v>1</v>
      </c>
      <c r="D604" s="763">
        <f t="shared" ca="1" si="110"/>
        <v>3</v>
      </c>
      <c r="E604" s="763">
        <f t="shared" ca="1" si="111"/>
        <v>0</v>
      </c>
      <c r="G604" s="628"/>
      <c r="H604" s="766" t="s">
        <v>367</v>
      </c>
      <c r="I604" s="629" t="str">
        <f t="shared" ca="1" si="112"/>
        <v>10.001.003</v>
      </c>
      <c r="J604" s="654" t="s">
        <v>779</v>
      </c>
      <c r="K604" s="630"/>
      <c r="L604" s="631"/>
      <c r="M604" s="631"/>
      <c r="N604" s="646">
        <f>SUM(N605:N607)</f>
        <v>3615.7826999999997</v>
      </c>
      <c r="O604" s="767"/>
      <c r="P604" s="632"/>
      <c r="R604" s="742"/>
      <c r="S604" s="742"/>
    </row>
    <row r="605" spans="1:19" s="761" customFormat="1" ht="33.75" hidden="1" outlineLevel="4" x14ac:dyDescent="0.2">
      <c r="A605" s="762" t="e">
        <f ca="1">IF($H605="UNIDADE CONSTRUTIVA",OFFSET(A605,-1,0)+1,LARGE(A$3:A603,1))</f>
        <v>#NUM!</v>
      </c>
      <c r="B605" s="762">
        <f t="shared" ca="1" si="108"/>
        <v>10</v>
      </c>
      <c r="C605" s="762">
        <f t="shared" ca="1" si="109"/>
        <v>1</v>
      </c>
      <c r="D605" s="763">
        <f t="shared" ca="1" si="110"/>
        <v>3</v>
      </c>
      <c r="E605" s="763">
        <f t="shared" ca="1" si="111"/>
        <v>1</v>
      </c>
      <c r="G605" s="628"/>
      <c r="H605" s="766" t="s">
        <v>368</v>
      </c>
      <c r="I605" s="629" t="str">
        <f t="shared" ca="1" si="112"/>
        <v>10.001.003.001</v>
      </c>
      <c r="J605" s="654" t="s">
        <v>1628</v>
      </c>
      <c r="K605" s="630" t="s">
        <v>1</v>
      </c>
      <c r="L605" s="631">
        <f>IMPERM.!D29</f>
        <v>8.06</v>
      </c>
      <c r="M605" s="631">
        <f>VLOOKUP(J605,Preços!$C$7:$F$498,4,FALSE)</f>
        <v>140</v>
      </c>
      <c r="N605" s="646">
        <f>L605*M605</f>
        <v>1128.4000000000001</v>
      </c>
      <c r="O605" s="854"/>
      <c r="P605" s="632" t="s">
        <v>333</v>
      </c>
      <c r="R605" s="742"/>
      <c r="S605" s="742"/>
    </row>
    <row r="606" spans="1:19" s="761" customFormat="1" ht="22.5" hidden="1" outlineLevel="4" x14ac:dyDescent="0.2">
      <c r="A606" s="762" t="e">
        <f ca="1">IF($H606="UNIDADE CONSTRUTIVA",OFFSET(A606,-1,0)+1,LARGE(A$3:A604,1))</f>
        <v>#NUM!</v>
      </c>
      <c r="B606" s="762">
        <f t="shared" ca="1" si="108"/>
        <v>10</v>
      </c>
      <c r="C606" s="762">
        <f t="shared" ca="1" si="109"/>
        <v>1</v>
      </c>
      <c r="D606" s="763">
        <f t="shared" ca="1" si="110"/>
        <v>3</v>
      </c>
      <c r="E606" s="763">
        <f t="shared" ca="1" si="111"/>
        <v>2</v>
      </c>
      <c r="G606" s="628"/>
      <c r="H606" s="766" t="s">
        <v>368</v>
      </c>
      <c r="I606" s="629" t="str">
        <f t="shared" ca="1" si="112"/>
        <v>10.001.003.002</v>
      </c>
      <c r="J606" s="654" t="s">
        <v>1540</v>
      </c>
      <c r="K606" s="630" t="s">
        <v>1</v>
      </c>
      <c r="L606" s="631">
        <f>IMPERM.!D20+IMPERM.!D21</f>
        <v>40.33</v>
      </c>
      <c r="M606" s="631">
        <f>VLOOKUP(J606,Preços!$C$7:$F$498,4,FALSE)</f>
        <v>42.79</v>
      </c>
      <c r="N606" s="646">
        <f>L606*M606</f>
        <v>1725.7206999999999</v>
      </c>
      <c r="O606" s="767"/>
      <c r="P606" s="632" t="s">
        <v>333</v>
      </c>
      <c r="R606" s="742"/>
      <c r="S606" s="742"/>
    </row>
    <row r="607" spans="1:19" s="761" customFormat="1" ht="22.5" hidden="1" outlineLevel="4" x14ac:dyDescent="0.2">
      <c r="A607" s="762" t="e">
        <f ca="1">IF($H607="UNIDADE CONSTRUTIVA",OFFSET(A607,-1,0)+1,LARGE(A$3:A605,1))</f>
        <v>#NUM!</v>
      </c>
      <c r="B607" s="762">
        <f t="shared" ref="B607:B638" ca="1" si="113">IF(H607="UNIDADE CONSTRUTIVA",0,IF(H607="CÉLULA CONSTRUTIVA",OFFSET(B607,-1,0)+1,OFFSET(B607,-1,0)))</f>
        <v>10</v>
      </c>
      <c r="C607" s="762">
        <f t="shared" ref="C607:C638" ca="1" si="114">IF(H607="CÉLULA CONSTRUTIVA",0,IF(H607="ETAPA",OFFSET(C607,-1,0)+1,OFFSET(C607,-1,0)))</f>
        <v>1</v>
      </c>
      <c r="D607" s="763">
        <f t="shared" ref="D607:D638" ca="1" si="115">IF(H607="ETAPA",0,IF(H607="SUBETAPA",OFFSET(D607,-1,0)+1,OFFSET(D607,-1,0)))</f>
        <v>3</v>
      </c>
      <c r="E607" s="763">
        <f t="shared" ref="E607:E638" ca="1" si="116">IF(H607="Subetapa",0,IF(H607="serviço",OFFSET(E607,-1,0)+1,OFFSET(E607,-1,0)))</f>
        <v>3</v>
      </c>
      <c r="G607" s="628"/>
      <c r="H607" s="766" t="s">
        <v>368</v>
      </c>
      <c r="I607" s="629" t="str">
        <f ca="1">IF(H607="Unidade Construtiva",TEXT(A607,"00"),IF(H607="Célula Construtiva",TEXT(B607,"00"),IF(H607="Etapa",CONCATENATE(TEXT(B607,"00"),".",TEXT(C607,"000")),IF(H607="Subetapa",CONCATENATE(TEXT(B607,"00"),".",TEXT(C607,"000"),".",TEXT(D607,"000")),IF(H607="Serviço",CONCATENATE(TEXT(B607,"00"),".",TEXT(C607,"000"),".",TEXT(D607,"000"),".",TEXT(E607,"000")),"")))))</f>
        <v>10.001.003.003</v>
      </c>
      <c r="J607" s="654" t="s">
        <v>1465</v>
      </c>
      <c r="K607" s="630" t="s">
        <v>1</v>
      </c>
      <c r="L607" s="631">
        <f>IMPERM.!D26</f>
        <v>8.9</v>
      </c>
      <c r="M607" s="631">
        <f>VLOOKUP(J607,Preços!$C$7:$F$498,4,FALSE)</f>
        <v>85.58</v>
      </c>
      <c r="N607" s="646">
        <f>L607*M607</f>
        <v>761.66200000000003</v>
      </c>
      <c r="O607" s="767"/>
      <c r="P607" s="632" t="s">
        <v>333</v>
      </c>
      <c r="R607" s="742"/>
      <c r="S607" s="742"/>
    </row>
    <row r="608" spans="1:19" s="761" customFormat="1" hidden="1" outlineLevel="3" collapsed="1" x14ac:dyDescent="0.2">
      <c r="A608" s="762" t="e">
        <f ca="1">IF($H608="UNIDADE CONSTRUTIVA",OFFSET(A608,-1,0)+1,LARGE(A$3:A606,1))</f>
        <v>#NUM!</v>
      </c>
      <c r="B608" s="762">
        <f t="shared" ca="1" si="113"/>
        <v>10</v>
      </c>
      <c r="C608" s="762">
        <f t="shared" ca="1" si="114"/>
        <v>1</v>
      </c>
      <c r="D608" s="763">
        <f t="shared" ca="1" si="115"/>
        <v>4</v>
      </c>
      <c r="E608" s="763">
        <f t="shared" ca="1" si="116"/>
        <v>0</v>
      </c>
      <c r="G608" s="628"/>
      <c r="H608" s="766" t="s">
        <v>367</v>
      </c>
      <c r="I608" s="629" t="str">
        <f ca="1">IF(H608="Unidade Construtiva",TEXT(A608,"00"),IF(H608="Célula Construtiva",TEXT(B608,"00"),IF(H608="Etapa",CONCATENATE(TEXT(B608,"00"),".",TEXT(C608,"000")),IF(H608="Subetapa",CONCATENATE(TEXT(B608,"00"),".",TEXT(C608,"000"),".",TEXT(D608,"000")),IF(H608="Serviço",CONCATENATE(TEXT(B608,"00"),".",TEXT(C608,"000"),".",TEXT(D608,"000"),".",TEXT(E608,"000")),"")))))</f>
        <v>10.001.004</v>
      </c>
      <c r="J608" s="654" t="s">
        <v>1456</v>
      </c>
      <c r="K608" s="630"/>
      <c r="L608" s="631"/>
      <c r="M608" s="631"/>
      <c r="N608" s="646">
        <f>SUM(N609)</f>
        <v>12062.620132281814</v>
      </c>
      <c r="O608" s="767"/>
      <c r="P608" s="632"/>
      <c r="R608" s="742"/>
      <c r="S608" s="742"/>
    </row>
    <row r="609" spans="1:19" s="761" customFormat="1" ht="22.5" hidden="1" outlineLevel="4" x14ac:dyDescent="0.2">
      <c r="A609" s="762" t="e">
        <f ca="1">IF($H609="UNIDADE CONSTRUTIVA",OFFSET(A609,-1,0)+1,LARGE(A$3:A605,1))</f>
        <v>#NUM!</v>
      </c>
      <c r="B609" s="762">
        <f t="shared" ca="1" si="113"/>
        <v>10</v>
      </c>
      <c r="C609" s="762">
        <f t="shared" ca="1" si="114"/>
        <v>1</v>
      </c>
      <c r="D609" s="763">
        <f t="shared" ca="1" si="115"/>
        <v>4</v>
      </c>
      <c r="E609" s="763">
        <f t="shared" ca="1" si="116"/>
        <v>1</v>
      </c>
      <c r="G609" s="628"/>
      <c r="H609" s="766" t="s">
        <v>368</v>
      </c>
      <c r="I609" s="629" t="str">
        <f ca="1">IF(H609="Unidade Construtiva",TEXT(A609,"00"),IF(H609="Célula Construtiva",TEXT(B609,"00"),IF(H609="Etapa",CONCATENATE(TEXT(B609,"00"),".",TEXT(C609,"000")),IF(H609="Subetapa",CONCATENATE(TEXT(B609,"00"),".",TEXT(C609,"000"),".",TEXT(D609,"000")),IF(H609="Serviço",CONCATENATE(TEXT(B609,"00"),".",TEXT(C609,"000"),".",TEXT(D609,"000"),".",TEXT(E609,"000")),"")))))</f>
        <v>10.001.004.001</v>
      </c>
      <c r="J609" s="654" t="s">
        <v>985</v>
      </c>
      <c r="K609" s="630" t="s">
        <v>1</v>
      </c>
      <c r="L609" s="631">
        <f>IMPERM.!D22+IMPERM.!D23+IMPERM.!D24+IMPERM.!D25+IMPERM.!D27+IMPERM.!D28+IMPERM.!D10+IMPERM.!D11+IMPERM.!D14</f>
        <v>500.52365694115406</v>
      </c>
      <c r="M609" s="631">
        <f>VLOOKUP(J609,Preços!$C$7:$F$498,4,FALSE)</f>
        <v>24.1</v>
      </c>
      <c r="N609" s="646">
        <f>L609*M609</f>
        <v>12062.620132281814</v>
      </c>
      <c r="O609" s="767" t="s">
        <v>1698</v>
      </c>
      <c r="P609" s="632" t="s">
        <v>333</v>
      </c>
      <c r="R609" s="742"/>
      <c r="S609" s="742"/>
    </row>
    <row r="610" spans="1:19" s="761" customFormat="1" hidden="1" outlineLevel="3" collapsed="1" x14ac:dyDescent="0.2">
      <c r="A610" s="762" t="e">
        <f ca="1">IF($H610="UNIDADE CONSTRUTIVA",OFFSET(A610,-1,0)+1,LARGE(A$3:A609,1))</f>
        <v>#NUM!</v>
      </c>
      <c r="B610" s="762">
        <f t="shared" ca="1" si="113"/>
        <v>10</v>
      </c>
      <c r="C610" s="762">
        <f t="shared" ca="1" si="114"/>
        <v>1</v>
      </c>
      <c r="D610" s="763">
        <f t="shared" ca="1" si="115"/>
        <v>5</v>
      </c>
      <c r="E610" s="763">
        <f t="shared" ca="1" si="116"/>
        <v>0</v>
      </c>
      <c r="G610" s="628"/>
      <c r="H610" s="766" t="s">
        <v>367</v>
      </c>
      <c r="I610" s="629" t="str">
        <f ca="1">IF(H610="Unidade Construtiva",TEXT(A610,"00"),IF(H610="Célula Construtiva",TEXT(B610,"00"),IF(H610="Etapa",CONCATENATE(TEXT(B610,"00"),".",TEXT(C610,"000")),IF(H610="Subetapa",CONCATENATE(TEXT(B610,"00"),".",TEXT(C610,"000"),".",TEXT(D610,"000")),IF(H610="Serviço",CONCATENATE(TEXT(B610,"00"),".",TEXT(C610,"000"),".",TEXT(D610,"000"),".",TEXT(E610,"000")),"")))))</f>
        <v>10.001.005</v>
      </c>
      <c r="J610" s="654" t="s">
        <v>1466</v>
      </c>
      <c r="K610" s="630"/>
      <c r="L610" s="631"/>
      <c r="M610" s="631"/>
      <c r="N610" s="646">
        <f>SUM(N611)</f>
        <v>225.96840000000003</v>
      </c>
      <c r="O610" s="767"/>
      <c r="P610" s="632"/>
      <c r="R610" s="742"/>
      <c r="S610" s="742"/>
    </row>
    <row r="611" spans="1:19" s="761" customFormat="1" ht="22.5" hidden="1" outlineLevel="4" x14ac:dyDescent="0.2">
      <c r="A611" s="762" t="e">
        <f ca="1">IF($H611="UNIDADE CONSTRUTIVA",OFFSET(A611,-1,0)+1,LARGE(A$3:A609,1))</f>
        <v>#NUM!</v>
      </c>
      <c r="B611" s="762">
        <f t="shared" ca="1" si="113"/>
        <v>10</v>
      </c>
      <c r="C611" s="762">
        <f t="shared" ca="1" si="114"/>
        <v>1</v>
      </c>
      <c r="D611" s="763">
        <f t="shared" ca="1" si="115"/>
        <v>5</v>
      </c>
      <c r="E611" s="763">
        <f t="shared" ca="1" si="116"/>
        <v>1</v>
      </c>
      <c r="G611" s="628"/>
      <c r="H611" s="766" t="s">
        <v>368</v>
      </c>
      <c r="I611" s="629" t="str">
        <f ca="1">IF(H611="Unidade Construtiva",TEXT(A611,"00"),IF(H611="Célula Construtiva",TEXT(B611,"00"),IF(H611="Etapa",CONCATENATE(TEXT(B611,"00"),".",TEXT(C611,"000")),IF(H611="Subetapa",CONCATENATE(TEXT(B611,"00"),".",TEXT(C611,"000"),".",TEXT(D611,"000")),IF(H611="Serviço",CONCATENATE(TEXT(B611,"00"),".",TEXT(C611,"000"),".",TEXT(D611,"000"),".",TEXT(E611,"000")),"")))))</f>
        <v>10.001.005.001</v>
      </c>
      <c r="J611" s="654" t="s">
        <v>1467</v>
      </c>
      <c r="K611" s="630" t="s">
        <v>1</v>
      </c>
      <c r="L611" s="631">
        <f>IMPERM.!D31</f>
        <v>102.9</v>
      </c>
      <c r="M611" s="631">
        <f>VLOOKUP(J611,Preços!$C$7:$F$498,4,FALSE)</f>
        <v>2.1960000000000002</v>
      </c>
      <c r="N611" s="646">
        <f>L611*M611</f>
        <v>225.96840000000003</v>
      </c>
      <c r="O611" s="767"/>
      <c r="P611" s="632" t="s">
        <v>333</v>
      </c>
      <c r="R611" s="742"/>
      <c r="S611" s="742"/>
    </row>
    <row r="612" spans="1:19" s="761" customFormat="1" hidden="1" outlineLevel="3" collapsed="1" x14ac:dyDescent="0.2">
      <c r="A612" s="762" t="e">
        <f ca="1">IF($H612="UNIDADE CONSTRUTIVA",OFFSET(A612,-1,0)+1,LARGE(A$3:A606,1))</f>
        <v>#NUM!</v>
      </c>
      <c r="B612" s="762">
        <f t="shared" ca="1" si="113"/>
        <v>10</v>
      </c>
      <c r="C612" s="762">
        <f t="shared" ca="1" si="114"/>
        <v>1</v>
      </c>
      <c r="D612" s="763">
        <f t="shared" ca="1" si="115"/>
        <v>6</v>
      </c>
      <c r="E612" s="763">
        <f t="shared" ca="1" si="116"/>
        <v>0</v>
      </c>
      <c r="G612" s="628"/>
      <c r="H612" s="766" t="s">
        <v>367</v>
      </c>
      <c r="I612" s="629" t="str">
        <f t="shared" ca="1" si="112"/>
        <v>10.001.006</v>
      </c>
      <c r="J612" s="654" t="s">
        <v>780</v>
      </c>
      <c r="K612" s="630"/>
      <c r="L612" s="631"/>
      <c r="M612" s="631"/>
      <c r="N612" s="646">
        <f>SUM(N613)</f>
        <v>49.844900000000003</v>
      </c>
      <c r="O612" s="767"/>
      <c r="P612" s="632"/>
      <c r="R612" s="742"/>
      <c r="S612" s="742"/>
    </row>
    <row r="613" spans="1:19" s="761" customFormat="1" ht="22.5" hidden="1" outlineLevel="4" x14ac:dyDescent="0.2">
      <c r="A613" s="762" t="e">
        <f ca="1">IF($H613="UNIDADE CONSTRUTIVA",OFFSET(A613,-1,0)+1,LARGE(A$3:A612,1))</f>
        <v>#NUM!</v>
      </c>
      <c r="B613" s="762">
        <f t="shared" ca="1" si="113"/>
        <v>10</v>
      </c>
      <c r="C613" s="762">
        <f t="shared" ca="1" si="114"/>
        <v>1</v>
      </c>
      <c r="D613" s="763">
        <f t="shared" ca="1" si="115"/>
        <v>6</v>
      </c>
      <c r="E613" s="763">
        <f t="shared" ca="1" si="116"/>
        <v>1</v>
      </c>
      <c r="G613" s="628"/>
      <c r="H613" s="766" t="s">
        <v>368</v>
      </c>
      <c r="I613" s="629" t="str">
        <f t="shared" ca="1" si="112"/>
        <v>10.001.006.001</v>
      </c>
      <c r="J613" s="654" t="s">
        <v>378</v>
      </c>
      <c r="K613" s="630" t="s">
        <v>2</v>
      </c>
      <c r="L613" s="631">
        <v>7</v>
      </c>
      <c r="M613" s="631">
        <f>VLOOKUP(J613,Preços!$C$7:$F$498,4,FALSE)</f>
        <v>7.1207000000000003</v>
      </c>
      <c r="N613" s="646">
        <f>L613*M613</f>
        <v>49.844900000000003</v>
      </c>
      <c r="O613" s="767"/>
      <c r="P613" s="632" t="s">
        <v>333</v>
      </c>
      <c r="R613" s="742"/>
      <c r="S613" s="742"/>
    </row>
    <row r="614" spans="1:19" s="761" customFormat="1" hidden="1" outlineLevel="3" x14ac:dyDescent="0.2">
      <c r="A614" s="762" t="e">
        <f ca="1">IF($H614="UNIDADE CONSTRUTIVA",OFFSET(A614,-1,0)+1,LARGE(A$3:A613,1))</f>
        <v>#NUM!</v>
      </c>
      <c r="B614" s="762">
        <f t="shared" ca="1" si="113"/>
        <v>10</v>
      </c>
      <c r="C614" s="762">
        <f t="shared" ca="1" si="114"/>
        <v>1</v>
      </c>
      <c r="D614" s="763">
        <f t="shared" ca="1" si="115"/>
        <v>7</v>
      </c>
      <c r="E614" s="763">
        <f t="shared" ca="1" si="116"/>
        <v>0</v>
      </c>
      <c r="G614" s="628"/>
      <c r="H614" s="766" t="s">
        <v>367</v>
      </c>
      <c r="I614" s="629" t="str">
        <f t="shared" ca="1" si="112"/>
        <v>10.001.007</v>
      </c>
      <c r="J614" s="654" t="s">
        <v>186</v>
      </c>
      <c r="K614" s="630"/>
      <c r="L614" s="631"/>
      <c r="M614" s="631"/>
      <c r="N614" s="646">
        <f>SUM(N615:N619)</f>
        <v>20163.069708234623</v>
      </c>
      <c r="O614" s="767"/>
      <c r="P614" s="632"/>
      <c r="R614" s="742"/>
      <c r="S614" s="742"/>
    </row>
    <row r="615" spans="1:19" s="761" customFormat="1" ht="22.5" hidden="1" outlineLevel="4" x14ac:dyDescent="0.2">
      <c r="A615" s="762" t="e">
        <f ca="1">IF($H615="UNIDADE CONSTRUTIVA",OFFSET(A615,-1,0)+1,LARGE(A$3:A614,1))</f>
        <v>#NUM!</v>
      </c>
      <c r="B615" s="762">
        <f t="shared" ca="1" si="113"/>
        <v>10</v>
      </c>
      <c r="C615" s="762">
        <f t="shared" ca="1" si="114"/>
        <v>1</v>
      </c>
      <c r="D615" s="763">
        <f t="shared" ca="1" si="115"/>
        <v>7</v>
      </c>
      <c r="E615" s="763">
        <f t="shared" ca="1" si="116"/>
        <v>1</v>
      </c>
      <c r="G615" s="628"/>
      <c r="H615" s="766" t="s">
        <v>368</v>
      </c>
      <c r="I615" s="629" t="str">
        <f t="shared" ca="1" si="112"/>
        <v>10.001.007.001</v>
      </c>
      <c r="J615" s="654" t="s">
        <v>988</v>
      </c>
      <c r="K615" s="630" t="s">
        <v>1</v>
      </c>
      <c r="L615" s="631">
        <f>L602</f>
        <v>23.42</v>
      </c>
      <c r="M615" s="631">
        <f>VLOOKUP(J615,Preços!$C$7:$F$498,4,FALSE)</f>
        <v>18</v>
      </c>
      <c r="N615" s="646">
        <f>L615*M615</f>
        <v>421.56000000000006</v>
      </c>
      <c r="O615" s="767"/>
      <c r="P615" s="632" t="s">
        <v>333</v>
      </c>
      <c r="R615" s="742"/>
      <c r="S615" s="742"/>
    </row>
    <row r="616" spans="1:19" s="761" customFormat="1" ht="22.5" hidden="1" outlineLevel="4" x14ac:dyDescent="0.2">
      <c r="A616" s="762" t="e">
        <f ca="1">IF($H616="UNIDADE CONSTRUTIVA",OFFSET(A616,-1,0)+1,LARGE(A$3:A615,1))</f>
        <v>#NUM!</v>
      </c>
      <c r="B616" s="762">
        <f t="shared" ca="1" si="113"/>
        <v>10</v>
      </c>
      <c r="C616" s="762">
        <f t="shared" ca="1" si="114"/>
        <v>1</v>
      </c>
      <c r="D616" s="763">
        <f t="shared" ca="1" si="115"/>
        <v>7</v>
      </c>
      <c r="E616" s="763">
        <f t="shared" ca="1" si="116"/>
        <v>2</v>
      </c>
      <c r="G616" s="628"/>
      <c r="H616" s="766" t="s">
        <v>368</v>
      </c>
      <c r="I616" s="629" t="str">
        <f t="shared" ca="1" si="112"/>
        <v>10.001.007.002</v>
      </c>
      <c r="J616" s="654" t="s">
        <v>990</v>
      </c>
      <c r="K616" s="630" t="s">
        <v>1</v>
      </c>
      <c r="L616" s="631">
        <f>L603</f>
        <v>17.98</v>
      </c>
      <c r="M616" s="631">
        <f>VLOOKUP(J616,Preços!$C$7:$F$498,4,FALSE)</f>
        <v>60</v>
      </c>
      <c r="N616" s="646">
        <f>L616*M616</f>
        <v>1078.8</v>
      </c>
      <c r="O616" s="767"/>
      <c r="P616" s="632" t="s">
        <v>333</v>
      </c>
      <c r="R616" s="742"/>
      <c r="S616" s="742"/>
    </row>
    <row r="617" spans="1:19" s="761" customFormat="1" ht="22.5" hidden="1" outlineLevel="4" x14ac:dyDescent="0.2">
      <c r="A617" s="762" t="e">
        <f ca="1">IF($H617="UNIDADE CONSTRUTIVA",OFFSET(A617,-1,0)+1,LARGE(A$3:A616,1))</f>
        <v>#NUM!</v>
      </c>
      <c r="B617" s="762">
        <f t="shared" ca="1" si="113"/>
        <v>10</v>
      </c>
      <c r="C617" s="762">
        <f t="shared" ca="1" si="114"/>
        <v>1</v>
      </c>
      <c r="D617" s="763">
        <f t="shared" ca="1" si="115"/>
        <v>7</v>
      </c>
      <c r="E617" s="763">
        <f t="shared" ca="1" si="116"/>
        <v>3</v>
      </c>
      <c r="G617" s="628"/>
      <c r="H617" s="766" t="s">
        <v>368</v>
      </c>
      <c r="I617" s="629" t="str">
        <f t="shared" ref="I617:I638" ca="1" si="117">IF(H617="Unidade Construtiva",TEXT(A617,"00"),IF(H617="Célula Construtiva",TEXT(B617,"00"),IF(H617="Etapa",CONCATENATE(TEXT(B617,"00"),".",TEXT(C617,"000")),IF(H617="Subetapa",CONCATENATE(TEXT(B617,"00"),".",TEXT(C617,"000"),".",TEXT(D617,"000")),IF(H617="Serviço",CONCATENATE(TEXT(B617,"00"),".",TEXT(C617,"000"),".",TEXT(D617,"000"),".",TEXT(E617,"000")),"")))))</f>
        <v>10.001.007.003</v>
      </c>
      <c r="J617" s="654" t="s">
        <v>989</v>
      </c>
      <c r="K617" s="630" t="s">
        <v>1</v>
      </c>
      <c r="L617" s="631">
        <f>L609</f>
        <v>500.52365694115406</v>
      </c>
      <c r="M617" s="631">
        <f>VLOOKUP(J617,Preços!$C$7:$F$498,4,FALSE)</f>
        <v>30</v>
      </c>
      <c r="N617" s="646">
        <f>L617*M617</f>
        <v>15015.709708234623</v>
      </c>
      <c r="O617" s="767"/>
      <c r="P617" s="632" t="s">
        <v>333</v>
      </c>
      <c r="R617" s="742"/>
      <c r="S617" s="742"/>
    </row>
    <row r="618" spans="1:19" s="761" customFormat="1" ht="22.5" hidden="1" outlineLevel="4" x14ac:dyDescent="0.2">
      <c r="A618" s="762" t="e">
        <f ca="1">IF($H618="UNIDADE CONSTRUTIVA",OFFSET(A618,-1,0)+1,LARGE(A$3:A616,1))</f>
        <v>#NUM!</v>
      </c>
      <c r="B618" s="762">
        <f ca="1">IF(H618="UNIDADE CONSTRUTIVA",0,IF(H618="CÉLULA CONSTRUTIVA",OFFSET(B618,-1,0)+1,OFFSET(B618,-1,0)))</f>
        <v>10</v>
      </c>
      <c r="C618" s="762">
        <f ca="1">IF(H618="CÉLULA CONSTRUTIVA",0,IF(H618="ETAPA",OFFSET(C618,-1,0)+1,OFFSET(C618,-1,0)))</f>
        <v>1</v>
      </c>
      <c r="D618" s="763">
        <f ca="1">IF(H618="ETAPA",0,IF(H618="SUBETAPA",OFFSET(D618,-1,0)+1,OFFSET(D618,-1,0)))</f>
        <v>7</v>
      </c>
      <c r="E618" s="763">
        <f ca="1">IF(H618="Subetapa",0,IF(H618="serviço",OFFSET(E618,-1,0)+1,OFFSET(E618,-1,0)))</f>
        <v>4</v>
      </c>
      <c r="G618" s="628"/>
      <c r="H618" s="766" t="s">
        <v>368</v>
      </c>
      <c r="I618" s="629" t="str">
        <f ca="1">IF(H618="Unidade Construtiva",TEXT(A618,"00"),IF(H618="Célula Construtiva",TEXT(B618,"00"),IF(H618="Etapa",CONCATENATE(TEXT(B618,"00"),".",TEXT(C618,"000")),IF(H618="Subetapa",CONCATENATE(TEXT(B618,"00"),".",TEXT(C618,"000"),".",TEXT(D618,"000")),IF(H618="Serviço",CONCATENATE(TEXT(B618,"00"),".",TEXT(C618,"000"),".",TEXT(D618,"000"),".",TEXT(E618,"000")),"")))))</f>
        <v>10.001.007.004</v>
      </c>
      <c r="J618" s="654" t="s">
        <v>1468</v>
      </c>
      <c r="K618" s="630" t="s">
        <v>1</v>
      </c>
      <c r="L618" s="631">
        <f>L611</f>
        <v>102.9</v>
      </c>
      <c r="M618" s="631">
        <f>VLOOKUP(J618,Preços!$C$7:$F$498,4,FALSE)</f>
        <v>30</v>
      </c>
      <c r="N618" s="646">
        <f>L618*M618</f>
        <v>3087</v>
      </c>
      <c r="O618" s="767"/>
      <c r="P618" s="632" t="s">
        <v>333</v>
      </c>
      <c r="R618" s="742"/>
      <c r="S618" s="742"/>
    </row>
    <row r="619" spans="1:19" s="761" customFormat="1" ht="22.5" hidden="1" outlineLevel="4" x14ac:dyDescent="0.2">
      <c r="A619" s="762" t="e">
        <f ca="1">IF($H619="UNIDADE CONSTRUTIVA",OFFSET(A619,-1,0)+1,LARGE(A$3:A617,1))</f>
        <v>#NUM!</v>
      </c>
      <c r="B619" s="762">
        <f t="shared" ca="1" si="113"/>
        <v>10</v>
      </c>
      <c r="C619" s="762">
        <f t="shared" ca="1" si="114"/>
        <v>1</v>
      </c>
      <c r="D619" s="763">
        <f t="shared" ca="1" si="115"/>
        <v>7</v>
      </c>
      <c r="E619" s="763">
        <f t="shared" ca="1" si="116"/>
        <v>5</v>
      </c>
      <c r="G619" s="628"/>
      <c r="H619" s="766" t="s">
        <v>368</v>
      </c>
      <c r="I619" s="629" t="str">
        <f t="shared" ca="1" si="117"/>
        <v>10.001.007.005</v>
      </c>
      <c r="J619" s="654" t="s">
        <v>379</v>
      </c>
      <c r="K619" s="630" t="s">
        <v>2</v>
      </c>
      <c r="L619" s="631">
        <f>L613</f>
        <v>7</v>
      </c>
      <c r="M619" s="631">
        <f>VLOOKUP(J619,Preços!$C$7:$F$498,4,FALSE)</f>
        <v>80</v>
      </c>
      <c r="N619" s="646">
        <f>L619*M619</f>
        <v>560</v>
      </c>
      <c r="O619" s="767"/>
      <c r="P619" s="632" t="s">
        <v>333</v>
      </c>
      <c r="R619" s="742"/>
      <c r="S619" s="742"/>
    </row>
    <row r="620" spans="1:19" s="761" customFormat="1" hidden="1" outlineLevel="1" collapsed="1" x14ac:dyDescent="0.2">
      <c r="A620" s="762" t="e">
        <f ca="1">IF($H620="UNIDADE CONSTRUTIVA",OFFSET(A620,-1,0)+1,LARGE(A$3:A472,1))</f>
        <v>#NUM!</v>
      </c>
      <c r="B620" s="762">
        <f t="shared" ca="1" si="113"/>
        <v>10</v>
      </c>
      <c r="C620" s="762">
        <f t="shared" ca="1" si="114"/>
        <v>2</v>
      </c>
      <c r="D620" s="763">
        <f t="shared" ca="1" si="115"/>
        <v>0</v>
      </c>
      <c r="E620" s="763">
        <f t="shared" ca="1" si="116"/>
        <v>5</v>
      </c>
      <c r="G620" s="628"/>
      <c r="H620" s="766" t="s">
        <v>366</v>
      </c>
      <c r="I620" s="629" t="str">
        <f t="shared" ca="1" si="117"/>
        <v>10.002</v>
      </c>
      <c r="J620" s="654" t="s">
        <v>1458</v>
      </c>
      <c r="K620" s="630"/>
      <c r="L620" s="631"/>
      <c r="M620" s="631"/>
      <c r="N620" s="646">
        <f>SUM(N621,N623,N625)</f>
        <v>2488.9423000000002</v>
      </c>
      <c r="O620" s="767"/>
      <c r="P620" s="632"/>
      <c r="R620" s="742"/>
      <c r="S620" s="742"/>
    </row>
    <row r="621" spans="1:19" s="761" customFormat="1" hidden="1" outlineLevel="3" collapsed="1" x14ac:dyDescent="0.2">
      <c r="A621" s="762" t="e">
        <f ca="1">IF($H621="UNIDADE CONSTRUTIVA",OFFSET(A621,-1,0)+1,LARGE(A$3:A620,1))</f>
        <v>#NUM!</v>
      </c>
      <c r="B621" s="762">
        <f t="shared" ca="1" si="113"/>
        <v>10</v>
      </c>
      <c r="C621" s="762">
        <f t="shared" ca="1" si="114"/>
        <v>2</v>
      </c>
      <c r="D621" s="763">
        <f t="shared" ca="1" si="115"/>
        <v>1</v>
      </c>
      <c r="E621" s="763">
        <f t="shared" ca="1" si="116"/>
        <v>0</v>
      </c>
      <c r="G621" s="628"/>
      <c r="H621" s="766" t="s">
        <v>367</v>
      </c>
      <c r="I621" s="629" t="str">
        <f t="shared" ca="1" si="117"/>
        <v>10.002.001</v>
      </c>
      <c r="J621" s="654" t="s">
        <v>1466</v>
      </c>
      <c r="K621" s="630"/>
      <c r="L621" s="631"/>
      <c r="M621" s="631"/>
      <c r="N621" s="646">
        <f>SUM(N622)</f>
        <v>163.82159999999999</v>
      </c>
      <c r="O621" s="767"/>
      <c r="P621" s="632"/>
      <c r="R621" s="742"/>
      <c r="S621" s="742"/>
    </row>
    <row r="622" spans="1:19" s="761" customFormat="1" ht="22.5" hidden="1" outlineLevel="4" x14ac:dyDescent="0.2">
      <c r="A622" s="762" t="e">
        <f ca="1">IF($H622="UNIDADE CONSTRUTIVA",OFFSET(A622,-1,0)+1,LARGE(A$3:A620,1))</f>
        <v>#NUM!</v>
      </c>
      <c r="B622" s="762">
        <f t="shared" ca="1" si="113"/>
        <v>10</v>
      </c>
      <c r="C622" s="762">
        <f t="shared" ca="1" si="114"/>
        <v>2</v>
      </c>
      <c r="D622" s="763">
        <f t="shared" ca="1" si="115"/>
        <v>1</v>
      </c>
      <c r="E622" s="763">
        <f t="shared" ca="1" si="116"/>
        <v>1</v>
      </c>
      <c r="G622" s="628"/>
      <c r="H622" s="766" t="s">
        <v>368</v>
      </c>
      <c r="I622" s="629" t="str">
        <f t="shared" ca="1" si="117"/>
        <v>10.002.001.001</v>
      </c>
      <c r="J622" s="654" t="s">
        <v>1467</v>
      </c>
      <c r="K622" s="630" t="s">
        <v>1</v>
      </c>
      <c r="L622" s="631">
        <f>IMPERM.!D33</f>
        <v>74.599999999999994</v>
      </c>
      <c r="M622" s="631">
        <f>VLOOKUP(J622,Preços!$C$7:$F$498,4,FALSE)</f>
        <v>2.1960000000000002</v>
      </c>
      <c r="N622" s="646">
        <f>L622*M622</f>
        <v>163.82159999999999</v>
      </c>
      <c r="O622" s="767"/>
      <c r="P622" s="632" t="s">
        <v>333</v>
      </c>
      <c r="R622" s="742"/>
      <c r="S622" s="742"/>
    </row>
    <row r="623" spans="1:19" s="761" customFormat="1" hidden="1" outlineLevel="3" collapsed="1" x14ac:dyDescent="0.2">
      <c r="A623" s="762" t="e">
        <f ca="1">IF($H623="UNIDADE CONSTRUTIVA",OFFSET(A623,-1,0)+1,LARGE(A$3:A620,1))</f>
        <v>#NUM!</v>
      </c>
      <c r="B623" s="762">
        <f t="shared" ca="1" si="113"/>
        <v>10</v>
      </c>
      <c r="C623" s="762">
        <f t="shared" ca="1" si="114"/>
        <v>2</v>
      </c>
      <c r="D623" s="763">
        <f t="shared" ca="1" si="115"/>
        <v>2</v>
      </c>
      <c r="E623" s="763">
        <f t="shared" ca="1" si="116"/>
        <v>0</v>
      </c>
      <c r="G623" s="628"/>
      <c r="H623" s="766" t="s">
        <v>367</v>
      </c>
      <c r="I623" s="629" t="str">
        <f t="shared" ca="1" si="117"/>
        <v>10.002.002</v>
      </c>
      <c r="J623" s="654" t="s">
        <v>780</v>
      </c>
      <c r="K623" s="630"/>
      <c r="L623" s="631"/>
      <c r="M623" s="631"/>
      <c r="N623" s="646">
        <f>SUM(N624)</f>
        <v>7.1207000000000003</v>
      </c>
      <c r="O623" s="767"/>
      <c r="P623" s="632"/>
      <c r="R623" s="742"/>
      <c r="S623" s="742"/>
    </row>
    <row r="624" spans="1:19" s="761" customFormat="1" ht="22.5" hidden="1" outlineLevel="4" x14ac:dyDescent="0.2">
      <c r="A624" s="762" t="e">
        <f ca="1">IF($H624="UNIDADE CONSTRUTIVA",OFFSET(A624,-1,0)+1,LARGE(A$3:A623,1))</f>
        <v>#NUM!</v>
      </c>
      <c r="B624" s="762">
        <f t="shared" ca="1" si="113"/>
        <v>10</v>
      </c>
      <c r="C624" s="762">
        <f t="shared" ca="1" si="114"/>
        <v>2</v>
      </c>
      <c r="D624" s="763">
        <f t="shared" ca="1" si="115"/>
        <v>2</v>
      </c>
      <c r="E624" s="763">
        <f t="shared" ca="1" si="116"/>
        <v>1</v>
      </c>
      <c r="G624" s="628"/>
      <c r="H624" s="766" t="s">
        <v>368</v>
      </c>
      <c r="I624" s="629" t="str">
        <f t="shared" ca="1" si="117"/>
        <v>10.002.002.001</v>
      </c>
      <c r="J624" s="654" t="s">
        <v>378</v>
      </c>
      <c r="K624" s="630" t="s">
        <v>2</v>
      </c>
      <c r="L624" s="631">
        <v>1</v>
      </c>
      <c r="M624" s="631">
        <f>VLOOKUP(J624,Preços!$C$7:$F$498,4,FALSE)</f>
        <v>7.1207000000000003</v>
      </c>
      <c r="N624" s="646">
        <f>L624*M624</f>
        <v>7.1207000000000003</v>
      </c>
      <c r="O624" s="767"/>
      <c r="P624" s="632" t="s">
        <v>333</v>
      </c>
      <c r="R624" s="742"/>
      <c r="S624" s="742"/>
    </row>
    <row r="625" spans="1:19" s="761" customFormat="1" hidden="1" outlineLevel="3" collapsed="1" x14ac:dyDescent="0.2">
      <c r="A625" s="762" t="e">
        <f ca="1">IF($H625="UNIDADE CONSTRUTIVA",OFFSET(A625,-1,0)+1,LARGE(A$3:A624,1))</f>
        <v>#NUM!</v>
      </c>
      <c r="B625" s="762">
        <f t="shared" ca="1" si="113"/>
        <v>10</v>
      </c>
      <c r="C625" s="762">
        <f t="shared" ca="1" si="114"/>
        <v>2</v>
      </c>
      <c r="D625" s="763">
        <f t="shared" ca="1" si="115"/>
        <v>3</v>
      </c>
      <c r="E625" s="763">
        <f t="shared" ca="1" si="116"/>
        <v>0</v>
      </c>
      <c r="G625" s="628"/>
      <c r="H625" s="766" t="s">
        <v>367</v>
      </c>
      <c r="I625" s="629" t="str">
        <f t="shared" ca="1" si="117"/>
        <v>10.002.003</v>
      </c>
      <c r="J625" s="654" t="s">
        <v>186</v>
      </c>
      <c r="K625" s="630"/>
      <c r="L625" s="631"/>
      <c r="M625" s="631"/>
      <c r="N625" s="646">
        <f>SUM(N626:N627)</f>
        <v>2318</v>
      </c>
      <c r="O625" s="767"/>
      <c r="P625" s="632"/>
      <c r="R625" s="742"/>
      <c r="S625" s="742"/>
    </row>
    <row r="626" spans="1:19" s="761" customFormat="1" ht="22.5" hidden="1" outlineLevel="4" x14ac:dyDescent="0.2">
      <c r="A626" s="762" t="e">
        <f ca="1">IF($H626="UNIDADE CONSTRUTIVA",OFFSET(A626,-1,0)+1,LARGE(A$3:A625,1))</f>
        <v>#NUM!</v>
      </c>
      <c r="B626" s="762">
        <f t="shared" ca="1" si="113"/>
        <v>10</v>
      </c>
      <c r="C626" s="762">
        <f t="shared" ca="1" si="114"/>
        <v>2</v>
      </c>
      <c r="D626" s="763">
        <f t="shared" ca="1" si="115"/>
        <v>3</v>
      </c>
      <c r="E626" s="763">
        <f t="shared" ca="1" si="116"/>
        <v>1</v>
      </c>
      <c r="G626" s="628"/>
      <c r="H626" s="766" t="s">
        <v>368</v>
      </c>
      <c r="I626" s="629" t="str">
        <f t="shared" ca="1" si="117"/>
        <v>10.002.003.001</v>
      </c>
      <c r="J626" s="654" t="s">
        <v>1468</v>
      </c>
      <c r="K626" s="630" t="s">
        <v>1</v>
      </c>
      <c r="L626" s="631">
        <f>L622</f>
        <v>74.599999999999994</v>
      </c>
      <c r="M626" s="631">
        <f>VLOOKUP(J626,Preços!$C$7:$F$498,4,FALSE)</f>
        <v>30</v>
      </c>
      <c r="N626" s="646">
        <f>L626*M626</f>
        <v>2238</v>
      </c>
      <c r="O626" s="767"/>
      <c r="P626" s="632" t="s">
        <v>333</v>
      </c>
      <c r="R626" s="742"/>
      <c r="S626" s="742"/>
    </row>
    <row r="627" spans="1:19" s="761" customFormat="1" ht="22.5" hidden="1" outlineLevel="4" x14ac:dyDescent="0.2">
      <c r="A627" s="762" t="e">
        <f ca="1">IF($H627="UNIDADE CONSTRUTIVA",OFFSET(A627,-1,0)+1,LARGE(A$3:A626,1))</f>
        <v>#NUM!</v>
      </c>
      <c r="B627" s="762">
        <f t="shared" ca="1" si="113"/>
        <v>10</v>
      </c>
      <c r="C627" s="762">
        <f t="shared" ca="1" si="114"/>
        <v>2</v>
      </c>
      <c r="D627" s="763">
        <f t="shared" ca="1" si="115"/>
        <v>3</v>
      </c>
      <c r="E627" s="763">
        <f t="shared" ca="1" si="116"/>
        <v>2</v>
      </c>
      <c r="G627" s="628"/>
      <c r="H627" s="766" t="s">
        <v>368</v>
      </c>
      <c r="I627" s="629" t="str">
        <f t="shared" ca="1" si="117"/>
        <v>10.002.003.002</v>
      </c>
      <c r="J627" s="654" t="s">
        <v>379</v>
      </c>
      <c r="K627" s="630" t="s">
        <v>2</v>
      </c>
      <c r="L627" s="631">
        <f>L624</f>
        <v>1</v>
      </c>
      <c r="M627" s="631">
        <f>VLOOKUP(J627,Preços!$C$7:$F$498,4,FALSE)</f>
        <v>80</v>
      </c>
      <c r="N627" s="646">
        <f>L627*M627</f>
        <v>80</v>
      </c>
      <c r="O627" s="767"/>
      <c r="P627" s="632" t="s">
        <v>333</v>
      </c>
      <c r="R627" s="742"/>
      <c r="S627" s="742"/>
    </row>
    <row r="628" spans="1:19" s="761" customFormat="1" hidden="1" outlineLevel="1" collapsed="1" x14ac:dyDescent="0.2">
      <c r="A628" s="762" t="e">
        <f ca="1">IF($H628="UNIDADE CONSTRUTIVA",OFFSET(A628,-1,0)+1,LARGE(A$3:A492,1))</f>
        <v>#NUM!</v>
      </c>
      <c r="B628" s="762">
        <f t="shared" ca="1" si="113"/>
        <v>10</v>
      </c>
      <c r="C628" s="762">
        <f t="shared" ca="1" si="114"/>
        <v>3</v>
      </c>
      <c r="D628" s="763">
        <f t="shared" ca="1" si="115"/>
        <v>0</v>
      </c>
      <c r="E628" s="763">
        <f t="shared" ca="1" si="116"/>
        <v>2</v>
      </c>
      <c r="G628" s="628"/>
      <c r="H628" s="766" t="s">
        <v>366</v>
      </c>
      <c r="I628" s="629" t="str">
        <f t="shared" ca="1" si="117"/>
        <v>10.003</v>
      </c>
      <c r="J628" s="654" t="s">
        <v>1459</v>
      </c>
      <c r="K628" s="630"/>
      <c r="L628" s="631"/>
      <c r="M628" s="631"/>
      <c r="N628" s="646">
        <f>SUM(N629,N631,N633)</f>
        <v>2488.9423000000002</v>
      </c>
      <c r="O628" s="767"/>
      <c r="P628" s="632"/>
      <c r="R628" s="742"/>
      <c r="S628" s="742"/>
    </row>
    <row r="629" spans="1:19" s="761" customFormat="1" hidden="1" outlineLevel="2" x14ac:dyDescent="0.2">
      <c r="A629" s="762" t="e">
        <f ca="1">IF($H629="UNIDADE CONSTRUTIVA",OFFSET(A629,-1,0)+1,LARGE(A$3:A628,1))</f>
        <v>#NUM!</v>
      </c>
      <c r="B629" s="762">
        <f t="shared" ca="1" si="113"/>
        <v>10</v>
      </c>
      <c r="C629" s="762">
        <f t="shared" ca="1" si="114"/>
        <v>3</v>
      </c>
      <c r="D629" s="763">
        <f t="shared" ca="1" si="115"/>
        <v>1</v>
      </c>
      <c r="E629" s="763">
        <f t="shared" ca="1" si="116"/>
        <v>0</v>
      </c>
      <c r="G629" s="628"/>
      <c r="H629" s="766" t="s">
        <v>367</v>
      </c>
      <c r="I629" s="629" t="str">
        <f t="shared" ca="1" si="117"/>
        <v>10.003.001</v>
      </c>
      <c r="J629" s="654" t="s">
        <v>1466</v>
      </c>
      <c r="K629" s="630"/>
      <c r="L629" s="631"/>
      <c r="M629" s="631"/>
      <c r="N629" s="646">
        <f>SUM(N630)</f>
        <v>163.82159999999999</v>
      </c>
      <c r="O629" s="767"/>
      <c r="P629" s="632"/>
      <c r="R629" s="742"/>
      <c r="S629" s="742"/>
    </row>
    <row r="630" spans="1:19" s="761" customFormat="1" ht="22.5" hidden="1" outlineLevel="3" x14ac:dyDescent="0.2">
      <c r="A630" s="762" t="e">
        <f ca="1">IF($H630="UNIDADE CONSTRUTIVA",OFFSET(A630,-1,0)+1,LARGE(A$3:A628,1))</f>
        <v>#NUM!</v>
      </c>
      <c r="B630" s="762">
        <f t="shared" ca="1" si="113"/>
        <v>10</v>
      </c>
      <c r="C630" s="762">
        <f t="shared" ca="1" si="114"/>
        <v>3</v>
      </c>
      <c r="D630" s="763">
        <f t="shared" ca="1" si="115"/>
        <v>1</v>
      </c>
      <c r="E630" s="763">
        <f t="shared" ca="1" si="116"/>
        <v>1</v>
      </c>
      <c r="G630" s="628"/>
      <c r="H630" s="766" t="s">
        <v>368</v>
      </c>
      <c r="I630" s="629" t="str">
        <f t="shared" ca="1" si="117"/>
        <v>10.003.001.001</v>
      </c>
      <c r="J630" s="654" t="s">
        <v>1467</v>
      </c>
      <c r="K630" s="630" t="s">
        <v>1</v>
      </c>
      <c r="L630" s="631">
        <f>IMPERM.!D35</f>
        <v>74.599999999999994</v>
      </c>
      <c r="M630" s="631">
        <f>VLOOKUP(J630,Preços!$C$7:$F$498,4,FALSE)</f>
        <v>2.1960000000000002</v>
      </c>
      <c r="N630" s="646">
        <f>L630*M630</f>
        <v>163.82159999999999</v>
      </c>
      <c r="O630" s="767"/>
      <c r="P630" s="632" t="s">
        <v>333</v>
      </c>
      <c r="R630" s="742"/>
      <c r="S630" s="742"/>
    </row>
    <row r="631" spans="1:19" s="761" customFormat="1" hidden="1" outlineLevel="2" x14ac:dyDescent="0.2">
      <c r="A631" s="762" t="e">
        <f ca="1">IF($H631="UNIDADE CONSTRUTIVA",OFFSET(A631,-1,0)+1,LARGE(A$3:A628,1))</f>
        <v>#NUM!</v>
      </c>
      <c r="B631" s="762">
        <f t="shared" ca="1" si="113"/>
        <v>10</v>
      </c>
      <c r="C631" s="762">
        <f t="shared" ca="1" si="114"/>
        <v>3</v>
      </c>
      <c r="D631" s="763">
        <f t="shared" ca="1" si="115"/>
        <v>2</v>
      </c>
      <c r="E631" s="763">
        <f t="shared" ca="1" si="116"/>
        <v>0</v>
      </c>
      <c r="G631" s="628"/>
      <c r="H631" s="766" t="s">
        <v>367</v>
      </c>
      <c r="I631" s="629" t="str">
        <f t="shared" ca="1" si="117"/>
        <v>10.003.002</v>
      </c>
      <c r="J631" s="654" t="s">
        <v>780</v>
      </c>
      <c r="K631" s="630"/>
      <c r="L631" s="631"/>
      <c r="M631" s="631"/>
      <c r="N631" s="646">
        <f>SUM(N632)</f>
        <v>7.1207000000000003</v>
      </c>
      <c r="O631" s="767"/>
      <c r="P631" s="632"/>
      <c r="R631" s="742"/>
      <c r="S631" s="742"/>
    </row>
    <row r="632" spans="1:19" s="761" customFormat="1" ht="22.5" hidden="1" outlineLevel="3" x14ac:dyDescent="0.2">
      <c r="A632" s="762" t="e">
        <f ca="1">IF($H632="UNIDADE CONSTRUTIVA",OFFSET(A632,-1,0)+1,LARGE(A$3:A631,1))</f>
        <v>#NUM!</v>
      </c>
      <c r="B632" s="762">
        <f t="shared" ca="1" si="113"/>
        <v>10</v>
      </c>
      <c r="C632" s="762">
        <f t="shared" ca="1" si="114"/>
        <v>3</v>
      </c>
      <c r="D632" s="763">
        <f t="shared" ca="1" si="115"/>
        <v>2</v>
      </c>
      <c r="E632" s="763">
        <f t="shared" ca="1" si="116"/>
        <v>1</v>
      </c>
      <c r="G632" s="628"/>
      <c r="H632" s="766" t="s">
        <v>368</v>
      </c>
      <c r="I632" s="629" t="str">
        <f t="shared" ca="1" si="117"/>
        <v>10.003.002.001</v>
      </c>
      <c r="J632" s="654" t="s">
        <v>378</v>
      </c>
      <c r="K632" s="630" t="s">
        <v>2</v>
      </c>
      <c r="L632" s="631">
        <v>1</v>
      </c>
      <c r="M632" s="631">
        <f>VLOOKUP(J632,Preços!$C$7:$F$498,4,FALSE)</f>
        <v>7.1207000000000003</v>
      </c>
      <c r="N632" s="646">
        <f>L632*M632</f>
        <v>7.1207000000000003</v>
      </c>
      <c r="O632" s="767"/>
      <c r="P632" s="632" t="s">
        <v>333</v>
      </c>
      <c r="R632" s="742"/>
      <c r="S632" s="742"/>
    </row>
    <row r="633" spans="1:19" s="761" customFormat="1" hidden="1" outlineLevel="2" collapsed="1" x14ac:dyDescent="0.2">
      <c r="A633" s="762" t="e">
        <f ca="1">IF($H633="UNIDADE CONSTRUTIVA",OFFSET(A633,-1,0)+1,LARGE(A$3:A632,1))</f>
        <v>#NUM!</v>
      </c>
      <c r="B633" s="762">
        <f t="shared" ca="1" si="113"/>
        <v>10</v>
      </c>
      <c r="C633" s="762">
        <f t="shared" ca="1" si="114"/>
        <v>3</v>
      </c>
      <c r="D633" s="763">
        <f t="shared" ca="1" si="115"/>
        <v>3</v>
      </c>
      <c r="E633" s="763">
        <f t="shared" ca="1" si="116"/>
        <v>0</v>
      </c>
      <c r="G633" s="628"/>
      <c r="H633" s="766" t="s">
        <v>367</v>
      </c>
      <c r="I633" s="629" t="str">
        <f t="shared" ca="1" si="117"/>
        <v>10.003.003</v>
      </c>
      <c r="J633" s="654" t="s">
        <v>186</v>
      </c>
      <c r="K633" s="630"/>
      <c r="L633" s="631"/>
      <c r="M633" s="631"/>
      <c r="N633" s="646">
        <f>SUM(N634:N635)</f>
        <v>2318</v>
      </c>
      <c r="O633" s="767"/>
      <c r="P633" s="632"/>
      <c r="R633" s="742"/>
      <c r="S633" s="742"/>
    </row>
    <row r="634" spans="1:19" s="761" customFormat="1" ht="22.5" hidden="1" outlineLevel="2" x14ac:dyDescent="0.2">
      <c r="A634" s="762" t="e">
        <f ca="1">IF($H634="UNIDADE CONSTRUTIVA",OFFSET(A634,-1,0)+1,LARGE(A$3:A633,1))</f>
        <v>#NUM!</v>
      </c>
      <c r="B634" s="762">
        <f t="shared" ca="1" si="113"/>
        <v>10</v>
      </c>
      <c r="C634" s="762">
        <f t="shared" ca="1" si="114"/>
        <v>3</v>
      </c>
      <c r="D634" s="763">
        <f t="shared" ca="1" si="115"/>
        <v>3</v>
      </c>
      <c r="E634" s="763">
        <f t="shared" ca="1" si="116"/>
        <v>1</v>
      </c>
      <c r="G634" s="628"/>
      <c r="H634" s="766" t="s">
        <v>368</v>
      </c>
      <c r="I634" s="629" t="str">
        <f t="shared" ca="1" si="117"/>
        <v>10.003.003.001</v>
      </c>
      <c r="J634" s="654" t="s">
        <v>1468</v>
      </c>
      <c r="K634" s="630" t="s">
        <v>1</v>
      </c>
      <c r="L634" s="631">
        <f>L630</f>
        <v>74.599999999999994</v>
      </c>
      <c r="M634" s="631">
        <f>VLOOKUP(J634,Preços!$C$7:$F$498,4,FALSE)</f>
        <v>30</v>
      </c>
      <c r="N634" s="646">
        <f>L634*M634</f>
        <v>2238</v>
      </c>
      <c r="O634" s="767"/>
      <c r="P634" s="632" t="s">
        <v>333</v>
      </c>
      <c r="R634" s="742"/>
      <c r="S634" s="742"/>
    </row>
    <row r="635" spans="1:19" s="761" customFormat="1" ht="22.5" hidden="1" outlineLevel="2" x14ac:dyDescent="0.2">
      <c r="A635" s="762" t="e">
        <f ca="1">IF($H635="UNIDADE CONSTRUTIVA",OFFSET(A635,-1,0)+1,LARGE(A$3:A634,1))</f>
        <v>#NUM!</v>
      </c>
      <c r="B635" s="762">
        <f t="shared" ca="1" si="113"/>
        <v>10</v>
      </c>
      <c r="C635" s="762">
        <f t="shared" ca="1" si="114"/>
        <v>3</v>
      </c>
      <c r="D635" s="763">
        <f t="shared" ca="1" si="115"/>
        <v>3</v>
      </c>
      <c r="E635" s="763">
        <f t="shared" ca="1" si="116"/>
        <v>2</v>
      </c>
      <c r="G635" s="628"/>
      <c r="H635" s="766" t="s">
        <v>368</v>
      </c>
      <c r="I635" s="629" t="str">
        <f t="shared" ca="1" si="117"/>
        <v>10.003.003.002</v>
      </c>
      <c r="J635" s="654" t="s">
        <v>379</v>
      </c>
      <c r="K635" s="630" t="s">
        <v>2</v>
      </c>
      <c r="L635" s="631">
        <f>L632</f>
        <v>1</v>
      </c>
      <c r="M635" s="631">
        <f>VLOOKUP(J635,Preços!$C$7:$F$498,4,FALSE)</f>
        <v>80</v>
      </c>
      <c r="N635" s="646">
        <f>L635*M635</f>
        <v>80</v>
      </c>
      <c r="O635" s="767"/>
      <c r="P635" s="632" t="s">
        <v>333</v>
      </c>
      <c r="R635" s="742"/>
      <c r="S635" s="742"/>
    </row>
    <row r="636" spans="1:19" s="761" customFormat="1" hidden="1" outlineLevel="1" collapsed="1" x14ac:dyDescent="0.2">
      <c r="A636" s="762" t="e">
        <f ca="1">IF($H636="UNIDADE CONSTRUTIVA",OFFSET(A636,-1,0)+1,LARGE(A$3:A510,1))</f>
        <v>#NUM!</v>
      </c>
      <c r="B636" s="762">
        <f t="shared" ca="1" si="113"/>
        <v>10</v>
      </c>
      <c r="C636" s="762">
        <f t="shared" ca="1" si="114"/>
        <v>4</v>
      </c>
      <c r="D636" s="763">
        <f t="shared" ca="1" si="115"/>
        <v>0</v>
      </c>
      <c r="E636" s="763">
        <f t="shared" ca="1" si="116"/>
        <v>2</v>
      </c>
      <c r="G636" s="628"/>
      <c r="H636" s="766" t="s">
        <v>366</v>
      </c>
      <c r="I636" s="629" t="str">
        <f t="shared" ca="1" si="117"/>
        <v>10.004</v>
      </c>
      <c r="J636" s="654" t="s">
        <v>1460</v>
      </c>
      <c r="K636" s="630"/>
      <c r="L636" s="631"/>
      <c r="M636" s="631"/>
      <c r="N636" s="646">
        <f>SUM(N637,N639,N641)</f>
        <v>3089.3977</v>
      </c>
      <c r="O636" s="767"/>
      <c r="P636" s="632"/>
      <c r="R636" s="742"/>
      <c r="S636" s="742"/>
    </row>
    <row r="637" spans="1:19" s="761" customFormat="1" hidden="1" outlineLevel="2" x14ac:dyDescent="0.2">
      <c r="A637" s="762" t="e">
        <f ca="1">IF($H637="UNIDADE CONSTRUTIVA",OFFSET(A637,-1,0)+1,LARGE(A$3:A636,1))</f>
        <v>#NUM!</v>
      </c>
      <c r="B637" s="762">
        <f t="shared" ca="1" si="113"/>
        <v>10</v>
      </c>
      <c r="C637" s="762">
        <f t="shared" ca="1" si="114"/>
        <v>4</v>
      </c>
      <c r="D637" s="763">
        <f t="shared" ca="1" si="115"/>
        <v>1</v>
      </c>
      <c r="E637" s="763">
        <f t="shared" ca="1" si="116"/>
        <v>0</v>
      </c>
      <c r="G637" s="628"/>
      <c r="H637" s="766" t="s">
        <v>367</v>
      </c>
      <c r="I637" s="629" t="str">
        <f t="shared" ca="1" si="117"/>
        <v>10.004.001</v>
      </c>
      <c r="J637" s="654" t="s">
        <v>1466</v>
      </c>
      <c r="K637" s="630"/>
      <c r="L637" s="631"/>
      <c r="M637" s="631"/>
      <c r="N637" s="646">
        <f>SUM(N638)</f>
        <v>204.77700000000002</v>
      </c>
      <c r="O637" s="767"/>
      <c r="P637" s="632"/>
      <c r="R637" s="742"/>
      <c r="S637" s="742"/>
    </row>
    <row r="638" spans="1:19" s="761" customFormat="1" ht="22.5" hidden="1" outlineLevel="3" x14ac:dyDescent="0.2">
      <c r="A638" s="762" t="e">
        <f ca="1">IF($H638="UNIDADE CONSTRUTIVA",OFFSET(A638,-1,0)+1,LARGE(A$3:A636,1))</f>
        <v>#NUM!</v>
      </c>
      <c r="B638" s="762">
        <f t="shared" ca="1" si="113"/>
        <v>10</v>
      </c>
      <c r="C638" s="762">
        <f t="shared" ca="1" si="114"/>
        <v>4</v>
      </c>
      <c r="D638" s="763">
        <f t="shared" ca="1" si="115"/>
        <v>1</v>
      </c>
      <c r="E638" s="763">
        <f t="shared" ca="1" si="116"/>
        <v>1</v>
      </c>
      <c r="G638" s="628"/>
      <c r="H638" s="766" t="s">
        <v>368</v>
      </c>
      <c r="I638" s="629" t="str">
        <f t="shared" ca="1" si="117"/>
        <v>10.004.001.001</v>
      </c>
      <c r="J638" s="654" t="s">
        <v>1467</v>
      </c>
      <c r="K638" s="630" t="s">
        <v>1</v>
      </c>
      <c r="L638" s="631">
        <f>IMPERM.!D37</f>
        <v>93.25</v>
      </c>
      <c r="M638" s="631">
        <f>VLOOKUP(J638,Preços!$C$7:$F$498,4,FALSE)</f>
        <v>2.1960000000000002</v>
      </c>
      <c r="N638" s="646">
        <f>L638*M638</f>
        <v>204.77700000000002</v>
      </c>
      <c r="O638" s="767"/>
      <c r="P638" s="632" t="s">
        <v>333</v>
      </c>
      <c r="R638" s="742"/>
      <c r="S638" s="742"/>
    </row>
    <row r="639" spans="1:19" s="761" customFormat="1" hidden="1" outlineLevel="2" x14ac:dyDescent="0.2">
      <c r="A639" s="762" t="e">
        <f ca="1">IF($H639="UNIDADE CONSTRUTIVA",OFFSET(A639,-1,0)+1,LARGE(A$3:A636,1))</f>
        <v>#NUM!</v>
      </c>
      <c r="B639" s="762">
        <f t="shared" ref="B639:B650" ca="1" si="118">IF(H639="UNIDADE CONSTRUTIVA",0,IF(H639="CÉLULA CONSTRUTIVA",OFFSET(B639,-1,0)+1,OFFSET(B639,-1,0)))</f>
        <v>10</v>
      </c>
      <c r="C639" s="762">
        <f t="shared" ref="C639:C650" ca="1" si="119">IF(H639="CÉLULA CONSTRUTIVA",0,IF(H639="ETAPA",OFFSET(C639,-1,0)+1,OFFSET(C639,-1,0)))</f>
        <v>4</v>
      </c>
      <c r="D639" s="763">
        <f t="shared" ref="D639:D650" ca="1" si="120">IF(H639="ETAPA",0,IF(H639="SUBETAPA",OFFSET(D639,-1,0)+1,OFFSET(D639,-1,0)))</f>
        <v>2</v>
      </c>
      <c r="E639" s="763">
        <f t="shared" ref="E639:E650" ca="1" si="121">IF(H639="Subetapa",0,IF(H639="serviço",OFFSET(E639,-1,0)+1,OFFSET(E639,-1,0)))</f>
        <v>0</v>
      </c>
      <c r="G639" s="628"/>
      <c r="H639" s="766" t="s">
        <v>367</v>
      </c>
      <c r="I639" s="629" t="str">
        <f t="shared" ref="I639:I650" ca="1" si="122">IF(H639="Unidade Construtiva",TEXT(A639,"00"),IF(H639="Célula Construtiva",TEXT(B639,"00"),IF(H639="Etapa",CONCATENATE(TEXT(B639,"00"),".",TEXT(C639,"000")),IF(H639="Subetapa",CONCATENATE(TEXT(B639,"00"),".",TEXT(C639,"000"),".",TEXT(D639,"000")),IF(H639="Serviço",CONCATENATE(TEXT(B639,"00"),".",TEXT(C639,"000"),".",TEXT(D639,"000"),".",TEXT(E639,"000")),"")))))</f>
        <v>10.004.002</v>
      </c>
      <c r="J639" s="654" t="s">
        <v>780</v>
      </c>
      <c r="K639" s="630"/>
      <c r="L639" s="631"/>
      <c r="M639" s="631"/>
      <c r="N639" s="646">
        <f>SUM(N640)</f>
        <v>7.1207000000000003</v>
      </c>
      <c r="O639" s="767"/>
      <c r="P639" s="632"/>
      <c r="R639" s="742"/>
      <c r="S639" s="742"/>
    </row>
    <row r="640" spans="1:19" s="761" customFormat="1" ht="22.5" hidden="1" outlineLevel="3" x14ac:dyDescent="0.2">
      <c r="A640" s="762" t="e">
        <f ca="1">IF($H640="UNIDADE CONSTRUTIVA",OFFSET(A640,-1,0)+1,LARGE(A$3:A639,1))</f>
        <v>#NUM!</v>
      </c>
      <c r="B640" s="762">
        <f t="shared" ca="1" si="118"/>
        <v>10</v>
      </c>
      <c r="C640" s="762">
        <f t="shared" ca="1" si="119"/>
        <v>4</v>
      </c>
      <c r="D640" s="763">
        <f t="shared" ca="1" si="120"/>
        <v>2</v>
      </c>
      <c r="E640" s="763">
        <f t="shared" ca="1" si="121"/>
        <v>1</v>
      </c>
      <c r="G640" s="628"/>
      <c r="H640" s="766" t="s">
        <v>368</v>
      </c>
      <c r="I640" s="629" t="str">
        <f t="shared" ca="1" si="122"/>
        <v>10.004.002.001</v>
      </c>
      <c r="J640" s="654" t="s">
        <v>378</v>
      </c>
      <c r="K640" s="630" t="s">
        <v>2</v>
      </c>
      <c r="L640" s="631">
        <v>1</v>
      </c>
      <c r="M640" s="631">
        <f>VLOOKUP(J640,Preços!$C$7:$F$498,4,FALSE)</f>
        <v>7.1207000000000003</v>
      </c>
      <c r="N640" s="646">
        <f>L640*M640</f>
        <v>7.1207000000000003</v>
      </c>
      <c r="O640" s="767"/>
      <c r="P640" s="632" t="s">
        <v>333</v>
      </c>
      <c r="R640" s="742"/>
      <c r="S640" s="742"/>
    </row>
    <row r="641" spans="1:19" s="761" customFormat="1" hidden="1" outlineLevel="2" collapsed="1" x14ac:dyDescent="0.2">
      <c r="A641" s="762" t="e">
        <f ca="1">IF($H641="UNIDADE CONSTRUTIVA",OFFSET(A641,-1,0)+1,LARGE(A$3:A640,1))</f>
        <v>#NUM!</v>
      </c>
      <c r="B641" s="762">
        <f t="shared" ca="1" si="118"/>
        <v>10</v>
      </c>
      <c r="C641" s="762">
        <f t="shared" ca="1" si="119"/>
        <v>4</v>
      </c>
      <c r="D641" s="763">
        <f t="shared" ca="1" si="120"/>
        <v>3</v>
      </c>
      <c r="E641" s="763">
        <f t="shared" ca="1" si="121"/>
        <v>0</v>
      </c>
      <c r="G641" s="628"/>
      <c r="H641" s="766" t="s">
        <v>367</v>
      </c>
      <c r="I641" s="629" t="str">
        <f t="shared" ca="1" si="122"/>
        <v>10.004.003</v>
      </c>
      <c r="J641" s="654" t="s">
        <v>186</v>
      </c>
      <c r="K641" s="630"/>
      <c r="L641" s="631"/>
      <c r="M641" s="631"/>
      <c r="N641" s="646">
        <f>SUM(N642:N643)</f>
        <v>2877.5</v>
      </c>
      <c r="O641" s="767"/>
      <c r="P641" s="632"/>
      <c r="R641" s="742"/>
      <c r="S641" s="742"/>
    </row>
    <row r="642" spans="1:19" s="761" customFormat="1" ht="22.5" hidden="1" outlineLevel="2" x14ac:dyDescent="0.2">
      <c r="A642" s="762" t="e">
        <f ca="1">IF($H642="UNIDADE CONSTRUTIVA",OFFSET(A642,-1,0)+1,LARGE(A$3:A641,1))</f>
        <v>#NUM!</v>
      </c>
      <c r="B642" s="762">
        <f t="shared" ca="1" si="118"/>
        <v>10</v>
      </c>
      <c r="C642" s="762">
        <f t="shared" ca="1" si="119"/>
        <v>4</v>
      </c>
      <c r="D642" s="763">
        <f t="shared" ca="1" si="120"/>
        <v>3</v>
      </c>
      <c r="E642" s="763">
        <f t="shared" ca="1" si="121"/>
        <v>1</v>
      </c>
      <c r="G642" s="628"/>
      <c r="H642" s="766" t="s">
        <v>368</v>
      </c>
      <c r="I642" s="629" t="str">
        <f t="shared" ca="1" si="122"/>
        <v>10.004.003.001</v>
      </c>
      <c r="J642" s="654" t="s">
        <v>1468</v>
      </c>
      <c r="K642" s="630" t="s">
        <v>1</v>
      </c>
      <c r="L642" s="631">
        <f>L638</f>
        <v>93.25</v>
      </c>
      <c r="M642" s="631">
        <f>VLOOKUP(J642,Preços!$C$7:$F$498,4,FALSE)</f>
        <v>30</v>
      </c>
      <c r="N642" s="646">
        <f>L642*M642</f>
        <v>2797.5</v>
      </c>
      <c r="O642" s="767"/>
      <c r="P642" s="632" t="s">
        <v>333</v>
      </c>
      <c r="R642" s="742"/>
      <c r="S642" s="742"/>
    </row>
    <row r="643" spans="1:19" s="761" customFormat="1" ht="22.5" hidden="1" outlineLevel="2" x14ac:dyDescent="0.2">
      <c r="A643" s="762" t="e">
        <f ca="1">IF($H643="UNIDADE CONSTRUTIVA",OFFSET(A643,-1,0)+1,LARGE(A$3:A642,1))</f>
        <v>#NUM!</v>
      </c>
      <c r="B643" s="762">
        <f t="shared" ca="1" si="118"/>
        <v>10</v>
      </c>
      <c r="C643" s="762">
        <f t="shared" ca="1" si="119"/>
        <v>4</v>
      </c>
      <c r="D643" s="763">
        <f t="shared" ca="1" si="120"/>
        <v>3</v>
      </c>
      <c r="E643" s="763">
        <f t="shared" ca="1" si="121"/>
        <v>2</v>
      </c>
      <c r="G643" s="628"/>
      <c r="H643" s="766" t="s">
        <v>368</v>
      </c>
      <c r="I643" s="629" t="str">
        <f t="shared" ca="1" si="122"/>
        <v>10.004.003.002</v>
      </c>
      <c r="J643" s="654" t="s">
        <v>379</v>
      </c>
      <c r="K643" s="630" t="s">
        <v>2</v>
      </c>
      <c r="L643" s="631">
        <f>L640</f>
        <v>1</v>
      </c>
      <c r="M643" s="631">
        <f>VLOOKUP(J643,Preços!$C$7:$F$498,4,FALSE)</f>
        <v>80</v>
      </c>
      <c r="N643" s="646">
        <f>L643*M643</f>
        <v>80</v>
      </c>
      <c r="O643" s="767"/>
      <c r="P643" s="632" t="s">
        <v>333</v>
      </c>
      <c r="R643" s="742"/>
      <c r="S643" s="742"/>
    </row>
    <row r="644" spans="1:19" s="761" customFormat="1" hidden="1" outlineLevel="1" collapsed="1" x14ac:dyDescent="0.2">
      <c r="A644" s="762" t="e">
        <f ca="1">IF($H644="UNIDADE CONSTRUTIVA",OFFSET(A644,-1,0)+1,LARGE(A$3:A528,1))</f>
        <v>#NUM!</v>
      </c>
      <c r="B644" s="762">
        <f t="shared" ca="1" si="118"/>
        <v>10</v>
      </c>
      <c r="C644" s="762">
        <f t="shared" ca="1" si="119"/>
        <v>5</v>
      </c>
      <c r="D644" s="763">
        <f t="shared" ca="1" si="120"/>
        <v>0</v>
      </c>
      <c r="E644" s="763">
        <f t="shared" ca="1" si="121"/>
        <v>2</v>
      </c>
      <c r="G644" s="628"/>
      <c r="H644" s="766" t="s">
        <v>366</v>
      </c>
      <c r="I644" s="629" t="str">
        <f t="shared" ca="1" si="122"/>
        <v>10.005</v>
      </c>
      <c r="J644" s="654" t="s">
        <v>1461</v>
      </c>
      <c r="K644" s="630"/>
      <c r="L644" s="631"/>
      <c r="M644" s="631"/>
      <c r="N644" s="646">
        <f>SUM(N645,N648,N651,N654,N656,N658)</f>
        <v>101453.5466</v>
      </c>
      <c r="O644" s="767"/>
      <c r="P644" s="632"/>
      <c r="R644" s="742"/>
      <c r="S644" s="742"/>
    </row>
    <row r="645" spans="1:19" s="761" customFormat="1" hidden="1" outlineLevel="2" x14ac:dyDescent="0.2">
      <c r="A645" s="762" t="e">
        <f ca="1">IF($H645="UNIDADE CONSTRUTIVA",OFFSET(A645,-1,0)+1,LARGE(A$3:A644,1))</f>
        <v>#NUM!</v>
      </c>
      <c r="B645" s="762">
        <f t="shared" ca="1" si="118"/>
        <v>10</v>
      </c>
      <c r="C645" s="762">
        <f t="shared" ca="1" si="119"/>
        <v>5</v>
      </c>
      <c r="D645" s="763">
        <f t="shared" ca="1" si="120"/>
        <v>1</v>
      </c>
      <c r="E645" s="763">
        <f t="shared" ca="1" si="121"/>
        <v>0</v>
      </c>
      <c r="G645" s="628"/>
      <c r="H645" s="766" t="s">
        <v>367</v>
      </c>
      <c r="I645" s="629" t="str">
        <f t="shared" ca="1" si="122"/>
        <v>10.005.001</v>
      </c>
      <c r="J645" s="654" t="s">
        <v>212</v>
      </c>
      <c r="K645" s="630"/>
      <c r="L645" s="631"/>
      <c r="M645" s="631"/>
      <c r="N645" s="646">
        <f>SUM(N646:N647)</f>
        <v>10764.001099999999</v>
      </c>
      <c r="O645" s="767"/>
      <c r="P645" s="632"/>
      <c r="R645" s="742"/>
      <c r="S645" s="742"/>
    </row>
    <row r="646" spans="1:19" s="761" customFormat="1" ht="22.5" hidden="1" outlineLevel="3" x14ac:dyDescent="0.2">
      <c r="A646" s="762" t="e">
        <f ca="1">IF($H646="UNIDADE CONSTRUTIVA",OFFSET(A646,-1,0)+1,LARGE(A$3:A645,1))</f>
        <v>#NUM!</v>
      </c>
      <c r="B646" s="762">
        <f t="shared" ca="1" si="118"/>
        <v>10</v>
      </c>
      <c r="C646" s="762">
        <f t="shared" ca="1" si="119"/>
        <v>5</v>
      </c>
      <c r="D646" s="763">
        <f t="shared" ca="1" si="120"/>
        <v>1</v>
      </c>
      <c r="E646" s="763">
        <f t="shared" ca="1" si="121"/>
        <v>1</v>
      </c>
      <c r="G646" s="628"/>
      <c r="H646" s="766" t="s">
        <v>368</v>
      </c>
      <c r="I646" s="629" t="str">
        <f t="shared" ca="1" si="122"/>
        <v>10.005.001.001</v>
      </c>
      <c r="J646" s="654" t="s">
        <v>213</v>
      </c>
      <c r="K646" s="630" t="s">
        <v>1</v>
      </c>
      <c r="L646" s="631">
        <f>IMPERM.!D40</f>
        <v>6.74</v>
      </c>
      <c r="M646" s="631">
        <f>VLOOKUP(J646,Preços!$C$7:$F$498,4,FALSE)</f>
        <v>6.415</v>
      </c>
      <c r="N646" s="646">
        <f>L646*M646</f>
        <v>43.237099999999998</v>
      </c>
      <c r="O646" s="767"/>
      <c r="P646" s="632" t="s">
        <v>333</v>
      </c>
      <c r="R646" s="742"/>
      <c r="S646" s="742"/>
    </row>
    <row r="647" spans="1:19" s="761" customFormat="1" ht="22.5" hidden="1" outlineLevel="3" x14ac:dyDescent="0.2">
      <c r="A647" s="762" t="e">
        <f ca="1">IF($H647="UNIDADE CONSTRUTIVA",OFFSET(A647,-1,0)+1,LARGE(A$3:A646,1))</f>
        <v>#NUM!</v>
      </c>
      <c r="B647" s="762">
        <f t="shared" ca="1" si="118"/>
        <v>10</v>
      </c>
      <c r="C647" s="762">
        <f t="shared" ca="1" si="119"/>
        <v>5</v>
      </c>
      <c r="D647" s="763">
        <f t="shared" ca="1" si="120"/>
        <v>1</v>
      </c>
      <c r="E647" s="763">
        <f t="shared" ca="1" si="121"/>
        <v>2</v>
      </c>
      <c r="G647" s="628"/>
      <c r="H647" s="766" t="s">
        <v>368</v>
      </c>
      <c r="I647" s="629" t="str">
        <f t="shared" ca="1" si="122"/>
        <v>10.005.001.002</v>
      </c>
      <c r="J647" s="654" t="s">
        <v>1948</v>
      </c>
      <c r="K647" s="630" t="s">
        <v>1</v>
      </c>
      <c r="L647" s="631">
        <f>IMPERM.!D41</f>
        <v>370.32</v>
      </c>
      <c r="M647" s="631">
        <f>VLOOKUP(J647,Preços!$C$7:$F$498,4,FALSE)</f>
        <v>28.95</v>
      </c>
      <c r="N647" s="646">
        <f>L647*M647</f>
        <v>10720.763999999999</v>
      </c>
      <c r="O647" s="767"/>
      <c r="P647" s="632" t="s">
        <v>333</v>
      </c>
      <c r="R647" s="742"/>
      <c r="S647" s="742"/>
    </row>
    <row r="648" spans="1:19" s="761" customFormat="1" hidden="1" outlineLevel="2" x14ac:dyDescent="0.2">
      <c r="A648" s="762" t="e">
        <f ca="1">IF($H648="UNIDADE CONSTRUTIVA",OFFSET(A648,-1,0)+1,LARGE(A$3:A647,1))</f>
        <v>#NUM!</v>
      </c>
      <c r="B648" s="762">
        <f t="shared" ca="1" si="118"/>
        <v>10</v>
      </c>
      <c r="C648" s="762">
        <f t="shared" ca="1" si="119"/>
        <v>5</v>
      </c>
      <c r="D648" s="763">
        <f t="shared" ca="1" si="120"/>
        <v>2</v>
      </c>
      <c r="E648" s="763">
        <f t="shared" ca="1" si="121"/>
        <v>0</v>
      </c>
      <c r="G648" s="628"/>
      <c r="H648" s="766" t="s">
        <v>367</v>
      </c>
      <c r="I648" s="629" t="str">
        <f t="shared" ca="1" si="122"/>
        <v>10.005.002</v>
      </c>
      <c r="J648" s="654" t="s">
        <v>779</v>
      </c>
      <c r="K648" s="630"/>
      <c r="L648" s="631"/>
      <c r="M648" s="631"/>
      <c r="N648" s="646">
        <f>SUM(N649:N650)</f>
        <v>63769.787000000004</v>
      </c>
      <c r="O648" s="767"/>
      <c r="P648" s="632"/>
      <c r="R648" s="742"/>
      <c r="S648" s="742"/>
    </row>
    <row r="649" spans="1:19" s="761" customFormat="1" ht="33.75" hidden="1" outlineLevel="3" x14ac:dyDescent="0.2">
      <c r="A649" s="762" t="e">
        <f ca="1">IF($H649="UNIDADE CONSTRUTIVA",OFFSET(A649,-1,0)+1,LARGE(A$3:A647,1))</f>
        <v>#NUM!</v>
      </c>
      <c r="B649" s="762">
        <f t="shared" ca="1" si="118"/>
        <v>10</v>
      </c>
      <c r="C649" s="762">
        <f t="shared" ca="1" si="119"/>
        <v>5</v>
      </c>
      <c r="D649" s="763">
        <f t="shared" ca="1" si="120"/>
        <v>2</v>
      </c>
      <c r="E649" s="763">
        <f t="shared" ca="1" si="121"/>
        <v>1</v>
      </c>
      <c r="G649" s="628"/>
      <c r="H649" s="766" t="s">
        <v>368</v>
      </c>
      <c r="I649" s="629" t="str">
        <f t="shared" ca="1" si="122"/>
        <v>10.005.002.001</v>
      </c>
      <c r="J649" s="654" t="s">
        <v>1628</v>
      </c>
      <c r="K649" s="630" t="s">
        <v>1</v>
      </c>
      <c r="L649" s="631">
        <f>IMPERM.!D51+IMPERM.!D52</f>
        <v>307.17</v>
      </c>
      <c r="M649" s="631">
        <f>VLOOKUP(J649,Preços!$C$7:$F$498,4,FALSE)</f>
        <v>140</v>
      </c>
      <c r="N649" s="646">
        <f>L649*M649</f>
        <v>43003.8</v>
      </c>
      <c r="O649" s="854"/>
      <c r="P649" s="632" t="s">
        <v>333</v>
      </c>
      <c r="R649" s="742"/>
      <c r="S649" s="742"/>
    </row>
    <row r="650" spans="1:19" s="761" customFormat="1" ht="22.5" hidden="1" outlineLevel="3" x14ac:dyDescent="0.2">
      <c r="A650" s="762" t="e">
        <f ca="1">IF($H650="UNIDADE CONSTRUTIVA",OFFSET(A650,-1,0)+1,LARGE(A$3:A648,1))</f>
        <v>#NUM!</v>
      </c>
      <c r="B650" s="762">
        <f t="shared" ca="1" si="118"/>
        <v>10</v>
      </c>
      <c r="C650" s="762">
        <f t="shared" ca="1" si="119"/>
        <v>5</v>
      </c>
      <c r="D650" s="763">
        <f t="shared" ca="1" si="120"/>
        <v>2</v>
      </c>
      <c r="E650" s="763">
        <f t="shared" ca="1" si="121"/>
        <v>2</v>
      </c>
      <c r="G650" s="628"/>
      <c r="H650" s="766" t="s">
        <v>368</v>
      </c>
      <c r="I650" s="629" t="str">
        <f t="shared" ca="1" si="122"/>
        <v>10.005.002.002</v>
      </c>
      <c r="J650" s="654" t="s">
        <v>1465</v>
      </c>
      <c r="K650" s="630" t="s">
        <v>1</v>
      </c>
      <c r="L650" s="631">
        <f>IMPERM.!D47+IMPERM.!D48+IMPERM.!D49+IMPERM.!D50</f>
        <v>242.65</v>
      </c>
      <c r="M650" s="631">
        <f>VLOOKUP(J650,Preços!$C$7:$F$498,4,FALSE)</f>
        <v>85.58</v>
      </c>
      <c r="N650" s="646">
        <f>L650*M650</f>
        <v>20765.987000000001</v>
      </c>
      <c r="O650" s="767"/>
      <c r="P650" s="632" t="s">
        <v>333</v>
      </c>
      <c r="R650" s="742"/>
      <c r="S650" s="742"/>
    </row>
    <row r="651" spans="1:19" s="761" customFormat="1" hidden="1" outlineLevel="2" x14ac:dyDescent="0.2">
      <c r="A651" s="762" t="e">
        <f ca="1">IF($H651="UNIDADE CONSTRUTIVA",OFFSET(A651,-1,0)+1,LARGE(A$3:A650,1))</f>
        <v>#NUM!</v>
      </c>
      <c r="B651" s="762">
        <f ca="1">IF(H651="UNIDADE CONSTRUTIVA",0,IF(H651="CÉLULA CONSTRUTIVA",OFFSET(B651,-1,0)+1,OFFSET(B651,-1,0)))</f>
        <v>10</v>
      </c>
      <c r="C651" s="762">
        <f ca="1">IF(H651="CÉLULA CONSTRUTIVA",0,IF(H651="ETAPA",OFFSET(C651,-1,0)+1,OFFSET(C651,-1,0)))</f>
        <v>5</v>
      </c>
      <c r="D651" s="763">
        <f ca="1">IF(H651="ETAPA",0,IF(H651="SUBETAPA",OFFSET(D651,-1,0)+1,OFFSET(D651,-1,0)))</f>
        <v>3</v>
      </c>
      <c r="E651" s="763">
        <f ca="1">IF(H651="Subetapa",0,IF(H651="serviço",OFFSET(E651,-1,0)+1,OFFSET(E651,-1,0)))</f>
        <v>0</v>
      </c>
      <c r="G651" s="628"/>
      <c r="H651" s="766" t="s">
        <v>367</v>
      </c>
      <c r="I651" s="629" t="str">
        <f ca="1">IF(H651="Unidade Construtiva",TEXT(A651,"00"),IF(H651="Célula Construtiva",TEXT(B651,"00"),IF(H651="Etapa",CONCATENATE(TEXT(B651,"00"),".",TEXT(C651,"000")),IF(H651="Subetapa",CONCATENATE(TEXT(B651,"00"),".",TEXT(C651,"000"),".",TEXT(D651,"000")),IF(H651="Serviço",CONCATENATE(TEXT(B651,"00"),".",TEXT(C651,"000"),".",TEXT(D651,"000"),".",TEXT(E651,"000")),"")))))</f>
        <v>10.005.003</v>
      </c>
      <c r="J651" s="654" t="s">
        <v>1456</v>
      </c>
      <c r="K651" s="630"/>
      <c r="L651" s="631"/>
      <c r="M651" s="631"/>
      <c r="N651" s="646">
        <f>SUM(N652:N653)</f>
        <v>542.71199999999999</v>
      </c>
      <c r="O651" s="767"/>
      <c r="P651" s="632"/>
      <c r="R651" s="742"/>
      <c r="S651" s="742"/>
    </row>
    <row r="652" spans="1:19" s="761" customFormat="1" ht="22.5" hidden="1" outlineLevel="3" x14ac:dyDescent="0.2">
      <c r="A652" s="762" t="e">
        <f ca="1">IF($H652="UNIDADE CONSTRUTIVA",OFFSET(A652,-1,0)+1,LARGE(A$3:A649,1))</f>
        <v>#NUM!</v>
      </c>
      <c r="B652" s="762">
        <f ca="1">IF(H652="UNIDADE CONSTRUTIVA",0,IF(H652="CÉLULA CONSTRUTIVA",OFFSET(B652,-1,0)+1,OFFSET(B652,-1,0)))</f>
        <v>10</v>
      </c>
      <c r="C652" s="762">
        <f ca="1">IF(H652="CÉLULA CONSTRUTIVA",0,IF(H652="ETAPA",OFFSET(C652,-1,0)+1,OFFSET(C652,-1,0)))</f>
        <v>5</v>
      </c>
      <c r="D652" s="763">
        <f ca="1">IF(H652="ETAPA",0,IF(H652="SUBETAPA",OFFSET(D652,-1,0)+1,OFFSET(D652,-1,0)))</f>
        <v>3</v>
      </c>
      <c r="E652" s="763">
        <f ca="1">IF(H652="Subetapa",0,IF(H652="serviço",OFFSET(E652,-1,0)+1,OFFSET(E652,-1,0)))</f>
        <v>1</v>
      </c>
      <c r="G652" s="628"/>
      <c r="H652" s="766" t="s">
        <v>368</v>
      </c>
      <c r="I652" s="629" t="str">
        <f ca="1">IF(H652="Unidade Construtiva",TEXT(A652,"00"),IF(H652="Célula Construtiva",TEXT(B652,"00"),IF(H652="Etapa",CONCATENATE(TEXT(B652,"00"),".",TEXT(C652,"000")),IF(H652="Subetapa",CONCATENATE(TEXT(B652,"00"),".",TEXT(C652,"000"),".",TEXT(D652,"000")),IF(H652="Serviço",CONCATENATE(TEXT(B652,"00"),".",TEXT(C652,"000"),".",TEXT(D652,"000"),".",TEXT(E652,"000")),"")))))</f>
        <v>10.005.003.001</v>
      </c>
      <c r="J652" s="654" t="s">
        <v>985</v>
      </c>
      <c r="K652" s="630" t="s">
        <v>1</v>
      </c>
      <c r="L652" s="631">
        <f>IMPERM.!D43+IMPERM.!D44</f>
        <v>22.32</v>
      </c>
      <c r="M652" s="631">
        <f>VLOOKUP(J652,Preços!$C$7:$F$498,4,FALSE)</f>
        <v>24.1</v>
      </c>
      <c r="N652" s="646">
        <f>L652*M652</f>
        <v>537.91200000000003</v>
      </c>
      <c r="O652" s="767"/>
      <c r="P652" s="632" t="s">
        <v>333</v>
      </c>
      <c r="R652" s="742"/>
      <c r="S652" s="742"/>
    </row>
    <row r="653" spans="1:19" s="761" customFormat="1" ht="22.5" hidden="1" outlineLevel="3" x14ac:dyDescent="0.2">
      <c r="A653" s="762" t="e">
        <f ca="1">IF($H653="UNIDADE CONSTRUTIVA",OFFSET(A653,-1,0)+1,LARGE(A$3:A650,1))</f>
        <v>#NUM!</v>
      </c>
      <c r="B653" s="762">
        <f ca="1">IF(H653="UNIDADE CONSTRUTIVA",0,IF(H653="CÉLULA CONSTRUTIVA",OFFSET(B653,-1,0)+1,OFFSET(B653,-1,0)))</f>
        <v>10</v>
      </c>
      <c r="C653" s="762">
        <f ca="1">IF(H653="CÉLULA CONSTRUTIVA",0,IF(H653="ETAPA",OFFSET(C653,-1,0)+1,OFFSET(C653,-1,0)))</f>
        <v>5</v>
      </c>
      <c r="D653" s="763">
        <f ca="1">IF(H653="ETAPA",0,IF(H653="SUBETAPA",OFFSET(D653,-1,0)+1,OFFSET(D653,-1,0)))</f>
        <v>3</v>
      </c>
      <c r="E653" s="763">
        <f ca="1">IF(H653="Subetapa",0,IF(H653="serviço",OFFSET(E653,-1,0)+1,OFFSET(E653,-1,0)))</f>
        <v>2</v>
      </c>
      <c r="G653" s="628"/>
      <c r="H653" s="766" t="s">
        <v>368</v>
      </c>
      <c r="I653" s="629" t="str">
        <f ca="1">IF(H653="Unidade Construtiva",TEXT(A653,"00"),IF(H653="Célula Construtiva",TEXT(B653,"00"),IF(H653="Etapa",CONCATENATE(TEXT(B653,"00"),".",TEXT(C653,"000")),IF(H653="Subetapa",CONCATENATE(TEXT(B653,"00"),".",TEXT(C653,"000"),".",TEXT(D653,"000")),IF(H653="Serviço",CONCATENATE(TEXT(B653,"00"),".",TEXT(C653,"000"),".",TEXT(D653,"000"),".",TEXT(E653,"000")),"")))))</f>
        <v>10.005.003.002</v>
      </c>
      <c r="J653" s="654" t="s">
        <v>986</v>
      </c>
      <c r="K653" s="630" t="s">
        <v>1</v>
      </c>
      <c r="L653" s="631">
        <f>IMPERM.!D45+IMPERM.!D46</f>
        <v>0.30000000000000004</v>
      </c>
      <c r="M653" s="631">
        <f>VLOOKUP(J653,Preços!$C$7:$F$498,4,FALSE)</f>
        <v>16</v>
      </c>
      <c r="N653" s="646">
        <f>L653*M653</f>
        <v>4.8000000000000007</v>
      </c>
      <c r="O653" s="767"/>
      <c r="P653" s="632" t="s">
        <v>333</v>
      </c>
      <c r="R653" s="742"/>
      <c r="S653" s="742"/>
    </row>
    <row r="654" spans="1:19" s="761" customFormat="1" hidden="1" outlineLevel="2" x14ac:dyDescent="0.2">
      <c r="A654" s="762" t="e">
        <f ca="1">IF($H654="UNIDADE CONSTRUTIVA",OFFSET(A654,-1,0)+1,LARGE(A$3:A653,1))</f>
        <v>#NUM!</v>
      </c>
      <c r="B654" s="762">
        <f ca="1">IF(H654="UNIDADE CONSTRUTIVA",0,IF(H654="CÉLULA CONSTRUTIVA",OFFSET(B654,-1,0)+1,OFFSET(B654,-1,0)))</f>
        <v>10</v>
      </c>
      <c r="C654" s="762">
        <f ca="1">IF(H654="CÉLULA CONSTRUTIVA",0,IF(H654="ETAPA",OFFSET(C654,-1,0)+1,OFFSET(C654,-1,0)))</f>
        <v>5</v>
      </c>
      <c r="D654" s="763">
        <f ca="1">IF(H654="ETAPA",0,IF(H654="SUBETAPA",OFFSET(D654,-1,0)+1,OFFSET(D654,-1,0)))</f>
        <v>4</v>
      </c>
      <c r="E654" s="763">
        <f ca="1">IF(H654="Subetapa",0,IF(H654="serviço",OFFSET(E654,-1,0)+1,OFFSET(E654,-1,0)))</f>
        <v>0</v>
      </c>
      <c r="G654" s="628"/>
      <c r="H654" s="766" t="s">
        <v>367</v>
      </c>
      <c r="I654" s="629" t="str">
        <f ca="1">IF(H654="Unidade Construtiva",TEXT(A654,"00"),IF(H654="Célula Construtiva",TEXT(B654,"00"),IF(H654="Etapa",CONCATENATE(TEXT(B654,"00"),".",TEXT(C654,"000")),IF(H654="Subetapa",CONCATENATE(TEXT(B654,"00"),".",TEXT(C654,"000"),".",TEXT(D654,"000")),IF(H654="Serviço",CONCATENATE(TEXT(B654,"00"),".",TEXT(C654,"000"),".",TEXT(D654,"000"),".",TEXT(E654,"000")),"")))))</f>
        <v>10.005.004</v>
      </c>
      <c r="J654" s="654" t="s">
        <v>1466</v>
      </c>
      <c r="K654" s="630"/>
      <c r="L654" s="631"/>
      <c r="M654" s="631"/>
      <c r="N654" s="646">
        <f>SUM(N655)</f>
        <v>116.27820000000001</v>
      </c>
      <c r="O654" s="767"/>
      <c r="P654" s="632"/>
      <c r="R654" s="742"/>
      <c r="S654" s="742"/>
    </row>
    <row r="655" spans="1:19" s="761" customFormat="1" ht="22.5" hidden="1" outlineLevel="3" x14ac:dyDescent="0.2">
      <c r="A655" s="762" t="e">
        <f ca="1">IF($H655="UNIDADE CONSTRUTIVA",OFFSET(A655,-1,0)+1,LARGE(A$3:A652,1))</f>
        <v>#NUM!</v>
      </c>
      <c r="B655" s="762">
        <f ca="1">IF(H655="UNIDADE CONSTRUTIVA",0,IF(H655="CÉLULA CONSTRUTIVA",OFFSET(B655,-1,0)+1,OFFSET(B655,-1,0)))</f>
        <v>10</v>
      </c>
      <c r="C655" s="762">
        <f ca="1">IF(H655="CÉLULA CONSTRUTIVA",0,IF(H655="ETAPA",OFFSET(C655,-1,0)+1,OFFSET(C655,-1,0)))</f>
        <v>5</v>
      </c>
      <c r="D655" s="763">
        <f ca="1">IF(H655="ETAPA",0,IF(H655="SUBETAPA",OFFSET(D655,-1,0)+1,OFFSET(D655,-1,0)))</f>
        <v>4</v>
      </c>
      <c r="E655" s="763">
        <f ca="1">IF(H655="Subetapa",0,IF(H655="serviço",OFFSET(E655,-1,0)+1,OFFSET(E655,-1,0)))</f>
        <v>1</v>
      </c>
      <c r="G655" s="628"/>
      <c r="H655" s="766" t="s">
        <v>368</v>
      </c>
      <c r="I655" s="629" t="str">
        <f ca="1">IF(H655="Unidade Construtiva",TEXT(A655,"00"),IF(H655="Célula Construtiva",TEXT(B655,"00"),IF(H655="Etapa",CONCATENATE(TEXT(B655,"00"),".",TEXT(C655,"000")),IF(H655="Subetapa",CONCATENATE(TEXT(B655,"00"),".",TEXT(C655,"000"),".",TEXT(D655,"000")),IF(H655="Serviço",CONCATENATE(TEXT(B655,"00"),".",TEXT(C655,"000"),".",TEXT(D655,"000"),".",TEXT(E655,"000")),"")))))</f>
        <v>10.005.004.001</v>
      </c>
      <c r="J655" s="654" t="s">
        <v>1467</v>
      </c>
      <c r="K655" s="630" t="s">
        <v>1</v>
      </c>
      <c r="L655" s="631">
        <f>IMPERM.!D53</f>
        <v>52.95</v>
      </c>
      <c r="M655" s="631">
        <f>VLOOKUP(J655,Preços!$C$7:$F$498,4,FALSE)</f>
        <v>2.1960000000000002</v>
      </c>
      <c r="N655" s="646">
        <f>L655*M655</f>
        <v>116.27820000000001</v>
      </c>
      <c r="O655" s="767"/>
      <c r="P655" s="632" t="s">
        <v>333</v>
      </c>
      <c r="R655" s="742"/>
      <c r="S655" s="742"/>
    </row>
    <row r="656" spans="1:19" s="761" customFormat="1" hidden="1" outlineLevel="2" x14ac:dyDescent="0.2">
      <c r="A656" s="762" t="e">
        <f ca="1">IF($H656="UNIDADE CONSTRUTIVA",OFFSET(A656,-1,0)+1,LARGE(A$3:A650,1))</f>
        <v>#NUM!</v>
      </c>
      <c r="B656" s="762">
        <f t="shared" ref="B656:B664" ca="1" si="123">IF(H656="UNIDADE CONSTRUTIVA",0,IF(H656="CÉLULA CONSTRUTIVA",OFFSET(B656,-1,0)+1,OFFSET(B656,-1,0)))</f>
        <v>10</v>
      </c>
      <c r="C656" s="762">
        <f t="shared" ref="C656:C664" ca="1" si="124">IF(H656="CÉLULA CONSTRUTIVA",0,IF(H656="ETAPA",OFFSET(C656,-1,0)+1,OFFSET(C656,-1,0)))</f>
        <v>5</v>
      </c>
      <c r="D656" s="763">
        <f t="shared" ref="D656:D664" ca="1" si="125">IF(H656="ETAPA",0,IF(H656="SUBETAPA",OFFSET(D656,-1,0)+1,OFFSET(D656,-1,0)))</f>
        <v>5</v>
      </c>
      <c r="E656" s="763">
        <f t="shared" ref="E656:E664" ca="1" si="126">IF(H656="Subetapa",0,IF(H656="serviço",OFFSET(E656,-1,0)+1,OFFSET(E656,-1,0)))</f>
        <v>0</v>
      </c>
      <c r="G656" s="628"/>
      <c r="H656" s="766" t="s">
        <v>367</v>
      </c>
      <c r="I656" s="629" t="str">
        <f t="shared" ref="I656:I664" ca="1" si="127">IF(H656="Unidade Construtiva",TEXT(A656,"00"),IF(H656="Célula Construtiva",TEXT(B656,"00"),IF(H656="Etapa",CONCATENATE(TEXT(B656,"00"),".",TEXT(C656,"000")),IF(H656="Subetapa",CONCATENATE(TEXT(B656,"00"),".",TEXT(C656,"000"),".",TEXT(D656,"000")),IF(H656="Serviço",CONCATENATE(TEXT(B656,"00"),".",TEXT(C656,"000"),".",TEXT(D656,"000"),".",TEXT(E656,"000")),"")))))</f>
        <v>10.005.005</v>
      </c>
      <c r="J656" s="654" t="s">
        <v>780</v>
      </c>
      <c r="K656" s="630"/>
      <c r="L656" s="631"/>
      <c r="M656" s="631"/>
      <c r="N656" s="646">
        <f>SUM(N657)</f>
        <v>135.29330000000002</v>
      </c>
      <c r="O656" s="767"/>
      <c r="P656" s="632"/>
      <c r="R656" s="742"/>
      <c r="S656" s="742"/>
    </row>
    <row r="657" spans="1:19" s="761" customFormat="1" ht="22.5" hidden="1" outlineLevel="3" x14ac:dyDescent="0.2">
      <c r="A657" s="762" t="e">
        <f ca="1">IF($H657="UNIDADE CONSTRUTIVA",OFFSET(A657,-1,0)+1,LARGE(A$3:A656,1))</f>
        <v>#NUM!</v>
      </c>
      <c r="B657" s="762">
        <f t="shared" ca="1" si="123"/>
        <v>10</v>
      </c>
      <c r="C657" s="762">
        <f t="shared" ca="1" si="124"/>
        <v>5</v>
      </c>
      <c r="D657" s="763">
        <f t="shared" ca="1" si="125"/>
        <v>5</v>
      </c>
      <c r="E657" s="763">
        <f t="shared" ca="1" si="126"/>
        <v>1</v>
      </c>
      <c r="G657" s="628"/>
      <c r="H657" s="766" t="s">
        <v>368</v>
      </c>
      <c r="I657" s="629" t="str">
        <f t="shared" ca="1" si="127"/>
        <v>10.005.005.001</v>
      </c>
      <c r="J657" s="654" t="s">
        <v>378</v>
      </c>
      <c r="K657" s="630" t="s">
        <v>2</v>
      </c>
      <c r="L657" s="631">
        <v>19</v>
      </c>
      <c r="M657" s="631">
        <f>VLOOKUP(J657,Preços!$C$7:$F$498,4,FALSE)</f>
        <v>7.1207000000000003</v>
      </c>
      <c r="N657" s="646">
        <f>L657*M657</f>
        <v>135.29330000000002</v>
      </c>
      <c r="O657" s="767"/>
      <c r="P657" s="632" t="s">
        <v>333</v>
      </c>
      <c r="R657" s="742"/>
      <c r="S657" s="742"/>
    </row>
    <row r="658" spans="1:19" s="761" customFormat="1" hidden="1" outlineLevel="2" collapsed="1" x14ac:dyDescent="0.2">
      <c r="A658" s="762" t="e">
        <f ca="1">IF($H658="UNIDADE CONSTRUTIVA",OFFSET(A658,-1,0)+1,LARGE(A$3:A657,1))</f>
        <v>#NUM!</v>
      </c>
      <c r="B658" s="762">
        <f t="shared" ca="1" si="123"/>
        <v>10</v>
      </c>
      <c r="C658" s="762">
        <f t="shared" ca="1" si="124"/>
        <v>5</v>
      </c>
      <c r="D658" s="763">
        <f t="shared" ca="1" si="125"/>
        <v>6</v>
      </c>
      <c r="E658" s="763">
        <f t="shared" ca="1" si="126"/>
        <v>0</v>
      </c>
      <c r="G658" s="628"/>
      <c r="H658" s="766" t="s">
        <v>367</v>
      </c>
      <c r="I658" s="629" t="str">
        <f t="shared" ca="1" si="127"/>
        <v>10.005.006</v>
      </c>
      <c r="J658" s="654" t="s">
        <v>186</v>
      </c>
      <c r="K658" s="630"/>
      <c r="L658" s="631"/>
      <c r="M658" s="631"/>
      <c r="N658" s="646">
        <f>SUM(N659:N664)</f>
        <v>26125.474999999999</v>
      </c>
      <c r="O658" s="767"/>
      <c r="P658" s="632"/>
      <c r="R658" s="742"/>
      <c r="S658" s="742"/>
    </row>
    <row r="659" spans="1:19" s="761" customFormat="1" ht="22.5" hidden="1" outlineLevel="2" x14ac:dyDescent="0.2">
      <c r="A659" s="762" t="e">
        <f ca="1">IF($H659="UNIDADE CONSTRUTIVA",OFFSET(A659,-1,0)+1,LARGE(A$3:A658,1))</f>
        <v>#NUM!</v>
      </c>
      <c r="B659" s="762">
        <f t="shared" ca="1" si="123"/>
        <v>10</v>
      </c>
      <c r="C659" s="762">
        <f t="shared" ca="1" si="124"/>
        <v>5</v>
      </c>
      <c r="D659" s="763">
        <f t="shared" ca="1" si="125"/>
        <v>6</v>
      </c>
      <c r="E659" s="763">
        <f t="shared" ca="1" si="126"/>
        <v>1</v>
      </c>
      <c r="G659" s="628"/>
      <c r="H659" s="766" t="s">
        <v>368</v>
      </c>
      <c r="I659" s="629" t="str">
        <f t="shared" ca="1" si="127"/>
        <v>10.005.006.001</v>
      </c>
      <c r="J659" s="654" t="s">
        <v>988</v>
      </c>
      <c r="K659" s="630" t="s">
        <v>1</v>
      </c>
      <c r="L659" s="631">
        <f>L646</f>
        <v>6.74</v>
      </c>
      <c r="M659" s="631">
        <f>VLOOKUP(J659,Preços!$C$7:$F$498,4,FALSE)</f>
        <v>18</v>
      </c>
      <c r="N659" s="646">
        <f t="shared" ref="N659:N664" si="128">L659*M659</f>
        <v>121.32000000000001</v>
      </c>
      <c r="O659" s="767"/>
      <c r="P659" s="632" t="s">
        <v>333</v>
      </c>
      <c r="R659" s="742"/>
      <c r="S659" s="742"/>
    </row>
    <row r="660" spans="1:19" s="761" customFormat="1" ht="22.5" hidden="1" outlineLevel="2" x14ac:dyDescent="0.2">
      <c r="A660" s="762" t="e">
        <f ca="1">IF($H660="UNIDADE CONSTRUTIVA",OFFSET(A660,-1,0)+1,LARGE(A$3:A659,1))</f>
        <v>#NUM!</v>
      </c>
      <c r="B660" s="762">
        <f t="shared" ca="1" si="123"/>
        <v>10</v>
      </c>
      <c r="C660" s="762">
        <f t="shared" ca="1" si="124"/>
        <v>5</v>
      </c>
      <c r="D660" s="763">
        <f t="shared" ca="1" si="125"/>
        <v>6</v>
      </c>
      <c r="E660" s="763">
        <f t="shared" ca="1" si="126"/>
        <v>2</v>
      </c>
      <c r="G660" s="628"/>
      <c r="H660" s="766" t="s">
        <v>368</v>
      </c>
      <c r="I660" s="629" t="str">
        <f t="shared" ca="1" si="127"/>
        <v>10.005.006.002</v>
      </c>
      <c r="J660" s="654" t="s">
        <v>990</v>
      </c>
      <c r="K660" s="630" t="s">
        <v>1</v>
      </c>
      <c r="L660" s="631">
        <f>L647</f>
        <v>370.32</v>
      </c>
      <c r="M660" s="631">
        <f>VLOOKUP(J660,Preços!$C$7:$F$498,4,FALSE)</f>
        <v>60</v>
      </c>
      <c r="N660" s="646">
        <f t="shared" si="128"/>
        <v>22219.200000000001</v>
      </c>
      <c r="O660" s="767"/>
      <c r="P660" s="632" t="s">
        <v>333</v>
      </c>
      <c r="R660" s="742"/>
      <c r="S660" s="742"/>
    </row>
    <row r="661" spans="1:19" s="761" customFormat="1" ht="22.5" hidden="1" outlineLevel="2" x14ac:dyDescent="0.2">
      <c r="A661" s="762" t="e">
        <f ca="1">IF($H661="UNIDADE CONSTRUTIVA",OFFSET(A661,-1,0)+1,LARGE(A$3:A660,1))</f>
        <v>#NUM!</v>
      </c>
      <c r="B661" s="762">
        <f t="shared" ca="1" si="123"/>
        <v>10</v>
      </c>
      <c r="C661" s="762">
        <f t="shared" ca="1" si="124"/>
        <v>5</v>
      </c>
      <c r="D661" s="763">
        <f t="shared" ca="1" si="125"/>
        <v>6</v>
      </c>
      <c r="E661" s="763">
        <f t="shared" ca="1" si="126"/>
        <v>3</v>
      </c>
      <c r="G661" s="628"/>
      <c r="H661" s="766" t="s">
        <v>368</v>
      </c>
      <c r="I661" s="629" t="str">
        <f t="shared" ca="1" si="127"/>
        <v>10.005.006.003</v>
      </c>
      <c r="J661" s="654" t="s">
        <v>989</v>
      </c>
      <c r="K661" s="630" t="s">
        <v>1</v>
      </c>
      <c r="L661" s="631">
        <f>L652</f>
        <v>22.32</v>
      </c>
      <c r="M661" s="631">
        <f>VLOOKUP(J661,Preços!$C$7:$F$498,4,FALSE)</f>
        <v>30</v>
      </c>
      <c r="N661" s="646">
        <f t="shared" si="128"/>
        <v>669.6</v>
      </c>
      <c r="O661" s="767"/>
      <c r="P661" s="632" t="s">
        <v>333</v>
      </c>
      <c r="R661" s="742"/>
      <c r="S661" s="742"/>
    </row>
    <row r="662" spans="1:19" s="761" customFormat="1" ht="22.5" hidden="1" outlineLevel="2" x14ac:dyDescent="0.2">
      <c r="A662" s="762" t="e">
        <f ca="1">IF($H662="UNIDADE CONSTRUTIVA",OFFSET(A662,-1,0)+1,LARGE(A$3:A661,1))</f>
        <v>#NUM!</v>
      </c>
      <c r="B662" s="762">
        <f t="shared" ca="1" si="123"/>
        <v>10</v>
      </c>
      <c r="C662" s="762">
        <f t="shared" ca="1" si="124"/>
        <v>5</v>
      </c>
      <c r="D662" s="763">
        <f t="shared" ca="1" si="125"/>
        <v>6</v>
      </c>
      <c r="E662" s="763">
        <f t="shared" ca="1" si="126"/>
        <v>4</v>
      </c>
      <c r="G662" s="628"/>
      <c r="H662" s="766" t="s">
        <v>368</v>
      </c>
      <c r="I662" s="629" t="str">
        <f t="shared" ca="1" si="127"/>
        <v>10.005.006.004</v>
      </c>
      <c r="J662" s="654" t="s">
        <v>987</v>
      </c>
      <c r="K662" s="630" t="s">
        <v>1</v>
      </c>
      <c r="L662" s="631">
        <f>L653</f>
        <v>0.30000000000000004</v>
      </c>
      <c r="M662" s="631">
        <f>VLOOKUP(J662,Preços!$C$7:$F$498,4,FALSE)</f>
        <v>22.85</v>
      </c>
      <c r="N662" s="646">
        <f t="shared" si="128"/>
        <v>6.8550000000000013</v>
      </c>
      <c r="O662" s="767"/>
      <c r="P662" s="632" t="s">
        <v>333</v>
      </c>
      <c r="R662" s="742"/>
      <c r="S662" s="742"/>
    </row>
    <row r="663" spans="1:19" s="761" customFormat="1" ht="22.5" hidden="1" outlineLevel="2" x14ac:dyDescent="0.2">
      <c r="A663" s="762" t="e">
        <f ca="1">IF($H663="UNIDADE CONSTRUTIVA",OFFSET(A663,-1,0)+1,LARGE(A$3:A662,1))</f>
        <v>#NUM!</v>
      </c>
      <c r="B663" s="762">
        <f t="shared" ca="1" si="123"/>
        <v>10</v>
      </c>
      <c r="C663" s="762">
        <f t="shared" ca="1" si="124"/>
        <v>5</v>
      </c>
      <c r="D663" s="763">
        <f t="shared" ca="1" si="125"/>
        <v>6</v>
      </c>
      <c r="E663" s="763">
        <f t="shared" ca="1" si="126"/>
        <v>5</v>
      </c>
      <c r="G663" s="628"/>
      <c r="H663" s="766" t="s">
        <v>368</v>
      </c>
      <c r="I663" s="629" t="str">
        <f t="shared" ca="1" si="127"/>
        <v>10.005.006.005</v>
      </c>
      <c r="J663" s="654" t="s">
        <v>1468</v>
      </c>
      <c r="K663" s="630" t="s">
        <v>1</v>
      </c>
      <c r="L663" s="631">
        <f>L655</f>
        <v>52.95</v>
      </c>
      <c r="M663" s="631">
        <f>VLOOKUP(J663,Preços!$C$7:$F$498,4,FALSE)</f>
        <v>30</v>
      </c>
      <c r="N663" s="646">
        <f t="shared" si="128"/>
        <v>1588.5</v>
      </c>
      <c r="O663" s="767"/>
      <c r="P663" s="632" t="s">
        <v>333</v>
      </c>
      <c r="R663" s="742"/>
      <c r="S663" s="742"/>
    </row>
    <row r="664" spans="1:19" s="761" customFormat="1" ht="22.5" hidden="1" outlineLevel="2" x14ac:dyDescent="0.2">
      <c r="A664" s="762" t="e">
        <f ca="1">IF($H664="UNIDADE CONSTRUTIVA",OFFSET(A664,-1,0)+1,LARGE(A$3:A662,1))</f>
        <v>#NUM!</v>
      </c>
      <c r="B664" s="762">
        <f t="shared" ca="1" si="123"/>
        <v>10</v>
      </c>
      <c r="C664" s="762">
        <f t="shared" ca="1" si="124"/>
        <v>5</v>
      </c>
      <c r="D664" s="763">
        <f t="shared" ca="1" si="125"/>
        <v>6</v>
      </c>
      <c r="E664" s="763">
        <f t="shared" ca="1" si="126"/>
        <v>6</v>
      </c>
      <c r="G664" s="628"/>
      <c r="H664" s="766" t="s">
        <v>368</v>
      </c>
      <c r="I664" s="629" t="str">
        <f t="shared" ca="1" si="127"/>
        <v>10.005.006.006</v>
      </c>
      <c r="J664" s="654" t="s">
        <v>379</v>
      </c>
      <c r="K664" s="630" t="s">
        <v>2</v>
      </c>
      <c r="L664" s="631">
        <f>L657</f>
        <v>19</v>
      </c>
      <c r="M664" s="631">
        <f>VLOOKUP(J664,Preços!$C$7:$F$498,4,FALSE)</f>
        <v>80</v>
      </c>
      <c r="N664" s="646">
        <f t="shared" si="128"/>
        <v>1520</v>
      </c>
      <c r="O664" s="767"/>
      <c r="P664" s="632" t="s">
        <v>333</v>
      </c>
      <c r="R664" s="742"/>
      <c r="S664" s="742"/>
    </row>
    <row r="665" spans="1:19" s="761" customFormat="1" hidden="1" outlineLevel="1" collapsed="1" x14ac:dyDescent="0.2">
      <c r="A665" s="762" t="e">
        <f ca="1">IF($H665="UNIDADE CONSTRUTIVA",OFFSET(A665,-1,0)+1,LARGE(A$3:A597,1))</f>
        <v>#NUM!</v>
      </c>
      <c r="B665" s="762">
        <f t="shared" ref="B665:B672" ca="1" si="129">IF(H665="UNIDADE CONSTRUTIVA",0,IF(H665="CÉLULA CONSTRUTIVA",OFFSET(B665,-1,0)+1,OFFSET(B665,-1,0)))</f>
        <v>10</v>
      </c>
      <c r="C665" s="762">
        <f t="shared" ref="C665:C672" ca="1" si="130">IF(H665="CÉLULA CONSTRUTIVA",0,IF(H665="ETAPA",OFFSET(C665,-1,0)+1,OFFSET(C665,-1,0)))</f>
        <v>6</v>
      </c>
      <c r="D665" s="763">
        <f t="shared" ref="D665:D672" ca="1" si="131">IF(H665="ETAPA",0,IF(H665="SUBETAPA",OFFSET(D665,-1,0)+1,OFFSET(D665,-1,0)))</f>
        <v>0</v>
      </c>
      <c r="E665" s="763">
        <f t="shared" ref="E665:E672" ca="1" si="132">IF(H665="Subetapa",0,IF(H665="serviço",OFFSET(E665,-1,0)+1,OFFSET(E665,-1,0)))</f>
        <v>6</v>
      </c>
      <c r="G665" s="628"/>
      <c r="H665" s="766" t="s">
        <v>366</v>
      </c>
      <c r="I665" s="629" t="str">
        <f t="shared" ref="I665:I672" ca="1" si="133">IF(H665="Unidade Construtiva",TEXT(A665,"00"),IF(H665="Célula Construtiva",TEXT(B665,"00"),IF(H665="Etapa",CONCATENATE(TEXT(B665,"00"),".",TEXT(C665,"000")),IF(H665="Subetapa",CONCATENATE(TEXT(B665,"00"),".",TEXT(C665,"000"),".",TEXT(D665,"000")),IF(H665="Serviço",CONCATENATE(TEXT(B665,"00"),".",TEXT(C665,"000"),".",TEXT(D665,"000"),".",TEXT(E665,"000")),"")))))</f>
        <v>10.006</v>
      </c>
      <c r="J665" s="654" t="s">
        <v>1462</v>
      </c>
      <c r="K665" s="630"/>
      <c r="L665" s="631"/>
      <c r="M665" s="631"/>
      <c r="N665" s="646">
        <f>SUM(N666,N668,N670,N673,N675)</f>
        <v>207181.48200000002</v>
      </c>
      <c r="O665" s="767"/>
      <c r="P665" s="632"/>
      <c r="R665" s="742"/>
      <c r="S665" s="742"/>
    </row>
    <row r="666" spans="1:19" s="761" customFormat="1" hidden="1" outlineLevel="2" x14ac:dyDescent="0.2">
      <c r="A666" s="762" t="e">
        <f ca="1">IF($H666="UNIDADE CONSTRUTIVA",OFFSET(A666,-1,0)+1,LARGE(A$3:A665,1))</f>
        <v>#NUM!</v>
      </c>
      <c r="B666" s="762">
        <f t="shared" ca="1" si="129"/>
        <v>10</v>
      </c>
      <c r="C666" s="762">
        <f t="shared" ca="1" si="130"/>
        <v>6</v>
      </c>
      <c r="D666" s="763">
        <f t="shared" ca="1" si="131"/>
        <v>1</v>
      </c>
      <c r="E666" s="763">
        <f t="shared" ca="1" si="132"/>
        <v>0</v>
      </c>
      <c r="G666" s="628"/>
      <c r="H666" s="766" t="s">
        <v>367</v>
      </c>
      <c r="I666" s="629" t="str">
        <f t="shared" ca="1" si="133"/>
        <v>10.006.001</v>
      </c>
      <c r="J666" s="654" t="s">
        <v>212</v>
      </c>
      <c r="K666" s="630"/>
      <c r="L666" s="631"/>
      <c r="M666" s="631"/>
      <c r="N666" s="646">
        <f>SUM(N667)</f>
        <v>5614.4079999999994</v>
      </c>
      <c r="O666" s="767"/>
      <c r="P666" s="632"/>
      <c r="R666" s="742"/>
      <c r="S666" s="742"/>
    </row>
    <row r="667" spans="1:19" s="761" customFormat="1" ht="22.5" hidden="1" outlineLevel="3" x14ac:dyDescent="0.2">
      <c r="A667" s="762" t="e">
        <f ca="1">IF($H667="UNIDADE CONSTRUTIVA",OFFSET(A667,-1,0)+1,LARGE(A$3:A666,1))</f>
        <v>#NUM!</v>
      </c>
      <c r="B667" s="762">
        <f t="shared" ca="1" si="129"/>
        <v>10</v>
      </c>
      <c r="C667" s="762">
        <f t="shared" ca="1" si="130"/>
        <v>6</v>
      </c>
      <c r="D667" s="763">
        <f t="shared" ca="1" si="131"/>
        <v>1</v>
      </c>
      <c r="E667" s="763">
        <f t="shared" ca="1" si="132"/>
        <v>1</v>
      </c>
      <c r="G667" s="628"/>
      <c r="H667" s="766" t="s">
        <v>368</v>
      </c>
      <c r="I667" s="629" t="str">
        <f t="shared" ca="1" si="133"/>
        <v>10.006.001.001</v>
      </c>
      <c r="J667" s="654" t="s">
        <v>213</v>
      </c>
      <c r="K667" s="630" t="s">
        <v>1</v>
      </c>
      <c r="L667" s="631">
        <f>IMPERM.!D56</f>
        <v>875.19999999999993</v>
      </c>
      <c r="M667" s="631">
        <f>VLOOKUP(J667,Preços!$C$7:$F$498,4,FALSE)</f>
        <v>6.415</v>
      </c>
      <c r="N667" s="646">
        <f>L667*M667</f>
        <v>5614.4079999999994</v>
      </c>
      <c r="O667" s="767"/>
      <c r="P667" s="632" t="s">
        <v>333</v>
      </c>
      <c r="R667" s="742"/>
      <c r="S667" s="742"/>
    </row>
    <row r="668" spans="1:19" s="761" customFormat="1" hidden="1" outlineLevel="2" x14ac:dyDescent="0.2">
      <c r="A668" s="762" t="e">
        <f ca="1">IF($H668="UNIDADE CONSTRUTIVA",OFFSET(A668,-1,0)+1,LARGE(A$3:A667,1))</f>
        <v>#NUM!</v>
      </c>
      <c r="B668" s="762">
        <f t="shared" ca="1" si="129"/>
        <v>10</v>
      </c>
      <c r="C668" s="762">
        <f t="shared" ca="1" si="130"/>
        <v>6</v>
      </c>
      <c r="D668" s="763">
        <f t="shared" ca="1" si="131"/>
        <v>2</v>
      </c>
      <c r="E668" s="763">
        <f t="shared" ca="1" si="132"/>
        <v>0</v>
      </c>
      <c r="G668" s="628"/>
      <c r="H668" s="766" t="s">
        <v>367</v>
      </c>
      <c r="I668" s="629" t="str">
        <f t="shared" ca="1" si="133"/>
        <v>10.006.002</v>
      </c>
      <c r="J668" s="654" t="s">
        <v>779</v>
      </c>
      <c r="K668" s="630"/>
      <c r="L668" s="631"/>
      <c r="M668" s="631"/>
      <c r="N668" s="646">
        <f>SUM(N669)</f>
        <v>27300</v>
      </c>
      <c r="O668" s="767"/>
      <c r="P668" s="632"/>
      <c r="R668" s="742"/>
      <c r="S668" s="742"/>
    </row>
    <row r="669" spans="1:19" s="761" customFormat="1" ht="33.75" hidden="1" outlineLevel="3" x14ac:dyDescent="0.2">
      <c r="A669" s="762" t="e">
        <f ca="1">IF($H669="UNIDADE CONSTRUTIVA",OFFSET(A669,-1,0)+1,LARGE(A$3:A667,1))</f>
        <v>#NUM!</v>
      </c>
      <c r="B669" s="762">
        <f t="shared" ca="1" si="129"/>
        <v>10</v>
      </c>
      <c r="C669" s="762">
        <f t="shared" ca="1" si="130"/>
        <v>6</v>
      </c>
      <c r="D669" s="763">
        <f t="shared" ca="1" si="131"/>
        <v>2</v>
      </c>
      <c r="E669" s="763">
        <f t="shared" ca="1" si="132"/>
        <v>1</v>
      </c>
      <c r="G669" s="628"/>
      <c r="H669" s="766" t="s">
        <v>368</v>
      </c>
      <c r="I669" s="629" t="str">
        <f t="shared" ca="1" si="133"/>
        <v>10.006.002.001</v>
      </c>
      <c r="J669" s="654" t="s">
        <v>1628</v>
      </c>
      <c r="K669" s="630" t="s">
        <v>1</v>
      </c>
      <c r="L669" s="631">
        <f>IMPERM.!D60+IMPERM.!D61</f>
        <v>195</v>
      </c>
      <c r="M669" s="631">
        <f>VLOOKUP(J669,Preços!$C$7:$F$498,4,FALSE)</f>
        <v>140</v>
      </c>
      <c r="N669" s="646">
        <f>L669*M669</f>
        <v>27300</v>
      </c>
      <c r="O669" s="854"/>
      <c r="P669" s="632" t="s">
        <v>333</v>
      </c>
      <c r="R669" s="742"/>
      <c r="S669" s="742"/>
    </row>
    <row r="670" spans="1:19" s="761" customFormat="1" hidden="1" outlineLevel="2" x14ac:dyDescent="0.2">
      <c r="A670" s="762" t="e">
        <f ca="1">IF($H670="UNIDADE CONSTRUTIVA",OFFSET(A670,-1,0)+1,LARGE(A$3:A669,1))</f>
        <v>#NUM!</v>
      </c>
      <c r="B670" s="762">
        <f t="shared" ca="1" si="129"/>
        <v>10</v>
      </c>
      <c r="C670" s="762">
        <f t="shared" ca="1" si="130"/>
        <v>6</v>
      </c>
      <c r="D670" s="763">
        <f t="shared" ca="1" si="131"/>
        <v>3</v>
      </c>
      <c r="E670" s="763">
        <f t="shared" ca="1" si="132"/>
        <v>0</v>
      </c>
      <c r="G670" s="628"/>
      <c r="H670" s="766" t="s">
        <v>367</v>
      </c>
      <c r="I670" s="629" t="str">
        <f t="shared" ca="1" si="133"/>
        <v>10.006.003</v>
      </c>
      <c r="J670" s="654" t="s">
        <v>1456</v>
      </c>
      <c r="K670" s="630"/>
      <c r="L670" s="631"/>
      <c r="M670" s="631"/>
      <c r="N670" s="646">
        <f>SUM(N671:N672)</f>
        <v>61748.42</v>
      </c>
      <c r="O670" s="767"/>
      <c r="P670" s="632"/>
      <c r="R670" s="742"/>
      <c r="S670" s="742"/>
    </row>
    <row r="671" spans="1:19" s="761" customFormat="1" ht="22.5" hidden="1" outlineLevel="3" x14ac:dyDescent="0.2">
      <c r="A671" s="762" t="e">
        <f ca="1">IF($H671="UNIDADE CONSTRUTIVA",OFFSET(A671,-1,0)+1,LARGE(A$3:A669,1))</f>
        <v>#NUM!</v>
      </c>
      <c r="B671" s="762">
        <f t="shared" ca="1" si="129"/>
        <v>10</v>
      </c>
      <c r="C671" s="762">
        <f t="shared" ca="1" si="130"/>
        <v>6</v>
      </c>
      <c r="D671" s="763">
        <f t="shared" ca="1" si="131"/>
        <v>3</v>
      </c>
      <c r="E671" s="763">
        <f t="shared" ca="1" si="132"/>
        <v>1</v>
      </c>
      <c r="G671" s="628"/>
      <c r="H671" s="766" t="s">
        <v>368</v>
      </c>
      <c r="I671" s="629" t="str">
        <f t="shared" ca="1" si="133"/>
        <v>10.006.003.001</v>
      </c>
      <c r="J671" s="654" t="s">
        <v>985</v>
      </c>
      <c r="K671" s="630" t="s">
        <v>1</v>
      </c>
      <c r="L671" s="631">
        <f>IMPERM.!D58+IMPERM.!D59+IMPERM.!D62+IMPERM.!D63+IMPERM.!D64+IMPERM.!D65+IMPERM.!D66+IMPERM.!D67</f>
        <v>2396.1999999999998</v>
      </c>
      <c r="M671" s="631">
        <f>VLOOKUP(J671,Preços!$C$7:$F$498,4,FALSE)</f>
        <v>24.1</v>
      </c>
      <c r="N671" s="646">
        <f>L671*M671</f>
        <v>57748.42</v>
      </c>
      <c r="O671" s="767"/>
      <c r="P671" s="632" t="s">
        <v>333</v>
      </c>
      <c r="R671" s="742"/>
      <c r="S671" s="742"/>
    </row>
    <row r="672" spans="1:19" s="761" customFormat="1" ht="22.5" hidden="1" outlineLevel="3" x14ac:dyDescent="0.2">
      <c r="A672" s="762" t="e">
        <f ca="1">IF($H672="UNIDADE CONSTRUTIVA",OFFSET(A672,-1,0)+1,LARGE(A$3:A669,1))</f>
        <v>#NUM!</v>
      </c>
      <c r="B672" s="762">
        <f t="shared" ca="1" si="129"/>
        <v>10</v>
      </c>
      <c r="C672" s="762">
        <f t="shared" ca="1" si="130"/>
        <v>6</v>
      </c>
      <c r="D672" s="763">
        <f t="shared" ca="1" si="131"/>
        <v>3</v>
      </c>
      <c r="E672" s="763">
        <f t="shared" ca="1" si="132"/>
        <v>2</v>
      </c>
      <c r="G672" s="628"/>
      <c r="H672" s="766" t="s">
        <v>368</v>
      </c>
      <c r="I672" s="629" t="str">
        <f t="shared" ca="1" si="133"/>
        <v>10.006.003.002</v>
      </c>
      <c r="J672" s="654" t="s">
        <v>986</v>
      </c>
      <c r="K672" s="630" t="s">
        <v>1</v>
      </c>
      <c r="L672" s="631">
        <f>SUM(IMPERM.!D68:D69)</f>
        <v>250</v>
      </c>
      <c r="M672" s="631">
        <f>VLOOKUP(J672,Preços!$C$7:$F$498,4,FALSE)</f>
        <v>16</v>
      </c>
      <c r="N672" s="646">
        <f>L672*M672</f>
        <v>4000</v>
      </c>
      <c r="O672" s="767"/>
      <c r="P672" s="632" t="s">
        <v>333</v>
      </c>
      <c r="R672" s="742"/>
      <c r="S672" s="742"/>
    </row>
    <row r="673" spans="1:19" s="761" customFormat="1" hidden="1" outlineLevel="2" x14ac:dyDescent="0.2">
      <c r="A673" s="762" t="e">
        <f ca="1">IF($H673="UNIDADE CONSTRUTIVA",OFFSET(A673,-1,0)+1,LARGE(A$3:A669,1))</f>
        <v>#NUM!</v>
      </c>
      <c r="B673" s="762">
        <f t="shared" ref="B673:B679" ca="1" si="134">IF(H673="UNIDADE CONSTRUTIVA",0,IF(H673="CÉLULA CONSTRUTIVA",OFFSET(B673,-1,0)+1,OFFSET(B673,-1,0)))</f>
        <v>10</v>
      </c>
      <c r="C673" s="762">
        <f t="shared" ref="C673:C679" ca="1" si="135">IF(H673="CÉLULA CONSTRUTIVA",0,IF(H673="ETAPA",OFFSET(C673,-1,0)+1,OFFSET(C673,-1,0)))</f>
        <v>6</v>
      </c>
      <c r="D673" s="763">
        <f t="shared" ref="D673:D679" ca="1" si="136">IF(H673="ETAPA",0,IF(H673="SUBETAPA",OFFSET(D673,-1,0)+1,OFFSET(D673,-1,0)))</f>
        <v>4</v>
      </c>
      <c r="E673" s="763">
        <f t="shared" ref="E673:E679" ca="1" si="137">IF(H673="Subetapa",0,IF(H673="serviço",OFFSET(E673,-1,0)+1,OFFSET(E673,-1,0)))</f>
        <v>0</v>
      </c>
      <c r="G673" s="628"/>
      <c r="H673" s="766" t="s">
        <v>367</v>
      </c>
      <c r="I673" s="629" t="str">
        <f t="shared" ref="I673:I679" ca="1" si="138">IF(H673="Unidade Construtiva",TEXT(A673,"00"),IF(H673="Célula Construtiva",TEXT(B673,"00"),IF(H673="Etapa",CONCATENATE(TEXT(B673,"00"),".",TEXT(C673,"000")),IF(H673="Subetapa",CONCATENATE(TEXT(B673,"00"),".",TEXT(C673,"000"),".",TEXT(D673,"000")),IF(H673="Serviço",CONCATENATE(TEXT(B673,"00"),".",TEXT(C673,"000"),".",TEXT(D673,"000"),".",TEXT(E673,"000")),"")))))</f>
        <v>10.006.004</v>
      </c>
      <c r="J673" s="654" t="s">
        <v>780</v>
      </c>
      <c r="K673" s="630"/>
      <c r="L673" s="631"/>
      <c r="M673" s="631"/>
      <c r="N673" s="646">
        <f>SUM(N674)</f>
        <v>1566.5540000000001</v>
      </c>
      <c r="O673" s="767"/>
      <c r="P673" s="632"/>
      <c r="R673" s="742"/>
      <c r="S673" s="742"/>
    </row>
    <row r="674" spans="1:19" s="761" customFormat="1" ht="22.5" hidden="1" outlineLevel="3" x14ac:dyDescent="0.2">
      <c r="A674" s="762" t="e">
        <f ca="1">IF($H674="UNIDADE CONSTRUTIVA",OFFSET(A674,-1,0)+1,LARGE(A$3:A673,1))</f>
        <v>#NUM!</v>
      </c>
      <c r="B674" s="762">
        <f t="shared" ca="1" si="134"/>
        <v>10</v>
      </c>
      <c r="C674" s="762">
        <f t="shared" ca="1" si="135"/>
        <v>6</v>
      </c>
      <c r="D674" s="763">
        <f t="shared" ca="1" si="136"/>
        <v>4</v>
      </c>
      <c r="E674" s="763">
        <f t="shared" ca="1" si="137"/>
        <v>1</v>
      </c>
      <c r="G674" s="628"/>
      <c r="H674" s="766" t="s">
        <v>368</v>
      </c>
      <c r="I674" s="629" t="str">
        <f t="shared" ca="1" si="138"/>
        <v>10.006.004.001</v>
      </c>
      <c r="J674" s="654" t="s">
        <v>378</v>
      </c>
      <c r="K674" s="630" t="s">
        <v>2</v>
      </c>
      <c r="L674" s="631">
        <f>11*20</f>
        <v>220</v>
      </c>
      <c r="M674" s="631">
        <f>VLOOKUP(J674,Preços!$C$7:$F$498,4,FALSE)</f>
        <v>7.1207000000000003</v>
      </c>
      <c r="N674" s="646">
        <f>L674*M674</f>
        <v>1566.5540000000001</v>
      </c>
      <c r="O674" s="767"/>
      <c r="P674" s="632" t="s">
        <v>333</v>
      </c>
      <c r="R674" s="742"/>
      <c r="S674" s="742"/>
    </row>
    <row r="675" spans="1:19" s="761" customFormat="1" hidden="1" outlineLevel="2" collapsed="1" x14ac:dyDescent="0.2">
      <c r="A675" s="762" t="e">
        <f ca="1">IF($H675="UNIDADE CONSTRUTIVA",OFFSET(A675,-1,0)+1,LARGE(A$3:A674,1))</f>
        <v>#NUM!</v>
      </c>
      <c r="B675" s="762">
        <f t="shared" ca="1" si="134"/>
        <v>10</v>
      </c>
      <c r="C675" s="762">
        <f t="shared" ca="1" si="135"/>
        <v>6</v>
      </c>
      <c r="D675" s="763">
        <f t="shared" ca="1" si="136"/>
        <v>5</v>
      </c>
      <c r="E675" s="763">
        <f t="shared" ca="1" si="137"/>
        <v>0</v>
      </c>
      <c r="G675" s="628"/>
      <c r="H675" s="766" t="s">
        <v>367</v>
      </c>
      <c r="I675" s="629" t="str">
        <f t="shared" ca="1" si="138"/>
        <v>10.006.005</v>
      </c>
      <c r="J675" s="654" t="s">
        <v>186</v>
      </c>
      <c r="K675" s="630"/>
      <c r="L675" s="631"/>
      <c r="M675" s="631"/>
      <c r="N675" s="646">
        <f>SUM(N676:N679)</f>
        <v>110952.1</v>
      </c>
      <c r="O675" s="767"/>
      <c r="P675" s="632"/>
      <c r="R675" s="742"/>
      <c r="S675" s="742"/>
    </row>
    <row r="676" spans="1:19" s="761" customFormat="1" ht="22.5" hidden="1" outlineLevel="2" x14ac:dyDescent="0.2">
      <c r="A676" s="762" t="e">
        <f ca="1">IF($H676="UNIDADE CONSTRUTIVA",OFFSET(A676,-1,0)+1,LARGE(A$3:A675,1))</f>
        <v>#NUM!</v>
      </c>
      <c r="B676" s="762">
        <f t="shared" ca="1" si="134"/>
        <v>10</v>
      </c>
      <c r="C676" s="762">
        <f t="shared" ca="1" si="135"/>
        <v>6</v>
      </c>
      <c r="D676" s="763">
        <f t="shared" ca="1" si="136"/>
        <v>5</v>
      </c>
      <c r="E676" s="763">
        <f t="shared" ca="1" si="137"/>
        <v>1</v>
      </c>
      <c r="G676" s="628"/>
      <c r="H676" s="766" t="s">
        <v>368</v>
      </c>
      <c r="I676" s="629" t="str">
        <f t="shared" ca="1" si="138"/>
        <v>10.006.005.001</v>
      </c>
      <c r="J676" s="654" t="s">
        <v>988</v>
      </c>
      <c r="K676" s="630" t="s">
        <v>1</v>
      </c>
      <c r="L676" s="631">
        <f>L667</f>
        <v>875.19999999999993</v>
      </c>
      <c r="M676" s="631">
        <f>VLOOKUP(J676,Preços!$C$7:$F$498,4,FALSE)</f>
        <v>18</v>
      </c>
      <c r="N676" s="646">
        <f>L676*M676</f>
        <v>15753.599999999999</v>
      </c>
      <c r="O676" s="767"/>
      <c r="P676" s="632" t="s">
        <v>333</v>
      </c>
      <c r="R676" s="742"/>
      <c r="S676" s="742"/>
    </row>
    <row r="677" spans="1:19" s="761" customFormat="1" ht="22.5" hidden="1" outlineLevel="2" x14ac:dyDescent="0.2">
      <c r="A677" s="762" t="e">
        <f ca="1">IF($H677="UNIDADE CONSTRUTIVA",OFFSET(A677,-1,0)+1,LARGE(A$3:A676,1))</f>
        <v>#NUM!</v>
      </c>
      <c r="B677" s="762">
        <f t="shared" ca="1" si="134"/>
        <v>10</v>
      </c>
      <c r="C677" s="762">
        <f t="shared" ca="1" si="135"/>
        <v>6</v>
      </c>
      <c r="D677" s="763">
        <f t="shared" ca="1" si="136"/>
        <v>5</v>
      </c>
      <c r="E677" s="763">
        <f t="shared" ca="1" si="137"/>
        <v>2</v>
      </c>
      <c r="G677" s="628"/>
      <c r="H677" s="766" t="s">
        <v>368</v>
      </c>
      <c r="I677" s="629" t="str">
        <f t="shared" ca="1" si="138"/>
        <v>10.006.005.002</v>
      </c>
      <c r="J677" s="654" t="s">
        <v>989</v>
      </c>
      <c r="K677" s="630" t="s">
        <v>1</v>
      </c>
      <c r="L677" s="631">
        <f>L671</f>
        <v>2396.1999999999998</v>
      </c>
      <c r="M677" s="631">
        <f>VLOOKUP(J677,Preços!$C$7:$F$498,4,FALSE)</f>
        <v>30</v>
      </c>
      <c r="N677" s="646">
        <f>L677*M677</f>
        <v>71886</v>
      </c>
      <c r="O677" s="767"/>
      <c r="P677" s="632" t="s">
        <v>333</v>
      </c>
      <c r="R677" s="742"/>
      <c r="S677" s="742"/>
    </row>
    <row r="678" spans="1:19" s="761" customFormat="1" ht="22.5" hidden="1" outlineLevel="2" x14ac:dyDescent="0.2">
      <c r="A678" s="762" t="e">
        <f ca="1">IF($H678="UNIDADE CONSTRUTIVA",OFFSET(A678,-1,0)+1,LARGE(A$3:A677,1))</f>
        <v>#NUM!</v>
      </c>
      <c r="B678" s="762">
        <f t="shared" ca="1" si="134"/>
        <v>10</v>
      </c>
      <c r="C678" s="762">
        <f t="shared" ca="1" si="135"/>
        <v>6</v>
      </c>
      <c r="D678" s="763">
        <f t="shared" ca="1" si="136"/>
        <v>5</v>
      </c>
      <c r="E678" s="763">
        <f t="shared" ca="1" si="137"/>
        <v>3</v>
      </c>
      <c r="G678" s="628"/>
      <c r="H678" s="766" t="s">
        <v>368</v>
      </c>
      <c r="I678" s="629" t="str">
        <f t="shared" ca="1" si="138"/>
        <v>10.006.005.003</v>
      </c>
      <c r="J678" s="654" t="s">
        <v>987</v>
      </c>
      <c r="K678" s="630" t="s">
        <v>1</v>
      </c>
      <c r="L678" s="631">
        <f>L672</f>
        <v>250</v>
      </c>
      <c r="M678" s="631">
        <f>VLOOKUP(J678,Preços!$C$7:$F$498,4,FALSE)</f>
        <v>22.85</v>
      </c>
      <c r="N678" s="646">
        <f>L678*M678</f>
        <v>5712.5</v>
      </c>
      <c r="O678" s="767"/>
      <c r="P678" s="632" t="s">
        <v>333</v>
      </c>
      <c r="R678" s="742"/>
      <c r="S678" s="742"/>
    </row>
    <row r="679" spans="1:19" s="761" customFormat="1" ht="22.5" hidden="1" outlineLevel="2" x14ac:dyDescent="0.2">
      <c r="A679" s="762" t="e">
        <f ca="1">IF($H679="UNIDADE CONSTRUTIVA",OFFSET(A679,-1,0)+1,LARGE(A$3:A678,1))</f>
        <v>#NUM!</v>
      </c>
      <c r="B679" s="762">
        <f t="shared" ca="1" si="134"/>
        <v>10</v>
      </c>
      <c r="C679" s="762">
        <f t="shared" ca="1" si="135"/>
        <v>6</v>
      </c>
      <c r="D679" s="763">
        <f t="shared" ca="1" si="136"/>
        <v>5</v>
      </c>
      <c r="E679" s="763">
        <f t="shared" ca="1" si="137"/>
        <v>4</v>
      </c>
      <c r="G679" s="628"/>
      <c r="H679" s="766" t="s">
        <v>368</v>
      </c>
      <c r="I679" s="629" t="str">
        <f t="shared" ca="1" si="138"/>
        <v>10.006.005.004</v>
      </c>
      <c r="J679" s="654" t="s">
        <v>379</v>
      </c>
      <c r="K679" s="630" t="s">
        <v>2</v>
      </c>
      <c r="L679" s="631">
        <f>L674</f>
        <v>220</v>
      </c>
      <c r="M679" s="631">
        <f>VLOOKUP(J679,Preços!$C$7:$F$498,4,FALSE)</f>
        <v>80</v>
      </c>
      <c r="N679" s="646">
        <f>L679*M679</f>
        <v>17600</v>
      </c>
      <c r="O679" s="767"/>
      <c r="P679" s="632" t="s">
        <v>333</v>
      </c>
      <c r="R679" s="742"/>
      <c r="S679" s="742"/>
    </row>
    <row r="680" spans="1:19" s="761" customFormat="1" hidden="1" outlineLevel="1" collapsed="1" x14ac:dyDescent="0.2">
      <c r="A680" s="762" t="e">
        <f ca="1">IF($H680="UNIDADE CONSTRUTIVA",OFFSET(A680,-1,0)+1,LARGE(A$3:A619,1))</f>
        <v>#NUM!</v>
      </c>
      <c r="B680" s="762">
        <f t="shared" ref="B680:B688" ca="1" si="139">IF(H680="UNIDADE CONSTRUTIVA",0,IF(H680="CÉLULA CONSTRUTIVA",OFFSET(B680,-1,0)+1,OFFSET(B680,-1,0)))</f>
        <v>10</v>
      </c>
      <c r="C680" s="762">
        <f t="shared" ref="C680:C688" ca="1" si="140">IF(H680="CÉLULA CONSTRUTIVA",0,IF(H680="ETAPA",OFFSET(C680,-1,0)+1,OFFSET(C680,-1,0)))</f>
        <v>7</v>
      </c>
      <c r="D680" s="763">
        <f t="shared" ref="D680:D688" ca="1" si="141">IF(H680="ETAPA",0,IF(H680="SUBETAPA",OFFSET(D680,-1,0)+1,OFFSET(D680,-1,0)))</f>
        <v>0</v>
      </c>
      <c r="E680" s="763">
        <f t="shared" ref="E680:E688" ca="1" si="142">IF(H680="Subetapa",0,IF(H680="serviço",OFFSET(E680,-1,0)+1,OFFSET(E680,-1,0)))</f>
        <v>4</v>
      </c>
      <c r="G680" s="628"/>
      <c r="H680" s="766" t="s">
        <v>366</v>
      </c>
      <c r="I680" s="629" t="str">
        <f t="shared" ref="I680:I688" ca="1" si="143">IF(H680="Unidade Construtiva",TEXT(A680,"00"),IF(H680="Célula Construtiva",TEXT(B680,"00"),IF(H680="Etapa",CONCATENATE(TEXT(B680,"00"),".",TEXT(C680,"000")),IF(H680="Subetapa",CONCATENATE(TEXT(B680,"00"),".",TEXT(C680,"000"),".",TEXT(D680,"000")),IF(H680="Serviço",CONCATENATE(TEXT(B680,"00"),".",TEXT(C680,"000"),".",TEXT(D680,"000"),".",TEXT(E680,"000")),"")))))</f>
        <v>10.007</v>
      </c>
      <c r="J680" s="654" t="s">
        <v>1463</v>
      </c>
      <c r="K680" s="630"/>
      <c r="L680" s="631"/>
      <c r="M680" s="631"/>
      <c r="N680" s="646">
        <f>SUM(N681,N684,N687,N689)</f>
        <v>57672.736749999996</v>
      </c>
      <c r="O680" s="767"/>
      <c r="P680" s="632"/>
      <c r="R680" s="742"/>
      <c r="S680" s="742"/>
    </row>
    <row r="681" spans="1:19" s="761" customFormat="1" hidden="1" outlineLevel="2" x14ac:dyDescent="0.2">
      <c r="A681" s="762" t="e">
        <f ca="1">IF($H681="UNIDADE CONSTRUTIVA",OFFSET(A681,-1,0)+1,LARGE(A$3:A680,1))</f>
        <v>#NUM!</v>
      </c>
      <c r="B681" s="762">
        <f t="shared" ca="1" si="139"/>
        <v>10</v>
      </c>
      <c r="C681" s="762">
        <f t="shared" ca="1" si="140"/>
        <v>7</v>
      </c>
      <c r="D681" s="763">
        <f t="shared" ca="1" si="141"/>
        <v>1</v>
      </c>
      <c r="E681" s="763">
        <f t="shared" ca="1" si="142"/>
        <v>0</v>
      </c>
      <c r="G681" s="628"/>
      <c r="H681" s="766" t="s">
        <v>367</v>
      </c>
      <c r="I681" s="629" t="str">
        <f t="shared" ca="1" si="143"/>
        <v>10.007.001</v>
      </c>
      <c r="J681" s="654" t="s">
        <v>212</v>
      </c>
      <c r="K681" s="630"/>
      <c r="L681" s="631"/>
      <c r="M681" s="631"/>
      <c r="N681" s="646">
        <f>SUM(N682:N683)</f>
        <v>5389.2444500000001</v>
      </c>
      <c r="O681" s="767"/>
      <c r="P681" s="632"/>
      <c r="R681" s="742"/>
      <c r="S681" s="742"/>
    </row>
    <row r="682" spans="1:19" s="761" customFormat="1" ht="22.5" hidden="1" outlineLevel="3" x14ac:dyDescent="0.2">
      <c r="A682" s="762" t="e">
        <f ca="1">IF($H682="UNIDADE CONSTRUTIVA",OFFSET(A682,-1,0)+1,LARGE(A$3:A681,1))</f>
        <v>#NUM!</v>
      </c>
      <c r="B682" s="762">
        <f t="shared" ca="1" si="139"/>
        <v>10</v>
      </c>
      <c r="C682" s="762">
        <f t="shared" ca="1" si="140"/>
        <v>7</v>
      </c>
      <c r="D682" s="763">
        <f t="shared" ca="1" si="141"/>
        <v>1</v>
      </c>
      <c r="E682" s="763">
        <f t="shared" ca="1" si="142"/>
        <v>1</v>
      </c>
      <c r="G682" s="628"/>
      <c r="H682" s="766" t="s">
        <v>368</v>
      </c>
      <c r="I682" s="629" t="str">
        <f t="shared" ca="1" si="143"/>
        <v>10.007.001.001</v>
      </c>
      <c r="J682" s="654" t="s">
        <v>213</v>
      </c>
      <c r="K682" s="630" t="s">
        <v>1</v>
      </c>
      <c r="L682" s="631">
        <f>IMPERM.!D72</f>
        <v>6.53</v>
      </c>
      <c r="M682" s="631">
        <f>VLOOKUP(J682,Preços!$C$7:$F$498,4,FALSE)</f>
        <v>6.415</v>
      </c>
      <c r="N682" s="646">
        <f>L682*M682</f>
        <v>41.889949999999999</v>
      </c>
      <c r="O682" s="767"/>
      <c r="P682" s="632" t="s">
        <v>333</v>
      </c>
      <c r="R682" s="742"/>
      <c r="S682" s="742"/>
    </row>
    <row r="683" spans="1:19" s="761" customFormat="1" ht="22.5" hidden="1" outlineLevel="3" x14ac:dyDescent="0.2">
      <c r="A683" s="762" t="e">
        <f ca="1">IF($H683="UNIDADE CONSTRUTIVA",OFFSET(A683,-1,0)+1,LARGE(A$3:A682,1))</f>
        <v>#NUM!</v>
      </c>
      <c r="B683" s="762">
        <f t="shared" ca="1" si="139"/>
        <v>10</v>
      </c>
      <c r="C683" s="762">
        <f t="shared" ca="1" si="140"/>
        <v>7</v>
      </c>
      <c r="D683" s="763">
        <f t="shared" ca="1" si="141"/>
        <v>1</v>
      </c>
      <c r="E683" s="763">
        <f t="shared" ca="1" si="142"/>
        <v>2</v>
      </c>
      <c r="G683" s="628"/>
      <c r="H683" s="766" t="s">
        <v>368</v>
      </c>
      <c r="I683" s="629" t="str">
        <f t="shared" ca="1" si="143"/>
        <v>10.007.001.002</v>
      </c>
      <c r="J683" s="654" t="s">
        <v>1948</v>
      </c>
      <c r="K683" s="630" t="s">
        <v>1</v>
      </c>
      <c r="L683" s="631">
        <f>IMPERM.!D73</f>
        <v>184.71</v>
      </c>
      <c r="M683" s="631">
        <f>VLOOKUP(J683,Preços!$C$7:$F$498,4,FALSE)</f>
        <v>28.95</v>
      </c>
      <c r="N683" s="646">
        <f>L683*M683</f>
        <v>5347.3545000000004</v>
      </c>
      <c r="O683" s="767"/>
      <c r="P683" s="632" t="s">
        <v>333</v>
      </c>
      <c r="R683" s="742"/>
      <c r="S683" s="742"/>
    </row>
    <row r="684" spans="1:19" s="761" customFormat="1" hidden="1" outlineLevel="2" x14ac:dyDescent="0.2">
      <c r="A684" s="762" t="e">
        <f ca="1">IF($H684="UNIDADE CONSTRUTIVA",OFFSET(A684,-1,0)+1,LARGE(A$3:A683,1))</f>
        <v>#NUM!</v>
      </c>
      <c r="B684" s="762">
        <f t="shared" ca="1" si="139"/>
        <v>10</v>
      </c>
      <c r="C684" s="762">
        <f t="shared" ca="1" si="140"/>
        <v>7</v>
      </c>
      <c r="D684" s="763">
        <f t="shared" ca="1" si="141"/>
        <v>2</v>
      </c>
      <c r="E684" s="763">
        <f t="shared" ca="1" si="142"/>
        <v>0</v>
      </c>
      <c r="G684" s="628"/>
      <c r="H684" s="766" t="s">
        <v>367</v>
      </c>
      <c r="I684" s="629" t="str">
        <f t="shared" ca="1" si="143"/>
        <v>10.007.002</v>
      </c>
      <c r="J684" s="654" t="s">
        <v>779</v>
      </c>
      <c r="K684" s="630"/>
      <c r="L684" s="631"/>
      <c r="M684" s="631"/>
      <c r="N684" s="646">
        <f>SUM(N685:N686)</f>
        <v>40125.024599999997</v>
      </c>
      <c r="O684" s="767"/>
      <c r="P684" s="632"/>
      <c r="R684" s="742"/>
      <c r="S684" s="742"/>
    </row>
    <row r="685" spans="1:19" s="761" customFormat="1" ht="33.75" hidden="1" outlineLevel="3" x14ac:dyDescent="0.2">
      <c r="A685" s="762" t="e">
        <f ca="1">IF($H685="UNIDADE CONSTRUTIVA",OFFSET(A685,-1,0)+1,LARGE(A$3:A683,1))</f>
        <v>#NUM!</v>
      </c>
      <c r="B685" s="762">
        <f t="shared" ca="1" si="139"/>
        <v>10</v>
      </c>
      <c r="C685" s="762">
        <f t="shared" ca="1" si="140"/>
        <v>7</v>
      </c>
      <c r="D685" s="763">
        <f t="shared" ca="1" si="141"/>
        <v>2</v>
      </c>
      <c r="E685" s="763">
        <f t="shared" ca="1" si="142"/>
        <v>1</v>
      </c>
      <c r="G685" s="628"/>
      <c r="H685" s="766" t="s">
        <v>368</v>
      </c>
      <c r="I685" s="629" t="str">
        <f t="shared" ca="1" si="143"/>
        <v>10.007.002.001</v>
      </c>
      <c r="J685" s="654" t="s">
        <v>1628</v>
      </c>
      <c r="K685" s="630" t="s">
        <v>1</v>
      </c>
      <c r="L685" s="631">
        <f>IMPERM.!D77+IMPERM.!D78</f>
        <v>266.82</v>
      </c>
      <c r="M685" s="631">
        <f>VLOOKUP(J685,Preços!$C$7:$F$498,4,FALSE)</f>
        <v>140</v>
      </c>
      <c r="N685" s="646">
        <f>L685*M685</f>
        <v>37354.799999999996</v>
      </c>
      <c r="O685" s="854"/>
      <c r="P685" s="632" t="s">
        <v>333</v>
      </c>
      <c r="R685" s="742"/>
      <c r="S685" s="742"/>
    </row>
    <row r="686" spans="1:19" s="761" customFormat="1" ht="22.5" hidden="1" outlineLevel="3" x14ac:dyDescent="0.2">
      <c r="A686" s="762" t="e">
        <f ca="1">IF($H686="UNIDADE CONSTRUTIVA",OFFSET(A686,-1,0)+1,LARGE(A$3:A684,1))</f>
        <v>#NUM!</v>
      </c>
      <c r="B686" s="762">
        <f t="shared" ca="1" si="139"/>
        <v>10</v>
      </c>
      <c r="C686" s="762">
        <f t="shared" ca="1" si="140"/>
        <v>7</v>
      </c>
      <c r="D686" s="763">
        <f t="shared" ca="1" si="141"/>
        <v>2</v>
      </c>
      <c r="E686" s="763">
        <f t="shared" ca="1" si="142"/>
        <v>2</v>
      </c>
      <c r="G686" s="628"/>
      <c r="H686" s="766" t="s">
        <v>368</v>
      </c>
      <c r="I686" s="629" t="str">
        <f t="shared" ca="1" si="143"/>
        <v>10.007.002.002</v>
      </c>
      <c r="J686" s="654" t="s">
        <v>1540</v>
      </c>
      <c r="K686" s="630" t="s">
        <v>1</v>
      </c>
      <c r="L686" s="631">
        <f>IMPERM.!D75+IMPERM.!D76</f>
        <v>64.739999999999995</v>
      </c>
      <c r="M686" s="631">
        <f>VLOOKUP(J686,Preços!$C$7:$F$498,4,FALSE)</f>
        <v>42.79</v>
      </c>
      <c r="N686" s="646">
        <f>L686*M686</f>
        <v>2770.2245999999996</v>
      </c>
      <c r="O686" s="767"/>
      <c r="P686" s="632" t="s">
        <v>333</v>
      </c>
      <c r="R686" s="742"/>
      <c r="S686" s="742"/>
    </row>
    <row r="687" spans="1:19" s="761" customFormat="1" hidden="1" outlineLevel="2" x14ac:dyDescent="0.2">
      <c r="A687" s="762" t="e">
        <f ca="1">IF($H687="UNIDADE CONSTRUTIVA",OFFSET(A687,-1,0)+1,LARGE(A$3:A683,1))</f>
        <v>#NUM!</v>
      </c>
      <c r="B687" s="762">
        <f t="shared" ca="1" si="139"/>
        <v>10</v>
      </c>
      <c r="C687" s="762">
        <f t="shared" ca="1" si="140"/>
        <v>7</v>
      </c>
      <c r="D687" s="763">
        <f t="shared" ca="1" si="141"/>
        <v>3</v>
      </c>
      <c r="E687" s="763">
        <f t="shared" ca="1" si="142"/>
        <v>0</v>
      </c>
      <c r="G687" s="628"/>
      <c r="H687" s="766" t="s">
        <v>367</v>
      </c>
      <c r="I687" s="629" t="str">
        <f t="shared" ca="1" si="143"/>
        <v>10.007.003</v>
      </c>
      <c r="J687" s="654" t="s">
        <v>780</v>
      </c>
      <c r="K687" s="630"/>
      <c r="L687" s="631"/>
      <c r="M687" s="631"/>
      <c r="N687" s="646">
        <f>SUM(N688)</f>
        <v>78.327700000000007</v>
      </c>
      <c r="O687" s="767"/>
      <c r="P687" s="632"/>
      <c r="R687" s="742"/>
      <c r="S687" s="742"/>
    </row>
    <row r="688" spans="1:19" s="761" customFormat="1" ht="22.5" hidden="1" outlineLevel="3" x14ac:dyDescent="0.2">
      <c r="A688" s="762" t="e">
        <f ca="1">IF($H688="UNIDADE CONSTRUTIVA",OFFSET(A688,-1,0)+1,LARGE(A$3:A687,1))</f>
        <v>#NUM!</v>
      </c>
      <c r="B688" s="762">
        <f t="shared" ca="1" si="139"/>
        <v>10</v>
      </c>
      <c r="C688" s="762">
        <f t="shared" ca="1" si="140"/>
        <v>7</v>
      </c>
      <c r="D688" s="763">
        <f t="shared" ca="1" si="141"/>
        <v>3</v>
      </c>
      <c r="E688" s="763">
        <f t="shared" ca="1" si="142"/>
        <v>1</v>
      </c>
      <c r="G688" s="628"/>
      <c r="H688" s="766" t="s">
        <v>368</v>
      </c>
      <c r="I688" s="629" t="str">
        <f t="shared" ca="1" si="143"/>
        <v>10.007.003.001</v>
      </c>
      <c r="J688" s="654" t="s">
        <v>378</v>
      </c>
      <c r="K688" s="630" t="s">
        <v>2</v>
      </c>
      <c r="L688" s="631">
        <v>11</v>
      </c>
      <c r="M688" s="631">
        <f>VLOOKUP(J688,Preços!$C$7:$F$498,4,FALSE)</f>
        <v>7.1207000000000003</v>
      </c>
      <c r="N688" s="646">
        <f>L688*M688</f>
        <v>78.327700000000007</v>
      </c>
      <c r="O688" s="767"/>
      <c r="P688" s="632" t="s">
        <v>333</v>
      </c>
      <c r="R688" s="742"/>
      <c r="S688" s="742"/>
    </row>
    <row r="689" spans="1:19" s="761" customFormat="1" hidden="1" outlineLevel="2" collapsed="1" x14ac:dyDescent="0.2">
      <c r="A689" s="762" t="e">
        <f ca="1">IF($H689="UNIDADE CONSTRUTIVA",OFFSET(A689,-1,0)+1,LARGE(A$3:A686,1))</f>
        <v>#NUM!</v>
      </c>
      <c r="B689" s="762">
        <f t="shared" ref="B689:B699" ca="1" si="144">IF(H689="UNIDADE CONSTRUTIVA",0,IF(H689="CÉLULA CONSTRUTIVA",OFFSET(B689,-1,0)+1,OFFSET(B689,-1,0)))</f>
        <v>10</v>
      </c>
      <c r="C689" s="762">
        <f t="shared" ref="C689:C699" ca="1" si="145">IF(H689="CÉLULA CONSTRUTIVA",0,IF(H689="ETAPA",OFFSET(C689,-1,0)+1,OFFSET(C689,-1,0)))</f>
        <v>7</v>
      </c>
      <c r="D689" s="763">
        <f t="shared" ref="D689:D699" ca="1" si="146">IF(H689="ETAPA",0,IF(H689="SUBETAPA",OFFSET(D689,-1,0)+1,OFFSET(D689,-1,0)))</f>
        <v>4</v>
      </c>
      <c r="E689" s="763">
        <f t="shared" ref="E689:E699" ca="1" si="147">IF(H689="Subetapa",0,IF(H689="serviço",OFFSET(E689,-1,0)+1,OFFSET(E689,-1,0)))</f>
        <v>0</v>
      </c>
      <c r="G689" s="628"/>
      <c r="H689" s="766" t="s">
        <v>367</v>
      </c>
      <c r="I689" s="629" t="str">
        <f t="shared" ref="I689:I699" ca="1" si="148">IF(H689="Unidade Construtiva",TEXT(A689,"00"),IF(H689="Célula Construtiva",TEXT(B689,"00"),IF(H689="Etapa",CONCATENATE(TEXT(B689,"00"),".",TEXT(C689,"000")),IF(H689="Subetapa",CONCATENATE(TEXT(B689,"00"),".",TEXT(C689,"000"),".",TEXT(D689,"000")),IF(H689="Serviço",CONCATENATE(TEXT(B689,"00"),".",TEXT(C689,"000"),".",TEXT(D689,"000"),".",TEXT(E689,"000")),"")))))</f>
        <v>10.007.004</v>
      </c>
      <c r="J689" s="654" t="s">
        <v>186</v>
      </c>
      <c r="K689" s="630"/>
      <c r="L689" s="631"/>
      <c r="M689" s="631"/>
      <c r="N689" s="646">
        <f>SUM(N690:N692)</f>
        <v>12080.140000000001</v>
      </c>
      <c r="O689" s="767"/>
      <c r="P689" s="632"/>
      <c r="R689" s="742"/>
      <c r="S689" s="742"/>
    </row>
    <row r="690" spans="1:19" s="761" customFormat="1" ht="22.5" hidden="1" outlineLevel="2" x14ac:dyDescent="0.2">
      <c r="A690" s="762" t="e">
        <f ca="1">IF($H690="UNIDADE CONSTRUTIVA",OFFSET(A690,-1,0)+1,LARGE(A$3:A689,1))</f>
        <v>#NUM!</v>
      </c>
      <c r="B690" s="762">
        <f t="shared" ca="1" si="144"/>
        <v>10</v>
      </c>
      <c r="C690" s="762">
        <f t="shared" ca="1" si="145"/>
        <v>7</v>
      </c>
      <c r="D690" s="763">
        <f t="shared" ca="1" si="146"/>
        <v>4</v>
      </c>
      <c r="E690" s="763">
        <f t="shared" ca="1" si="147"/>
        <v>1</v>
      </c>
      <c r="G690" s="628"/>
      <c r="H690" s="766" t="s">
        <v>368</v>
      </c>
      <c r="I690" s="629" t="str">
        <f t="shared" ca="1" si="148"/>
        <v>10.007.004.001</v>
      </c>
      <c r="J690" s="654" t="s">
        <v>988</v>
      </c>
      <c r="K690" s="630" t="s">
        <v>1</v>
      </c>
      <c r="L690" s="631">
        <f>L682</f>
        <v>6.53</v>
      </c>
      <c r="M690" s="631">
        <f>VLOOKUP(J690,Preços!$C$7:$F$498,4,FALSE)</f>
        <v>18</v>
      </c>
      <c r="N690" s="646">
        <f>L690*M690</f>
        <v>117.54</v>
      </c>
      <c r="O690" s="767"/>
      <c r="P690" s="632" t="s">
        <v>333</v>
      </c>
      <c r="R690" s="742"/>
      <c r="S690" s="742"/>
    </row>
    <row r="691" spans="1:19" s="761" customFormat="1" ht="22.5" hidden="1" outlineLevel="2" x14ac:dyDescent="0.2">
      <c r="A691" s="762" t="e">
        <f ca="1">IF($H691="UNIDADE CONSTRUTIVA",OFFSET(A691,-1,0)+1,LARGE(A$3:A690,1))</f>
        <v>#NUM!</v>
      </c>
      <c r="B691" s="762">
        <f t="shared" ca="1" si="144"/>
        <v>10</v>
      </c>
      <c r="C691" s="762">
        <f t="shared" ca="1" si="145"/>
        <v>7</v>
      </c>
      <c r="D691" s="763">
        <f t="shared" ca="1" si="146"/>
        <v>4</v>
      </c>
      <c r="E691" s="763">
        <f t="shared" ca="1" si="147"/>
        <v>2</v>
      </c>
      <c r="G691" s="628"/>
      <c r="H691" s="766" t="s">
        <v>368</v>
      </c>
      <c r="I691" s="629" t="str">
        <f t="shared" ca="1" si="148"/>
        <v>10.007.004.002</v>
      </c>
      <c r="J691" s="654" t="s">
        <v>990</v>
      </c>
      <c r="K691" s="630" t="s">
        <v>1</v>
      </c>
      <c r="L691" s="631">
        <f>L683</f>
        <v>184.71</v>
      </c>
      <c r="M691" s="631">
        <f>VLOOKUP(J691,Preços!$C$7:$F$498,4,FALSE)</f>
        <v>60</v>
      </c>
      <c r="N691" s="646">
        <f>L691*M691</f>
        <v>11082.6</v>
      </c>
      <c r="O691" s="767"/>
      <c r="P691" s="632" t="s">
        <v>333</v>
      </c>
      <c r="R691" s="742"/>
      <c r="S691" s="742"/>
    </row>
    <row r="692" spans="1:19" s="761" customFormat="1" ht="22.5" hidden="1" outlineLevel="2" x14ac:dyDescent="0.2">
      <c r="A692" s="762" t="e">
        <f ca="1">IF($H692="UNIDADE CONSTRUTIVA",OFFSET(A692,-1,0)+1,LARGE(A$3:A691,1))</f>
        <v>#NUM!</v>
      </c>
      <c r="B692" s="762">
        <f t="shared" ca="1" si="144"/>
        <v>10</v>
      </c>
      <c r="C692" s="762">
        <f t="shared" ca="1" si="145"/>
        <v>7</v>
      </c>
      <c r="D692" s="763">
        <f t="shared" ca="1" si="146"/>
        <v>4</v>
      </c>
      <c r="E692" s="763">
        <f t="shared" ca="1" si="147"/>
        <v>3</v>
      </c>
      <c r="G692" s="628"/>
      <c r="H692" s="766" t="s">
        <v>368</v>
      </c>
      <c r="I692" s="629" t="str">
        <f t="shared" ca="1" si="148"/>
        <v>10.007.004.003</v>
      </c>
      <c r="J692" s="654" t="s">
        <v>379</v>
      </c>
      <c r="K692" s="630" t="s">
        <v>2</v>
      </c>
      <c r="L692" s="631">
        <f>L688</f>
        <v>11</v>
      </c>
      <c r="M692" s="631">
        <f>VLOOKUP(J692,Preços!$C$7:$F$498,4,FALSE)</f>
        <v>80</v>
      </c>
      <c r="N692" s="646">
        <f>L692*M692</f>
        <v>880</v>
      </c>
      <c r="O692" s="767"/>
      <c r="P692" s="632" t="s">
        <v>333</v>
      </c>
      <c r="R692" s="742"/>
      <c r="S692" s="742"/>
    </row>
    <row r="693" spans="1:19" s="761" customFormat="1" hidden="1" outlineLevel="1" collapsed="1" x14ac:dyDescent="0.2">
      <c r="A693" s="762" t="e">
        <f ca="1">IF($H693="UNIDADE CONSTRUTIVA",OFFSET(A693,-1,0)+1,LARGE(A$3:A620,1))</f>
        <v>#NUM!</v>
      </c>
      <c r="B693" s="762">
        <f t="shared" ca="1" si="144"/>
        <v>10</v>
      </c>
      <c r="C693" s="762">
        <f t="shared" ca="1" si="145"/>
        <v>8</v>
      </c>
      <c r="D693" s="763">
        <f t="shared" ca="1" si="146"/>
        <v>0</v>
      </c>
      <c r="E693" s="763">
        <f t="shared" ca="1" si="147"/>
        <v>3</v>
      </c>
      <c r="G693" s="628"/>
      <c r="H693" s="766" t="s">
        <v>366</v>
      </c>
      <c r="I693" s="629" t="str">
        <f t="shared" ca="1" si="148"/>
        <v>10.008</v>
      </c>
      <c r="J693" s="654" t="s">
        <v>1464</v>
      </c>
      <c r="K693" s="630"/>
      <c r="L693" s="631"/>
      <c r="M693" s="631"/>
      <c r="N693" s="646">
        <f>SUM(N694,N697,N700)</f>
        <v>18675.382799999999</v>
      </c>
      <c r="O693" s="767"/>
      <c r="P693" s="632"/>
      <c r="R693" s="742"/>
      <c r="S693" s="742"/>
    </row>
    <row r="694" spans="1:19" s="761" customFormat="1" hidden="1" outlineLevel="2" x14ac:dyDescent="0.2">
      <c r="A694" s="762" t="e">
        <f ca="1">IF($H694="UNIDADE CONSTRUTIVA",OFFSET(A694,-1,0)+1,LARGE(A$3:A693,1))</f>
        <v>#NUM!</v>
      </c>
      <c r="B694" s="762">
        <f t="shared" ca="1" si="144"/>
        <v>10</v>
      </c>
      <c r="C694" s="762">
        <f t="shared" ca="1" si="145"/>
        <v>8</v>
      </c>
      <c r="D694" s="763">
        <f t="shared" ca="1" si="146"/>
        <v>1</v>
      </c>
      <c r="E694" s="763">
        <f t="shared" ca="1" si="147"/>
        <v>0</v>
      </c>
      <c r="G694" s="628"/>
      <c r="H694" s="766" t="s">
        <v>367</v>
      </c>
      <c r="I694" s="629" t="str">
        <f t="shared" ca="1" si="148"/>
        <v>10.008.001</v>
      </c>
      <c r="J694" s="654" t="s">
        <v>212</v>
      </c>
      <c r="K694" s="630"/>
      <c r="L694" s="631"/>
      <c r="M694" s="631"/>
      <c r="N694" s="646">
        <f>SUM(N695:N696)</f>
        <v>2114.1505000000002</v>
      </c>
      <c r="O694" s="767"/>
      <c r="P694" s="632"/>
      <c r="R694" s="742"/>
      <c r="S694" s="742"/>
    </row>
    <row r="695" spans="1:19" s="761" customFormat="1" ht="22.5" hidden="1" outlineLevel="3" x14ac:dyDescent="0.2">
      <c r="A695" s="762" t="e">
        <f ca="1">IF($H695="UNIDADE CONSTRUTIVA",OFFSET(A695,-1,0)+1,LARGE(A$3:A694,1))</f>
        <v>#NUM!</v>
      </c>
      <c r="B695" s="762">
        <f t="shared" ca="1" si="144"/>
        <v>10</v>
      </c>
      <c r="C695" s="762">
        <f t="shared" ca="1" si="145"/>
        <v>8</v>
      </c>
      <c r="D695" s="763">
        <f t="shared" ca="1" si="146"/>
        <v>1</v>
      </c>
      <c r="E695" s="763">
        <f t="shared" ca="1" si="147"/>
        <v>1</v>
      </c>
      <c r="G695" s="628"/>
      <c r="H695" s="766" t="s">
        <v>368</v>
      </c>
      <c r="I695" s="629" t="str">
        <f t="shared" ca="1" si="148"/>
        <v>10.008.001.001</v>
      </c>
      <c r="J695" s="654" t="s">
        <v>213</v>
      </c>
      <c r="K695" s="630" t="s">
        <v>1</v>
      </c>
      <c r="L695" s="631">
        <f>IMPERM.!D81</f>
        <v>38.799999999999997</v>
      </c>
      <c r="M695" s="631">
        <f>VLOOKUP(J695,Preços!$C$7:$F$498,4,FALSE)</f>
        <v>6.415</v>
      </c>
      <c r="N695" s="646">
        <f>L695*M695</f>
        <v>248.90199999999999</v>
      </c>
      <c r="O695" s="767"/>
      <c r="P695" s="632" t="s">
        <v>333</v>
      </c>
      <c r="R695" s="742"/>
      <c r="S695" s="742"/>
    </row>
    <row r="696" spans="1:19" s="761" customFormat="1" ht="22.5" hidden="1" outlineLevel="3" x14ac:dyDescent="0.2">
      <c r="A696" s="762" t="e">
        <f ca="1">IF($H696="UNIDADE CONSTRUTIVA",OFFSET(A696,-1,0)+1,LARGE(A$3:A695,1))</f>
        <v>#NUM!</v>
      </c>
      <c r="B696" s="762">
        <f t="shared" ca="1" si="144"/>
        <v>10</v>
      </c>
      <c r="C696" s="762">
        <f t="shared" ca="1" si="145"/>
        <v>8</v>
      </c>
      <c r="D696" s="763">
        <f t="shared" ca="1" si="146"/>
        <v>1</v>
      </c>
      <c r="E696" s="763">
        <f t="shared" ca="1" si="147"/>
        <v>2</v>
      </c>
      <c r="G696" s="628"/>
      <c r="H696" s="766" t="s">
        <v>368</v>
      </c>
      <c r="I696" s="629" t="str">
        <f t="shared" ca="1" si="148"/>
        <v>10.008.001.002</v>
      </c>
      <c r="J696" s="654" t="s">
        <v>1948</v>
      </c>
      <c r="K696" s="630" t="s">
        <v>1</v>
      </c>
      <c r="L696" s="631">
        <f>IMPERM.!D87</f>
        <v>64.430000000000007</v>
      </c>
      <c r="M696" s="631">
        <f>VLOOKUP(J696,Preços!$C$7:$F$498,4,FALSE)</f>
        <v>28.95</v>
      </c>
      <c r="N696" s="646">
        <f>L696*M696</f>
        <v>1865.2485000000001</v>
      </c>
      <c r="O696" s="767"/>
      <c r="P696" s="632" t="s">
        <v>333</v>
      </c>
      <c r="R696" s="742"/>
      <c r="S696" s="742"/>
    </row>
    <row r="697" spans="1:19" s="761" customFormat="1" hidden="1" outlineLevel="2" x14ac:dyDescent="0.2">
      <c r="A697" s="762" t="e">
        <f ca="1">IF($H697="UNIDADE CONSTRUTIVA",OFFSET(A697,-1,0)+1,LARGE(A$3:A696,1))</f>
        <v>#NUM!</v>
      </c>
      <c r="B697" s="762">
        <f t="shared" ca="1" si="144"/>
        <v>10</v>
      </c>
      <c r="C697" s="762">
        <f t="shared" ca="1" si="145"/>
        <v>8</v>
      </c>
      <c r="D697" s="763">
        <f t="shared" ca="1" si="146"/>
        <v>2</v>
      </c>
      <c r="E697" s="763">
        <f t="shared" ca="1" si="147"/>
        <v>0</v>
      </c>
      <c r="G697" s="628"/>
      <c r="H697" s="766" t="s">
        <v>367</v>
      </c>
      <c r="I697" s="629" t="str">
        <f t="shared" ca="1" si="148"/>
        <v>10.008.002</v>
      </c>
      <c r="J697" s="654" t="s">
        <v>779</v>
      </c>
      <c r="K697" s="630"/>
      <c r="L697" s="631"/>
      <c r="M697" s="631"/>
      <c r="N697" s="646">
        <f>SUM(N698:N699)</f>
        <v>11997.032299999999</v>
      </c>
      <c r="O697" s="767"/>
      <c r="P697" s="632"/>
      <c r="R697" s="742"/>
      <c r="S697" s="742"/>
    </row>
    <row r="698" spans="1:19" s="761" customFormat="1" ht="22.5" hidden="1" outlineLevel="3" x14ac:dyDescent="0.2">
      <c r="A698" s="762" t="e">
        <f ca="1">IF($H698="UNIDADE CONSTRUTIVA",OFFSET(A698,-1,0)+1,LARGE(A$3:A696,1))</f>
        <v>#NUM!</v>
      </c>
      <c r="B698" s="762">
        <f t="shared" ca="1" si="144"/>
        <v>10</v>
      </c>
      <c r="C698" s="762">
        <f t="shared" ca="1" si="145"/>
        <v>8</v>
      </c>
      <c r="D698" s="763">
        <f t="shared" ca="1" si="146"/>
        <v>2</v>
      </c>
      <c r="E698" s="763">
        <f t="shared" ca="1" si="147"/>
        <v>1</v>
      </c>
      <c r="G698" s="628"/>
      <c r="H698" s="766" t="s">
        <v>368</v>
      </c>
      <c r="I698" s="629" t="str">
        <f t="shared" ca="1" si="148"/>
        <v>10.008.002.001</v>
      </c>
      <c r="J698" s="654" t="s">
        <v>1540</v>
      </c>
      <c r="K698" s="630" t="s">
        <v>1</v>
      </c>
      <c r="L698" s="631">
        <f>IMPERM.!D89</f>
        <v>64.430000000000007</v>
      </c>
      <c r="M698" s="631">
        <f>VLOOKUP(J698,Preços!$C$7:$F$498,4,FALSE)</f>
        <v>42.79</v>
      </c>
      <c r="N698" s="646">
        <f>L698*M698</f>
        <v>2756.9597000000003</v>
      </c>
      <c r="O698" s="854"/>
      <c r="P698" s="632" t="s">
        <v>333</v>
      </c>
      <c r="R698" s="742"/>
      <c r="S698" s="742"/>
    </row>
    <row r="699" spans="1:19" s="761" customFormat="1" ht="22.5" hidden="1" outlineLevel="3" x14ac:dyDescent="0.2">
      <c r="A699" s="762" t="e">
        <f ca="1">IF($H699="UNIDADE CONSTRUTIVA",OFFSET(A699,-1,0)+1,LARGE(A$3:A697,1))</f>
        <v>#NUM!</v>
      </c>
      <c r="B699" s="762">
        <f t="shared" ca="1" si="144"/>
        <v>10</v>
      </c>
      <c r="C699" s="762">
        <f t="shared" ca="1" si="145"/>
        <v>8</v>
      </c>
      <c r="D699" s="763">
        <f t="shared" ca="1" si="146"/>
        <v>2</v>
      </c>
      <c r="E699" s="763">
        <f t="shared" ca="1" si="147"/>
        <v>2</v>
      </c>
      <c r="G699" s="628"/>
      <c r="H699" s="766" t="s">
        <v>368</v>
      </c>
      <c r="I699" s="629" t="str">
        <f t="shared" ca="1" si="148"/>
        <v>10.008.002.002</v>
      </c>
      <c r="J699" s="654" t="s">
        <v>1465</v>
      </c>
      <c r="K699" s="630" t="s">
        <v>1</v>
      </c>
      <c r="L699" s="631">
        <f>IMPERM.!D83+IMPERM.!D84</f>
        <v>107.97</v>
      </c>
      <c r="M699" s="631">
        <f>VLOOKUP(J699,Preços!$C$7:$F$498,4,FALSE)</f>
        <v>85.58</v>
      </c>
      <c r="N699" s="646">
        <f>L699*M699</f>
        <v>9240.0725999999995</v>
      </c>
      <c r="O699" s="767"/>
      <c r="P699" s="632" t="s">
        <v>333</v>
      </c>
      <c r="R699" s="742"/>
      <c r="S699" s="742"/>
    </row>
    <row r="700" spans="1:19" s="761" customFormat="1" hidden="1" outlineLevel="2" collapsed="1" x14ac:dyDescent="0.2">
      <c r="A700" s="762" t="e">
        <f ca="1">IF($H700="UNIDADE CONSTRUTIVA",OFFSET(A700,-1,0)+1,LARGE(A$3:A699,1))</f>
        <v>#NUM!</v>
      </c>
      <c r="B700" s="762">
        <f ca="1">IF(H700="UNIDADE CONSTRUTIVA",0,IF(H700="CÉLULA CONSTRUTIVA",OFFSET(B700,-1,0)+1,OFFSET(B700,-1,0)))</f>
        <v>10</v>
      </c>
      <c r="C700" s="762">
        <f ca="1">IF(H700="CÉLULA CONSTRUTIVA",0,IF(H700="ETAPA",OFFSET(C700,-1,0)+1,OFFSET(C700,-1,0)))</f>
        <v>8</v>
      </c>
      <c r="D700" s="763">
        <f ca="1">IF(H700="ETAPA",0,IF(H700="SUBETAPA",OFFSET(D700,-1,0)+1,OFFSET(D700,-1,0)))</f>
        <v>3</v>
      </c>
      <c r="E700" s="763">
        <f ca="1">IF(H700="Subetapa",0,IF(H700="serviço",OFFSET(E700,-1,0)+1,OFFSET(E700,-1,0)))</f>
        <v>0</v>
      </c>
      <c r="G700" s="628"/>
      <c r="H700" s="766" t="s">
        <v>367</v>
      </c>
      <c r="I700" s="629" t="str">
        <f ca="1">IF(H700="Unidade Construtiva",TEXT(A700,"00"),IF(H700="Célula Construtiva",TEXT(B700,"00"),IF(H700="Etapa",CONCATENATE(TEXT(B700,"00"),".",TEXT(C700,"000")),IF(H700="Subetapa",CONCATENATE(TEXT(B700,"00"),".",TEXT(C700,"000"),".",TEXT(D700,"000")),IF(H700="Serviço",CONCATENATE(TEXT(B700,"00"),".",TEXT(C700,"000"),".",TEXT(D700,"000"),".",TEXT(E700,"000")),"")))))</f>
        <v>10.008.003</v>
      </c>
      <c r="J700" s="654" t="s">
        <v>186</v>
      </c>
      <c r="K700" s="630"/>
      <c r="L700" s="631"/>
      <c r="M700" s="631"/>
      <c r="N700" s="646">
        <f>SUM(N701:N702)</f>
        <v>4564.2</v>
      </c>
      <c r="O700" s="767"/>
      <c r="P700" s="632"/>
      <c r="R700" s="742"/>
      <c r="S700" s="742"/>
    </row>
    <row r="701" spans="1:19" s="761" customFormat="1" ht="22.5" hidden="1" outlineLevel="2" x14ac:dyDescent="0.2">
      <c r="A701" s="762" t="e">
        <f ca="1">IF($H701="UNIDADE CONSTRUTIVA",OFFSET(A701,-1,0)+1,LARGE(A$3:A700,1))</f>
        <v>#NUM!</v>
      </c>
      <c r="B701" s="762">
        <f ca="1">IF(H701="UNIDADE CONSTRUTIVA",0,IF(H701="CÉLULA CONSTRUTIVA",OFFSET(B701,-1,0)+1,OFFSET(B701,-1,0)))</f>
        <v>10</v>
      </c>
      <c r="C701" s="762">
        <f ca="1">IF(H701="CÉLULA CONSTRUTIVA",0,IF(H701="ETAPA",OFFSET(C701,-1,0)+1,OFFSET(C701,-1,0)))</f>
        <v>8</v>
      </c>
      <c r="D701" s="763">
        <f ca="1">IF(H701="ETAPA",0,IF(H701="SUBETAPA",OFFSET(D701,-1,0)+1,OFFSET(D701,-1,0)))</f>
        <v>3</v>
      </c>
      <c r="E701" s="763">
        <f ca="1">IF(H701="Subetapa",0,IF(H701="serviço",OFFSET(E701,-1,0)+1,OFFSET(E701,-1,0)))</f>
        <v>1</v>
      </c>
      <c r="G701" s="628"/>
      <c r="H701" s="766" t="s">
        <v>368</v>
      </c>
      <c r="I701" s="629" t="str">
        <f ca="1">IF(H701="Unidade Construtiva",TEXT(A701,"00"),IF(H701="Célula Construtiva",TEXT(B701,"00"),IF(H701="Etapa",CONCATENATE(TEXT(B701,"00"),".",TEXT(C701,"000")),IF(H701="Subetapa",CONCATENATE(TEXT(B701,"00"),".",TEXT(C701,"000"),".",TEXT(D701,"000")),IF(H701="Serviço",CONCATENATE(TEXT(B701,"00"),".",TEXT(C701,"000"),".",TEXT(D701,"000"),".",TEXT(E701,"000")),"")))))</f>
        <v>10.008.003.001</v>
      </c>
      <c r="J701" s="654" t="s">
        <v>988</v>
      </c>
      <c r="K701" s="630" t="s">
        <v>1</v>
      </c>
      <c r="L701" s="631">
        <f>L695</f>
        <v>38.799999999999997</v>
      </c>
      <c r="M701" s="631">
        <f>VLOOKUP(J701,Preços!$C$7:$F$498,4,FALSE)</f>
        <v>18</v>
      </c>
      <c r="N701" s="646">
        <f>L701*M701</f>
        <v>698.4</v>
      </c>
      <c r="O701" s="767"/>
      <c r="P701" s="632" t="s">
        <v>333</v>
      </c>
      <c r="R701" s="742"/>
      <c r="S701" s="742"/>
    </row>
    <row r="702" spans="1:19" s="761" customFormat="1" ht="22.5" hidden="1" outlineLevel="2" x14ac:dyDescent="0.2">
      <c r="A702" s="762" t="e">
        <f ca="1">IF($H702="UNIDADE CONSTRUTIVA",OFFSET(A702,-1,0)+1,LARGE(A$3:A701,1))</f>
        <v>#NUM!</v>
      </c>
      <c r="B702" s="762">
        <f ca="1">IF(H702="UNIDADE CONSTRUTIVA",0,IF(H702="CÉLULA CONSTRUTIVA",OFFSET(B702,-1,0)+1,OFFSET(B702,-1,0)))</f>
        <v>10</v>
      </c>
      <c r="C702" s="762">
        <f ca="1">IF(H702="CÉLULA CONSTRUTIVA",0,IF(H702="ETAPA",OFFSET(C702,-1,0)+1,OFFSET(C702,-1,0)))</f>
        <v>8</v>
      </c>
      <c r="D702" s="763">
        <f ca="1">IF(H702="ETAPA",0,IF(H702="SUBETAPA",OFFSET(D702,-1,0)+1,OFFSET(D702,-1,0)))</f>
        <v>3</v>
      </c>
      <c r="E702" s="763">
        <f ca="1">IF(H702="Subetapa",0,IF(H702="serviço",OFFSET(E702,-1,0)+1,OFFSET(E702,-1,0)))</f>
        <v>2</v>
      </c>
      <c r="G702" s="628"/>
      <c r="H702" s="766" t="s">
        <v>368</v>
      </c>
      <c r="I702" s="629" t="str">
        <f ca="1">IF(H702="Unidade Construtiva",TEXT(A702,"00"),IF(H702="Célula Construtiva",TEXT(B702,"00"),IF(H702="Etapa",CONCATENATE(TEXT(B702,"00"),".",TEXT(C702,"000")),IF(H702="Subetapa",CONCATENATE(TEXT(B702,"00"),".",TEXT(C702,"000"),".",TEXT(D702,"000")),IF(H702="Serviço",CONCATENATE(TEXT(B702,"00"),".",TEXT(C702,"000"),".",TEXT(D702,"000"),".",TEXT(E702,"000")),"")))))</f>
        <v>10.008.003.002</v>
      </c>
      <c r="J702" s="654" t="s">
        <v>990</v>
      </c>
      <c r="K702" s="630" t="s">
        <v>1</v>
      </c>
      <c r="L702" s="631">
        <f>L696</f>
        <v>64.430000000000007</v>
      </c>
      <c r="M702" s="631">
        <f>VLOOKUP(J702,Preços!$C$7:$F$498,4,FALSE)</f>
        <v>60</v>
      </c>
      <c r="N702" s="646">
        <f>L702*M702</f>
        <v>3865.8</v>
      </c>
      <c r="O702" s="767"/>
      <c r="P702" s="632" t="s">
        <v>333</v>
      </c>
      <c r="R702" s="742"/>
      <c r="S702" s="742"/>
    </row>
    <row r="703" spans="1:19" s="761" customFormat="1" collapsed="1" x14ac:dyDescent="0.2">
      <c r="A703" s="762" t="e">
        <f ca="1">IF($H703="UNIDADE CONSTRUTIVA",OFFSET(A703,-1,0)+1,LARGE(A$3:A1282,1))</f>
        <v>#NUM!</v>
      </c>
      <c r="B703" s="762">
        <f t="shared" ref="B703:B726" ca="1" si="149">IF(H703="UNIDADE CONSTRUTIVA",0,IF(H703="CÉLULA CONSTRUTIVA",OFFSET(B703,-1,0)+1,OFFSET(B703,-1,0)))</f>
        <v>11</v>
      </c>
      <c r="C703" s="762">
        <f t="shared" ref="C703:C726" ca="1" si="150">IF(H703="CÉLULA CONSTRUTIVA",0,IF(H703="ETAPA",OFFSET(C703,-1,0)+1,OFFSET(C703,-1,0)))</f>
        <v>0</v>
      </c>
      <c r="D703" s="763">
        <f t="shared" ref="D703:D726" ca="1" si="151">IF(H703="ETAPA",0,IF(H703="SUBETAPA",OFFSET(D703,-1,0)+1,OFFSET(D703,-1,0)))</f>
        <v>3</v>
      </c>
      <c r="E703" s="763">
        <f t="shared" ref="E703:E726" ca="1" si="152">IF(H703="Subetapa",0,IF(H703="serviço",OFFSET(E703,-1,0)+1,OFFSET(E703,-1,0)))</f>
        <v>2</v>
      </c>
      <c r="G703" s="628"/>
      <c r="H703" s="766" t="s">
        <v>365</v>
      </c>
      <c r="I703" s="629" t="str">
        <f t="shared" ref="I703:I733" ca="1" si="153">IF(H703="Unidade Construtiva",TEXT(A703,"00"),IF(H703="Célula Construtiva",TEXT(B703,"00"),IF(H703="Etapa",CONCATENATE(TEXT(B703,"00"),".",TEXT(C703,"000")),IF(H703="Subetapa",CONCATENATE(TEXT(B703,"00"),".",TEXT(C703,"000"),".",TEXT(D703,"000")),IF(H703="Serviço",CONCATENATE(TEXT(B703,"00"),".",TEXT(C703,"000"),".",TEXT(D703,"000"),".",TEXT(E703,"000")),"")))))</f>
        <v>11</v>
      </c>
      <c r="J703" s="654" t="s">
        <v>1651</v>
      </c>
      <c r="K703" s="630"/>
      <c r="L703" s="631"/>
      <c r="M703" s="631"/>
      <c r="N703" s="646">
        <f ca="1">SUM(N704,N725,N742,N759,N776,N793,N808,N820)</f>
        <v>1368092.6634624999</v>
      </c>
      <c r="O703" s="767"/>
      <c r="P703" s="632"/>
      <c r="R703" s="742"/>
      <c r="S703" s="742"/>
    </row>
    <row r="704" spans="1:19" s="761" customFormat="1" hidden="1" outlineLevel="1" collapsed="1" x14ac:dyDescent="0.2">
      <c r="A704" s="762" t="e">
        <f ca="1">IF($H704="UNIDADE CONSTRUTIVA",OFFSET(A704,-1,0)+1,LARGE(A$3:A703,1))</f>
        <v>#NUM!</v>
      </c>
      <c r="B704" s="762">
        <f t="shared" ca="1" si="149"/>
        <v>11</v>
      </c>
      <c r="C704" s="762">
        <f t="shared" ca="1" si="150"/>
        <v>1</v>
      </c>
      <c r="D704" s="763">
        <f t="shared" ca="1" si="151"/>
        <v>0</v>
      </c>
      <c r="E704" s="763">
        <f t="shared" ca="1" si="152"/>
        <v>2</v>
      </c>
      <c r="G704" s="628"/>
      <c r="H704" s="766" t="s">
        <v>366</v>
      </c>
      <c r="I704" s="629" t="str">
        <f t="shared" ca="1" si="153"/>
        <v>11.001</v>
      </c>
      <c r="J704" s="654" t="s">
        <v>1652</v>
      </c>
      <c r="K704" s="630"/>
      <c r="L704" s="631"/>
      <c r="M704" s="631"/>
      <c r="N704" s="646">
        <f>SUM(N705,N714,N719,N722)</f>
        <v>95469.620496499992</v>
      </c>
      <c r="O704" s="767"/>
      <c r="P704" s="632"/>
      <c r="R704" s="742"/>
      <c r="S704" s="742"/>
    </row>
    <row r="705" spans="1:19" s="761" customFormat="1" hidden="1" outlineLevel="2" collapsed="1" x14ac:dyDescent="0.2">
      <c r="A705" s="762" t="e">
        <f ca="1">IF($H705="UNIDADE CONSTRUTIVA",OFFSET(A705,-1,0)+1,LARGE(A$3:A1012,1))</f>
        <v>#NUM!</v>
      </c>
      <c r="B705" s="762">
        <f t="shared" ca="1" si="149"/>
        <v>11</v>
      </c>
      <c r="C705" s="762">
        <f t="shared" ca="1" si="150"/>
        <v>1</v>
      </c>
      <c r="D705" s="763">
        <f t="shared" ca="1" si="151"/>
        <v>1</v>
      </c>
      <c r="E705" s="763">
        <f t="shared" ca="1" si="152"/>
        <v>0</v>
      </c>
      <c r="G705" s="628"/>
      <c r="H705" s="766" t="s">
        <v>367</v>
      </c>
      <c r="I705" s="629" t="str">
        <f t="shared" ca="1" si="153"/>
        <v>11.001.001</v>
      </c>
      <c r="J705" s="654" t="s">
        <v>792</v>
      </c>
      <c r="K705" s="630"/>
      <c r="L705" s="631"/>
      <c r="M705" s="631"/>
      <c r="N705" s="646">
        <f>SUM(N706:N713)</f>
        <v>11955.896791499999</v>
      </c>
      <c r="O705" s="767"/>
      <c r="P705" s="632"/>
      <c r="R705" s="742"/>
      <c r="S705" s="742"/>
    </row>
    <row r="706" spans="1:19" s="761" customFormat="1" ht="22.5" hidden="1" outlineLevel="3" x14ac:dyDescent="0.2">
      <c r="A706" s="762" t="e">
        <f ca="1">IF($H706="UNIDADE CONSTRUTIVA",OFFSET(A706,-1,0)+1,LARGE(A$3:A705,1))</f>
        <v>#NUM!</v>
      </c>
      <c r="B706" s="762">
        <f t="shared" ca="1" si="149"/>
        <v>11</v>
      </c>
      <c r="C706" s="762">
        <f t="shared" ca="1" si="150"/>
        <v>1</v>
      </c>
      <c r="D706" s="763">
        <f t="shared" ca="1" si="151"/>
        <v>1</v>
      </c>
      <c r="E706" s="763">
        <f t="shared" ca="1" si="152"/>
        <v>1</v>
      </c>
      <c r="G706" s="628"/>
      <c r="H706" s="766" t="s">
        <v>368</v>
      </c>
      <c r="I706" s="629" t="str">
        <f t="shared" ca="1" si="153"/>
        <v>11.001.001.001</v>
      </c>
      <c r="J706" s="654" t="s">
        <v>793</v>
      </c>
      <c r="K706" s="630" t="s">
        <v>1</v>
      </c>
      <c r="L706" s="631">
        <f>ARQ.!C30</f>
        <v>5.8</v>
      </c>
      <c r="M706" s="631">
        <f>VLOOKUP(J706,Preços!$C$7:$F$498,4,FALSE)</f>
        <v>17.82</v>
      </c>
      <c r="N706" s="646">
        <f t="shared" ref="N706:N713" si="154">L706*M706</f>
        <v>103.35599999999999</v>
      </c>
      <c r="O706" s="767"/>
      <c r="P706" s="632" t="s">
        <v>333</v>
      </c>
      <c r="R706" s="742"/>
      <c r="S706" s="742"/>
    </row>
    <row r="707" spans="1:19" s="761" customFormat="1" ht="22.5" hidden="1" outlineLevel="3" x14ac:dyDescent="0.2">
      <c r="A707" s="762" t="e">
        <f ca="1">IF($H707="UNIDADE CONSTRUTIVA",OFFSET(A707,-1,0)+1,LARGE(A$3:A706,1))</f>
        <v>#NUM!</v>
      </c>
      <c r="B707" s="762">
        <f t="shared" ca="1" si="149"/>
        <v>11</v>
      </c>
      <c r="C707" s="762">
        <f t="shared" ca="1" si="150"/>
        <v>1</v>
      </c>
      <c r="D707" s="763">
        <f t="shared" ca="1" si="151"/>
        <v>1</v>
      </c>
      <c r="E707" s="763">
        <f t="shared" ca="1" si="152"/>
        <v>2</v>
      </c>
      <c r="G707" s="628"/>
      <c r="H707" s="766" t="s">
        <v>368</v>
      </c>
      <c r="I707" s="629" t="str">
        <f t="shared" ca="1" si="153"/>
        <v>11.001.001.002</v>
      </c>
      <c r="J707" s="654" t="s">
        <v>794</v>
      </c>
      <c r="K707" s="630" t="s">
        <v>1</v>
      </c>
      <c r="L707" s="631">
        <f>ARQ.!C31</f>
        <v>14.4</v>
      </c>
      <c r="M707" s="631">
        <f>VLOOKUP(J707,Preços!$C$7:$F$498,4,FALSE)</f>
        <v>22.274999999999999</v>
      </c>
      <c r="N707" s="646">
        <f t="shared" si="154"/>
        <v>320.76</v>
      </c>
      <c r="O707" s="767"/>
      <c r="P707" s="632" t="s">
        <v>333</v>
      </c>
      <c r="R707" s="742"/>
      <c r="S707" s="742"/>
    </row>
    <row r="708" spans="1:19" s="761" customFormat="1" ht="22.5" hidden="1" outlineLevel="3" x14ac:dyDescent="0.2">
      <c r="A708" s="762" t="e">
        <f ca="1">IF($H708="UNIDADE CONSTRUTIVA",OFFSET(A708,-1,0)+1,LARGE(A$3:A707,1))</f>
        <v>#NUM!</v>
      </c>
      <c r="B708" s="762">
        <f t="shared" ca="1" si="149"/>
        <v>11</v>
      </c>
      <c r="C708" s="762">
        <f t="shared" ca="1" si="150"/>
        <v>1</v>
      </c>
      <c r="D708" s="763">
        <f t="shared" ca="1" si="151"/>
        <v>1</v>
      </c>
      <c r="E708" s="763">
        <f t="shared" ca="1" si="152"/>
        <v>3</v>
      </c>
      <c r="G708" s="628"/>
      <c r="H708" s="766" t="s">
        <v>368</v>
      </c>
      <c r="I708" s="629" t="str">
        <f t="shared" ca="1" si="153"/>
        <v>11.001.001.003</v>
      </c>
      <c r="J708" s="654" t="s">
        <v>795</v>
      </c>
      <c r="K708" s="630" t="s">
        <v>1</v>
      </c>
      <c r="L708" s="631">
        <f>ARQ.!C32</f>
        <v>202.01</v>
      </c>
      <c r="M708" s="631">
        <f>VLOOKUP(J708,Preços!$C$7:$F$498,4,FALSE)</f>
        <v>26.73</v>
      </c>
      <c r="N708" s="646">
        <f t="shared" si="154"/>
        <v>5399.7272999999996</v>
      </c>
      <c r="O708" s="767"/>
      <c r="P708" s="632" t="s">
        <v>333</v>
      </c>
      <c r="R708" s="742"/>
      <c r="S708" s="742"/>
    </row>
    <row r="709" spans="1:19" s="761" customFormat="1" ht="22.5" hidden="1" outlineLevel="3" x14ac:dyDescent="0.2">
      <c r="A709" s="762" t="e">
        <f ca="1">IF($H709="UNIDADE CONSTRUTIVA",OFFSET(A709,-1,0)+1,LARGE(A$3:A708,1))</f>
        <v>#NUM!</v>
      </c>
      <c r="B709" s="762">
        <f t="shared" ca="1" si="149"/>
        <v>11</v>
      </c>
      <c r="C709" s="762">
        <f t="shared" ca="1" si="150"/>
        <v>1</v>
      </c>
      <c r="D709" s="763">
        <f t="shared" ca="1" si="151"/>
        <v>1</v>
      </c>
      <c r="E709" s="763">
        <f t="shared" ca="1" si="152"/>
        <v>4</v>
      </c>
      <c r="G709" s="628"/>
      <c r="H709" s="766" t="s">
        <v>368</v>
      </c>
      <c r="I709" s="629" t="str">
        <f t="shared" ca="1" si="153"/>
        <v>11.001.001.004</v>
      </c>
      <c r="J709" s="654" t="s">
        <v>796</v>
      </c>
      <c r="K709" s="630" t="s">
        <v>1</v>
      </c>
      <c r="L709" s="631">
        <f>ARQ.!C33</f>
        <v>8.6</v>
      </c>
      <c r="M709" s="631">
        <f>VLOOKUP(J709,Preços!$C$7:$F$498,4,FALSE)</f>
        <v>35.64</v>
      </c>
      <c r="N709" s="646">
        <f t="shared" si="154"/>
        <v>306.50400000000002</v>
      </c>
      <c r="O709" s="767"/>
      <c r="P709" s="632" t="s">
        <v>333</v>
      </c>
      <c r="R709" s="742"/>
      <c r="S709" s="742"/>
    </row>
    <row r="710" spans="1:19" s="761" customFormat="1" ht="22.5" hidden="1" outlineLevel="3" x14ac:dyDescent="0.2">
      <c r="A710" s="762" t="e">
        <f ca="1">IF($H710="UNIDADE CONSTRUTIVA",OFFSET(A710,-1,0)+1,LARGE(A$3:A709,1))</f>
        <v>#NUM!</v>
      </c>
      <c r="B710" s="762">
        <f t="shared" ca="1" si="149"/>
        <v>11</v>
      </c>
      <c r="C710" s="762">
        <f t="shared" ca="1" si="150"/>
        <v>1</v>
      </c>
      <c r="D710" s="763">
        <f t="shared" ca="1" si="151"/>
        <v>1</v>
      </c>
      <c r="E710" s="763">
        <f t="shared" ca="1" si="152"/>
        <v>5</v>
      </c>
      <c r="G710" s="628"/>
      <c r="H710" s="766" t="s">
        <v>368</v>
      </c>
      <c r="I710" s="629" t="str">
        <f t="shared" ca="1" si="153"/>
        <v>11.001.001.005</v>
      </c>
      <c r="J710" s="654" t="s">
        <v>797</v>
      </c>
      <c r="K710" s="630" t="s">
        <v>1</v>
      </c>
      <c r="L710" s="631">
        <f>ARQ.!C34+ARQ.!C35</f>
        <v>13.38</v>
      </c>
      <c r="M710" s="631">
        <f>VLOOKUP(J710,Preços!$C$7:$F$498,4,FALSE)</f>
        <v>8.91</v>
      </c>
      <c r="N710" s="646">
        <f t="shared" si="154"/>
        <v>119.21580000000002</v>
      </c>
      <c r="O710" s="767"/>
      <c r="P710" s="632" t="s">
        <v>333</v>
      </c>
      <c r="R710" s="742"/>
      <c r="S710" s="742"/>
    </row>
    <row r="711" spans="1:19" s="761" customFormat="1" ht="22.5" hidden="1" outlineLevel="3" x14ac:dyDescent="0.2">
      <c r="A711" s="762" t="e">
        <f ca="1">IF($H711="UNIDADE CONSTRUTIVA",OFFSET(A711,-1,0)+1,LARGE(A$3:A710,1))</f>
        <v>#NUM!</v>
      </c>
      <c r="B711" s="762">
        <f t="shared" ca="1" si="149"/>
        <v>11</v>
      </c>
      <c r="C711" s="762">
        <f t="shared" ca="1" si="150"/>
        <v>1</v>
      </c>
      <c r="D711" s="763">
        <f t="shared" ca="1" si="151"/>
        <v>1</v>
      </c>
      <c r="E711" s="763">
        <f t="shared" ca="1" si="152"/>
        <v>6</v>
      </c>
      <c r="G711" s="628"/>
      <c r="H711" s="766" t="s">
        <v>368</v>
      </c>
      <c r="I711" s="629" t="str">
        <f t="shared" ca="1" si="153"/>
        <v>11.001.001.006</v>
      </c>
      <c r="J711" s="654" t="s">
        <v>1453</v>
      </c>
      <c r="K711" s="630" t="s">
        <v>1</v>
      </c>
      <c r="L711" s="631">
        <f>ARQ.!C37</f>
        <v>158.22999999999999</v>
      </c>
      <c r="M711" s="631">
        <f>VLOOKUP(J711,Preços!$C$7:$F$498,4,FALSE)</f>
        <v>13.365</v>
      </c>
      <c r="N711" s="646">
        <f t="shared" si="154"/>
        <v>2114.74395</v>
      </c>
      <c r="O711" s="767"/>
      <c r="P711" s="632" t="s">
        <v>333</v>
      </c>
      <c r="R711" s="742"/>
      <c r="S711" s="742"/>
    </row>
    <row r="712" spans="1:19" s="761" customFormat="1" ht="22.5" hidden="1" outlineLevel="3" x14ac:dyDescent="0.2">
      <c r="A712" s="762" t="e">
        <f ca="1">IF($H712="UNIDADE CONSTRUTIVA",OFFSET(A712,-1,0)+1,LARGE(A$3:A711,1))</f>
        <v>#NUM!</v>
      </c>
      <c r="B712" s="762">
        <f t="shared" ca="1" si="149"/>
        <v>11</v>
      </c>
      <c r="C712" s="762">
        <f t="shared" ca="1" si="150"/>
        <v>1</v>
      </c>
      <c r="D712" s="763">
        <f t="shared" ca="1" si="151"/>
        <v>1</v>
      </c>
      <c r="E712" s="763">
        <f t="shared" ca="1" si="152"/>
        <v>7</v>
      </c>
      <c r="G712" s="628"/>
      <c r="H712" s="766" t="s">
        <v>368</v>
      </c>
      <c r="I712" s="629" t="str">
        <f t="shared" ca="1" si="153"/>
        <v>11.001.001.007</v>
      </c>
      <c r="J712" s="654" t="s">
        <v>1454</v>
      </c>
      <c r="K712" s="630" t="s">
        <v>1</v>
      </c>
      <c r="L712" s="631">
        <f>ARQ.!C38</f>
        <v>90.45</v>
      </c>
      <c r="M712" s="631">
        <f>VLOOKUP(J712,Preços!$C$7:$F$498,4,FALSE)</f>
        <v>20.25</v>
      </c>
      <c r="N712" s="646">
        <f t="shared" si="154"/>
        <v>1831.6125</v>
      </c>
      <c r="O712" s="767"/>
      <c r="P712" s="632" t="s">
        <v>333</v>
      </c>
      <c r="R712" s="742"/>
      <c r="S712" s="742"/>
    </row>
    <row r="713" spans="1:19" s="761" customFormat="1" ht="22.5" hidden="1" outlineLevel="3" x14ac:dyDescent="0.2">
      <c r="A713" s="762" t="e">
        <f ca="1">IF($H713="UNIDADE CONSTRUTIVA",OFFSET(A713,-1,0)+1,LARGE(A$3:A712,1))</f>
        <v>#NUM!</v>
      </c>
      <c r="B713" s="762">
        <f t="shared" ca="1" si="149"/>
        <v>11</v>
      </c>
      <c r="C713" s="762">
        <f t="shared" ca="1" si="150"/>
        <v>1</v>
      </c>
      <c r="D713" s="763">
        <f t="shared" ca="1" si="151"/>
        <v>1</v>
      </c>
      <c r="E713" s="763">
        <f t="shared" ca="1" si="152"/>
        <v>8</v>
      </c>
      <c r="G713" s="628"/>
      <c r="H713" s="766" t="s">
        <v>368</v>
      </c>
      <c r="I713" s="629" t="str">
        <f t="shared" ca="1" si="153"/>
        <v>11.001.001.008</v>
      </c>
      <c r="J713" s="654" t="s">
        <v>1156</v>
      </c>
      <c r="K713" s="630" t="s">
        <v>1</v>
      </c>
      <c r="L713" s="631">
        <f>ARQ.!E41</f>
        <v>235.13390000000001</v>
      </c>
      <c r="M713" s="631">
        <f>VLOOKUP(J713,Preços!$C$7:$F$498,4,FALSE)</f>
        <v>7.4850000000000003</v>
      </c>
      <c r="N713" s="646">
        <f t="shared" si="154"/>
        <v>1759.9772415000002</v>
      </c>
      <c r="O713" s="767"/>
      <c r="P713" s="632" t="s">
        <v>333</v>
      </c>
      <c r="R713" s="742"/>
      <c r="S713" s="742"/>
    </row>
    <row r="714" spans="1:19" s="761" customFormat="1" hidden="1" outlineLevel="2" collapsed="1" x14ac:dyDescent="0.2">
      <c r="A714" s="762" t="e">
        <f ca="1">IF($H714="UNIDADE CONSTRUTIVA",OFFSET(A714,-1,0)+1,LARGE(A$3:A704,1))</f>
        <v>#NUM!</v>
      </c>
      <c r="B714" s="762">
        <f t="shared" ca="1" si="149"/>
        <v>11</v>
      </c>
      <c r="C714" s="762">
        <f t="shared" ca="1" si="150"/>
        <v>1</v>
      </c>
      <c r="D714" s="763">
        <f t="shared" ca="1" si="151"/>
        <v>2</v>
      </c>
      <c r="E714" s="763">
        <f t="shared" ca="1" si="152"/>
        <v>0</v>
      </c>
      <c r="G714" s="628"/>
      <c r="H714" s="766" t="s">
        <v>367</v>
      </c>
      <c r="I714" s="629" t="str">
        <f t="shared" ca="1" si="153"/>
        <v>11.001.002</v>
      </c>
      <c r="J714" s="654" t="s">
        <v>781</v>
      </c>
      <c r="K714" s="630"/>
      <c r="L714" s="631"/>
      <c r="M714" s="631"/>
      <c r="N714" s="646">
        <f>SUM(N715:N718)</f>
        <v>23026.951105</v>
      </c>
      <c r="O714" s="767"/>
      <c r="P714" s="632"/>
      <c r="R714" s="742"/>
      <c r="S714" s="742"/>
    </row>
    <row r="715" spans="1:19" s="761" customFormat="1" ht="22.5" hidden="1" outlineLevel="3" x14ac:dyDescent="0.2">
      <c r="A715" s="762" t="e">
        <f ca="1">IF($H715="UNIDADE CONSTRUTIVA",OFFSET(A715,-1,0)+1,LARGE(A$3:A716,1))</f>
        <v>#NUM!</v>
      </c>
      <c r="B715" s="762">
        <f t="shared" ca="1" si="149"/>
        <v>11</v>
      </c>
      <c r="C715" s="762">
        <f t="shared" ca="1" si="150"/>
        <v>1</v>
      </c>
      <c r="D715" s="763">
        <f t="shared" ca="1" si="151"/>
        <v>2</v>
      </c>
      <c r="E715" s="763">
        <f t="shared" ca="1" si="152"/>
        <v>1</v>
      </c>
      <c r="G715" s="628"/>
      <c r="H715" s="766" t="s">
        <v>368</v>
      </c>
      <c r="I715" s="629" t="str">
        <f t="shared" ca="1" si="153"/>
        <v>11.001.002.001</v>
      </c>
      <c r="J715" s="654" t="s">
        <v>799</v>
      </c>
      <c r="K715" s="630" t="s">
        <v>1</v>
      </c>
      <c r="L715" s="631">
        <f>ARQ.!C43</f>
        <v>918.95</v>
      </c>
      <c r="M715" s="631">
        <f>VLOOKUP(J715,Preços!$C$7:$F$498,4,FALSE)</f>
        <v>2.5165999999999999</v>
      </c>
      <c r="N715" s="646">
        <f>L715*M715</f>
        <v>2312.6295700000001</v>
      </c>
      <c r="O715" s="767"/>
      <c r="P715" s="632" t="s">
        <v>333</v>
      </c>
      <c r="R715" s="742"/>
      <c r="S715" s="742"/>
    </row>
    <row r="716" spans="1:19" s="761" customFormat="1" ht="33.75" hidden="1" outlineLevel="3" x14ac:dyDescent="0.2">
      <c r="A716" s="762" t="e">
        <f ca="1">IF($H716="UNIDADE CONSTRUTIVA",OFFSET(A716,-1,0)+1,LARGE(A$3:A714,1))</f>
        <v>#NUM!</v>
      </c>
      <c r="B716" s="762">
        <f t="shared" ca="1" si="149"/>
        <v>11</v>
      </c>
      <c r="C716" s="762">
        <f t="shared" ca="1" si="150"/>
        <v>1</v>
      </c>
      <c r="D716" s="763">
        <f t="shared" ca="1" si="151"/>
        <v>2</v>
      </c>
      <c r="E716" s="763">
        <f t="shared" ca="1" si="152"/>
        <v>2</v>
      </c>
      <c r="G716" s="628"/>
      <c r="H716" s="766" t="s">
        <v>368</v>
      </c>
      <c r="I716" s="629" t="str">
        <f t="shared" ca="1" si="153"/>
        <v>11.001.002.002</v>
      </c>
      <c r="J716" s="654" t="s">
        <v>798</v>
      </c>
      <c r="K716" s="630" t="s">
        <v>1</v>
      </c>
      <c r="L716" s="631">
        <f>ARQ.!C44</f>
        <v>238.42</v>
      </c>
      <c r="M716" s="631">
        <f>VLOOKUP(J716,Preços!$C$7:$F$498,4,FALSE)</f>
        <v>6.6079999999999997</v>
      </c>
      <c r="N716" s="646">
        <f>L716*M716</f>
        <v>1575.4793599999998</v>
      </c>
      <c r="O716" s="767"/>
      <c r="P716" s="632" t="s">
        <v>333</v>
      </c>
      <c r="R716" s="742"/>
      <c r="S716" s="742"/>
    </row>
    <row r="717" spans="1:19" s="761" customFormat="1" ht="22.5" hidden="1" outlineLevel="3" x14ac:dyDescent="0.2">
      <c r="A717" s="762" t="e">
        <f ca="1">IF($H717="UNIDADE CONSTRUTIVA",OFFSET(A717,-1,0)+1,LARGE(A$3:A715,1))</f>
        <v>#NUM!</v>
      </c>
      <c r="B717" s="762">
        <f t="shared" ca="1" si="149"/>
        <v>11</v>
      </c>
      <c r="C717" s="762">
        <f t="shared" ca="1" si="150"/>
        <v>1</v>
      </c>
      <c r="D717" s="763">
        <f t="shared" ca="1" si="151"/>
        <v>2</v>
      </c>
      <c r="E717" s="763">
        <f t="shared" ca="1" si="152"/>
        <v>3</v>
      </c>
      <c r="G717" s="628"/>
      <c r="H717" s="766" t="s">
        <v>368</v>
      </c>
      <c r="I717" s="629" t="str">
        <f t="shared" ca="1" si="153"/>
        <v>11.001.002.003</v>
      </c>
      <c r="J717" s="654" t="s">
        <v>800</v>
      </c>
      <c r="K717" s="630" t="s">
        <v>1</v>
      </c>
      <c r="L717" s="631">
        <f>ARQ.!C46</f>
        <v>1157.3699999999999</v>
      </c>
      <c r="M717" s="631">
        <f>VLOOKUP(J717,Preços!$C$7:$F$498,4,FALSE)</f>
        <v>15.9975</v>
      </c>
      <c r="N717" s="646">
        <f>L717*M717</f>
        <v>18515.026575</v>
      </c>
      <c r="O717" s="767"/>
      <c r="P717" s="632" t="s">
        <v>333</v>
      </c>
      <c r="R717" s="742"/>
      <c r="S717" s="742"/>
    </row>
    <row r="718" spans="1:19" s="761" customFormat="1" ht="22.5" hidden="1" outlineLevel="3" x14ac:dyDescent="0.2">
      <c r="A718" s="762" t="e">
        <f ca="1">IF($H718="UNIDADE CONSTRUTIVA",OFFSET(A718,-1,0)+1,LARGE(A$3:A717,1))</f>
        <v>#NUM!</v>
      </c>
      <c r="B718" s="762">
        <f t="shared" ca="1" si="149"/>
        <v>11</v>
      </c>
      <c r="C718" s="762">
        <f t="shared" ca="1" si="150"/>
        <v>1</v>
      </c>
      <c r="D718" s="763">
        <f t="shared" ca="1" si="151"/>
        <v>2</v>
      </c>
      <c r="E718" s="763">
        <f t="shared" ca="1" si="152"/>
        <v>4</v>
      </c>
      <c r="G718" s="628"/>
      <c r="H718" s="766" t="s">
        <v>368</v>
      </c>
      <c r="I718" s="629" t="str">
        <f t="shared" ca="1" si="153"/>
        <v>11.001.002.004</v>
      </c>
      <c r="J718" s="654" t="s">
        <v>214</v>
      </c>
      <c r="K718" s="630" t="s">
        <v>1</v>
      </c>
      <c r="L718" s="631">
        <f>ARQ.!C48</f>
        <v>120.08</v>
      </c>
      <c r="M718" s="631">
        <f>VLOOKUP(J718,Preços!$C$7:$F$498,4,FALSE)</f>
        <v>5.1950000000000003</v>
      </c>
      <c r="N718" s="646">
        <f>L718*M718</f>
        <v>623.81560000000002</v>
      </c>
      <c r="O718" s="767"/>
      <c r="P718" s="632" t="s">
        <v>333</v>
      </c>
      <c r="R718" s="742"/>
      <c r="S718" s="742"/>
    </row>
    <row r="719" spans="1:19" s="761" customFormat="1" hidden="1" outlineLevel="2" collapsed="1" x14ac:dyDescent="0.2">
      <c r="A719" s="762" t="e">
        <f ca="1">IF($H719="UNIDADE CONSTRUTIVA",OFFSET(A719,-1,0)+1,LARGE(A$3:A718,1))</f>
        <v>#NUM!</v>
      </c>
      <c r="B719" s="762">
        <f t="shared" ca="1" si="149"/>
        <v>11</v>
      </c>
      <c r="C719" s="762">
        <f t="shared" ca="1" si="150"/>
        <v>1</v>
      </c>
      <c r="D719" s="763">
        <f t="shared" ca="1" si="151"/>
        <v>3</v>
      </c>
      <c r="E719" s="763">
        <f t="shared" ca="1" si="152"/>
        <v>0</v>
      </c>
      <c r="G719" s="628"/>
      <c r="H719" s="766" t="s">
        <v>367</v>
      </c>
      <c r="I719" s="629" t="str">
        <f t="shared" ca="1" si="153"/>
        <v>11.001.003</v>
      </c>
      <c r="J719" s="654" t="s">
        <v>804</v>
      </c>
      <c r="K719" s="630"/>
      <c r="L719" s="631"/>
      <c r="M719" s="631"/>
      <c r="N719" s="646">
        <f>SUM(N720:N721)</f>
        <v>20809.172599999998</v>
      </c>
      <c r="O719" s="767"/>
      <c r="P719" s="632"/>
      <c r="R719" s="742"/>
      <c r="S719" s="742"/>
    </row>
    <row r="720" spans="1:19" s="761" customFormat="1" ht="22.5" hidden="1" outlineLevel="3" x14ac:dyDescent="0.2">
      <c r="A720" s="762" t="e">
        <f ca="1">IF($H720="UNIDADE CONSTRUTIVA",OFFSET(A720,-1,0)+1,LARGE(A$3:A719,1))</f>
        <v>#NUM!</v>
      </c>
      <c r="B720" s="762">
        <f t="shared" ca="1" si="149"/>
        <v>11</v>
      </c>
      <c r="C720" s="762">
        <f t="shared" ca="1" si="150"/>
        <v>1</v>
      </c>
      <c r="D720" s="763">
        <f t="shared" ca="1" si="151"/>
        <v>3</v>
      </c>
      <c r="E720" s="763">
        <f t="shared" ca="1" si="152"/>
        <v>1</v>
      </c>
      <c r="G720" s="628"/>
      <c r="H720" s="766" t="s">
        <v>368</v>
      </c>
      <c r="I720" s="629" t="str">
        <f t="shared" ca="1" si="153"/>
        <v>11.001.003.001</v>
      </c>
      <c r="J720" s="654" t="s">
        <v>974</v>
      </c>
      <c r="K720" s="630" t="s">
        <v>1</v>
      </c>
      <c r="L720" s="631">
        <f>SUM(L706:L712)</f>
        <v>492.86999999999995</v>
      </c>
      <c r="M720" s="631">
        <f>VLOOKUP(J720,Preços!$C$7:$F$498,4,FALSE)</f>
        <v>26</v>
      </c>
      <c r="N720" s="646">
        <f>L720*M720</f>
        <v>12814.619999999999</v>
      </c>
      <c r="O720" s="767"/>
      <c r="P720" s="632" t="s">
        <v>333</v>
      </c>
      <c r="R720" s="742"/>
      <c r="S720" s="742"/>
    </row>
    <row r="721" spans="1:19" s="761" customFormat="1" ht="22.5" hidden="1" outlineLevel="3" x14ac:dyDescent="0.2">
      <c r="A721" s="762" t="e">
        <f ca="1">IF($H721="UNIDADE CONSTRUTIVA",OFFSET(A721,-1,0)+1,LARGE(A$3:A720,1))</f>
        <v>#NUM!</v>
      </c>
      <c r="B721" s="762">
        <f t="shared" ca="1" si="149"/>
        <v>11</v>
      </c>
      <c r="C721" s="762">
        <f t="shared" ca="1" si="150"/>
        <v>1</v>
      </c>
      <c r="D721" s="763">
        <f t="shared" ca="1" si="151"/>
        <v>3</v>
      </c>
      <c r="E721" s="763">
        <f t="shared" ca="1" si="152"/>
        <v>2</v>
      </c>
      <c r="G721" s="628"/>
      <c r="H721" s="766" t="s">
        <v>368</v>
      </c>
      <c r="I721" s="629" t="str">
        <f t="shared" ca="1" si="153"/>
        <v>11.001.003.002</v>
      </c>
      <c r="J721" s="654" t="s">
        <v>1445</v>
      </c>
      <c r="K721" s="630" t="s">
        <v>1</v>
      </c>
      <c r="L721" s="631">
        <f>SUM(L713)</f>
        <v>235.13390000000001</v>
      </c>
      <c r="M721" s="631">
        <f>VLOOKUP(J721,Preços!$C$7:$F$498,4,FALSE)</f>
        <v>34</v>
      </c>
      <c r="N721" s="646">
        <f>L721*M721</f>
        <v>7994.5526</v>
      </c>
      <c r="O721" s="854"/>
      <c r="P721" s="632" t="s">
        <v>333</v>
      </c>
      <c r="R721" s="742"/>
      <c r="S721" s="742"/>
    </row>
    <row r="722" spans="1:19" s="761" customFormat="1" hidden="1" outlineLevel="2" collapsed="1" x14ac:dyDescent="0.2">
      <c r="A722" s="762" t="e">
        <f ca="1">IF($H722="UNIDADE CONSTRUTIVA",OFFSET(A722,-1,0)+1,LARGE(A$3:A720,1))</f>
        <v>#NUM!</v>
      </c>
      <c r="B722" s="762">
        <f t="shared" ca="1" si="149"/>
        <v>11</v>
      </c>
      <c r="C722" s="762">
        <f t="shared" ca="1" si="150"/>
        <v>1</v>
      </c>
      <c r="D722" s="763">
        <f t="shared" ca="1" si="151"/>
        <v>4</v>
      </c>
      <c r="E722" s="763">
        <f t="shared" ca="1" si="152"/>
        <v>0</v>
      </c>
      <c r="G722" s="628"/>
      <c r="H722" s="766" t="s">
        <v>367</v>
      </c>
      <c r="I722" s="629" t="str">
        <f t="shared" ca="1" si="153"/>
        <v>11.001.004</v>
      </c>
      <c r="J722" s="654" t="s">
        <v>782</v>
      </c>
      <c r="K722" s="630"/>
      <c r="L722" s="631"/>
      <c r="M722" s="631"/>
      <c r="N722" s="646">
        <f>SUM(N723:N724)</f>
        <v>39677.599999999999</v>
      </c>
      <c r="O722" s="767"/>
      <c r="P722" s="632"/>
      <c r="R722" s="742"/>
      <c r="S722" s="742"/>
    </row>
    <row r="723" spans="1:19" s="761" customFormat="1" ht="22.5" hidden="1" outlineLevel="4" x14ac:dyDescent="0.2">
      <c r="A723" s="762" t="e">
        <f ca="1">IF($H723="UNIDADE CONSTRUTIVA",OFFSET(A723,-1,0)+1,LARGE(A$3:A722,1))</f>
        <v>#NUM!</v>
      </c>
      <c r="B723" s="762">
        <f t="shared" ca="1" si="149"/>
        <v>11</v>
      </c>
      <c r="C723" s="762">
        <f t="shared" ca="1" si="150"/>
        <v>1</v>
      </c>
      <c r="D723" s="763">
        <f t="shared" ca="1" si="151"/>
        <v>4</v>
      </c>
      <c r="E723" s="763">
        <f t="shared" ca="1" si="152"/>
        <v>1</v>
      </c>
      <c r="G723" s="628"/>
      <c r="H723" s="766" t="s">
        <v>368</v>
      </c>
      <c r="I723" s="629" t="str">
        <f t="shared" ca="1" si="153"/>
        <v>11.001.004.001</v>
      </c>
      <c r="J723" s="654" t="s">
        <v>1446</v>
      </c>
      <c r="K723" s="630" t="s">
        <v>1</v>
      </c>
      <c r="L723" s="631">
        <f>SUM(L717)</f>
        <v>1157.3699999999999</v>
      </c>
      <c r="M723" s="631">
        <f>VLOOKUP(J723,Preços!$C$7:$F$498,4,FALSE)</f>
        <v>32</v>
      </c>
      <c r="N723" s="646">
        <f>L723*M723</f>
        <v>37035.839999999997</v>
      </c>
      <c r="O723" s="854"/>
      <c r="P723" s="632" t="s">
        <v>333</v>
      </c>
      <c r="R723" s="742"/>
      <c r="S723" s="742"/>
    </row>
    <row r="724" spans="1:19" s="761" customFormat="1" ht="22.5" hidden="1" outlineLevel="4" x14ac:dyDescent="0.2">
      <c r="A724" s="762" t="e">
        <f ca="1">IF($H724="UNIDADE CONSTRUTIVA",OFFSET(A724,-1,0)+1,LARGE(A$3:A736,1))</f>
        <v>#NUM!</v>
      </c>
      <c r="B724" s="762">
        <f ca="1">IF(H724="UNIDADE CONSTRUTIVA",0,IF(H724="CÉLULA CONSTRUTIVA",OFFSET(B724,-1,0)+1,OFFSET(B724,-1,0)))</f>
        <v>11</v>
      </c>
      <c r="C724" s="762">
        <f ca="1">IF(H724="CÉLULA CONSTRUTIVA",0,IF(H724="ETAPA",OFFSET(C724,-1,0)+1,OFFSET(C724,-1,0)))</f>
        <v>1</v>
      </c>
      <c r="D724" s="763">
        <f ca="1">IF(H724="ETAPA",0,IF(H724="SUBETAPA",OFFSET(D724,-1,0)+1,OFFSET(D724,-1,0)))</f>
        <v>4</v>
      </c>
      <c r="E724" s="763">
        <f ca="1">IF(H724="Subetapa",0,IF(H724="serviço",OFFSET(E724,-1,0)+1,OFFSET(E724,-1,0)))</f>
        <v>2</v>
      </c>
      <c r="G724" s="628"/>
      <c r="H724" s="766" t="s">
        <v>368</v>
      </c>
      <c r="I724" s="629" t="str">
        <f ca="1">IF(H724="Unidade Construtiva",TEXT(A724,"00"),IF(H724="Célula Construtiva",TEXT(B724,"00"),IF(H724="Etapa",CONCATENATE(TEXT(B724,"00"),".",TEXT(C724,"000")),IF(H724="Subetapa",CONCATENATE(TEXT(B724,"00"),".",TEXT(C724,"000"),".",TEXT(D724,"000")),IF(H724="Serviço",CONCATENATE(TEXT(B724,"00"),".",TEXT(C724,"000"),".",TEXT(D724,"000"),".",TEXT(E724,"000")),"")))))</f>
        <v>11.001.004.002</v>
      </c>
      <c r="J724" s="654" t="s">
        <v>1662</v>
      </c>
      <c r="K724" s="630" t="s">
        <v>1</v>
      </c>
      <c r="L724" s="631">
        <f>SUM(L718)</f>
        <v>120.08</v>
      </c>
      <c r="M724" s="631">
        <f>VLOOKUP(J724,Preços!$C$7:$F$498,4,FALSE)</f>
        <v>22</v>
      </c>
      <c r="N724" s="646">
        <f>L724*M724</f>
        <v>2641.7599999999998</v>
      </c>
      <c r="O724" s="767"/>
      <c r="P724" s="632" t="s">
        <v>333</v>
      </c>
      <c r="R724" s="742"/>
      <c r="S724" s="742"/>
    </row>
    <row r="725" spans="1:19" s="761" customFormat="1" ht="22.5" hidden="1" outlineLevel="1" collapsed="1" x14ac:dyDescent="0.2">
      <c r="A725" s="762" t="e">
        <f ca="1">IF($H725="UNIDADE CONSTRUTIVA",OFFSET(A725,-1,0)+1,LARGE(A$3:A522,1))</f>
        <v>#NUM!</v>
      </c>
      <c r="B725" s="762">
        <f t="shared" ca="1" si="149"/>
        <v>11</v>
      </c>
      <c r="C725" s="762">
        <f t="shared" ca="1" si="150"/>
        <v>2</v>
      </c>
      <c r="D725" s="763">
        <f t="shared" ca="1" si="151"/>
        <v>0</v>
      </c>
      <c r="E725" s="763">
        <f t="shared" ca="1" si="152"/>
        <v>2</v>
      </c>
      <c r="G725" s="628"/>
      <c r="H725" s="766" t="s">
        <v>366</v>
      </c>
      <c r="I725" s="629" t="str">
        <f t="shared" ca="1" si="153"/>
        <v>11.002</v>
      </c>
      <c r="J725" s="654" t="s">
        <v>1653</v>
      </c>
      <c r="K725" s="630"/>
      <c r="L725" s="631"/>
      <c r="M725" s="631"/>
      <c r="N725" s="646">
        <f>SUM(N726,N731,N736,N739)</f>
        <v>59082.650266000004</v>
      </c>
      <c r="O725" s="767"/>
      <c r="P725" s="632"/>
      <c r="R725" s="742"/>
      <c r="S725" s="742"/>
    </row>
    <row r="726" spans="1:19" s="761" customFormat="1" hidden="1" outlineLevel="2" collapsed="1" x14ac:dyDescent="0.2">
      <c r="A726" s="762" t="e">
        <f ca="1">IF($H726="UNIDADE CONSTRUTIVA",OFFSET(A726,-1,0)+1,LARGE(A$3:A800,1))</f>
        <v>#NUM!</v>
      </c>
      <c r="B726" s="762">
        <f t="shared" ca="1" si="149"/>
        <v>11</v>
      </c>
      <c r="C726" s="762">
        <f t="shared" ca="1" si="150"/>
        <v>2</v>
      </c>
      <c r="D726" s="763">
        <f t="shared" ca="1" si="151"/>
        <v>1</v>
      </c>
      <c r="E726" s="763">
        <f t="shared" ca="1" si="152"/>
        <v>0</v>
      </c>
      <c r="G726" s="628"/>
      <c r="H726" s="766" t="s">
        <v>367</v>
      </c>
      <c r="I726" s="629" t="str">
        <f t="shared" ca="1" si="153"/>
        <v>11.002.001</v>
      </c>
      <c r="J726" s="654" t="s">
        <v>792</v>
      </c>
      <c r="K726" s="630"/>
      <c r="L726" s="631"/>
      <c r="M726" s="631"/>
      <c r="N726" s="646">
        <f>SUM(N727:N730)</f>
        <v>6007.2181500000006</v>
      </c>
      <c r="O726" s="767"/>
      <c r="P726" s="632"/>
      <c r="R726" s="742"/>
      <c r="S726" s="742"/>
    </row>
    <row r="727" spans="1:19" s="761" customFormat="1" ht="22.5" hidden="1" outlineLevel="3" x14ac:dyDescent="0.2">
      <c r="A727" s="762" t="e">
        <f ca="1">IF($H727="UNIDADE CONSTRUTIVA",OFFSET(A727,-1,0)+1,LARGE(A$3:A726,1))</f>
        <v>#NUM!</v>
      </c>
      <c r="B727" s="762">
        <f t="shared" ref="B727:B740" ca="1" si="155">IF(H727="UNIDADE CONSTRUTIVA",0,IF(H727="CÉLULA CONSTRUTIVA",OFFSET(B727,-1,0)+1,OFFSET(B727,-1,0)))</f>
        <v>11</v>
      </c>
      <c r="C727" s="762">
        <f t="shared" ref="C727:C740" ca="1" si="156">IF(H727="CÉLULA CONSTRUTIVA",0,IF(H727="ETAPA",OFFSET(C727,-1,0)+1,OFFSET(C727,-1,0)))</f>
        <v>2</v>
      </c>
      <c r="D727" s="763">
        <f t="shared" ref="D727:D740" ca="1" si="157">IF(H727="ETAPA",0,IF(H727="SUBETAPA",OFFSET(D727,-1,0)+1,OFFSET(D727,-1,0)))</f>
        <v>1</v>
      </c>
      <c r="E727" s="763">
        <f t="shared" ref="E727:E740" ca="1" si="158">IF(H727="Subetapa",0,IF(H727="serviço",OFFSET(E727,-1,0)+1,OFFSET(E727,-1,0)))</f>
        <v>1</v>
      </c>
      <c r="G727" s="628"/>
      <c r="H727" s="766" t="s">
        <v>368</v>
      </c>
      <c r="I727" s="629" t="str">
        <f t="shared" ca="1" si="153"/>
        <v>11.002.001.001</v>
      </c>
      <c r="J727" s="654" t="s">
        <v>796</v>
      </c>
      <c r="K727" s="630" t="s">
        <v>1</v>
      </c>
      <c r="L727" s="631">
        <f>ARQ.!C134</f>
        <v>16.52</v>
      </c>
      <c r="M727" s="631">
        <f>VLOOKUP(J727,Preços!$C$7:$F$498,4,FALSE)</f>
        <v>35.64</v>
      </c>
      <c r="N727" s="646">
        <f>L727*M727</f>
        <v>588.77279999999996</v>
      </c>
      <c r="O727" s="767"/>
      <c r="P727" s="632" t="s">
        <v>333</v>
      </c>
      <c r="R727" s="742"/>
      <c r="S727" s="742"/>
    </row>
    <row r="728" spans="1:19" s="761" customFormat="1" ht="22.5" hidden="1" outlineLevel="3" x14ac:dyDescent="0.2">
      <c r="A728" s="762" t="e">
        <f ca="1">IF($H728="UNIDADE CONSTRUTIVA",OFFSET(A728,-1,0)+1,LARGE(A$3:A725,1))</f>
        <v>#NUM!</v>
      </c>
      <c r="B728" s="762">
        <f t="shared" ca="1" si="155"/>
        <v>11</v>
      </c>
      <c r="C728" s="762">
        <f t="shared" ca="1" si="156"/>
        <v>2</v>
      </c>
      <c r="D728" s="763">
        <f t="shared" ca="1" si="157"/>
        <v>1</v>
      </c>
      <c r="E728" s="763">
        <f t="shared" ca="1" si="158"/>
        <v>2</v>
      </c>
      <c r="G728" s="628"/>
      <c r="H728" s="766" t="s">
        <v>368</v>
      </c>
      <c r="I728" s="629" t="str">
        <f t="shared" ca="1" si="153"/>
        <v>11.002.001.002</v>
      </c>
      <c r="J728" s="654" t="s">
        <v>797</v>
      </c>
      <c r="K728" s="630" t="s">
        <v>1</v>
      </c>
      <c r="L728" s="631">
        <f>ARQ.!C135+ARQ.!C136</f>
        <v>10.44</v>
      </c>
      <c r="M728" s="631">
        <f>VLOOKUP(J728,Preços!$C$7:$F$498,4,FALSE)</f>
        <v>8.91</v>
      </c>
      <c r="N728" s="646">
        <f>L728*M728</f>
        <v>93.020399999999995</v>
      </c>
      <c r="O728" s="767"/>
      <c r="P728" s="632" t="s">
        <v>333</v>
      </c>
      <c r="R728" s="742"/>
      <c r="S728" s="742"/>
    </row>
    <row r="729" spans="1:19" s="761" customFormat="1" ht="22.5" hidden="1" outlineLevel="3" x14ac:dyDescent="0.2">
      <c r="A729" s="762" t="e">
        <f ca="1">IF($H729="UNIDADE CONSTRUTIVA",OFFSET(A729,-1,0)+1,LARGE(A$3:A728,1))</f>
        <v>#NUM!</v>
      </c>
      <c r="B729" s="762">
        <f t="shared" ca="1" si="155"/>
        <v>11</v>
      </c>
      <c r="C729" s="762">
        <f t="shared" ca="1" si="156"/>
        <v>2</v>
      </c>
      <c r="D729" s="763">
        <f t="shared" ca="1" si="157"/>
        <v>1</v>
      </c>
      <c r="E729" s="763">
        <f t="shared" ca="1" si="158"/>
        <v>3</v>
      </c>
      <c r="G729" s="628"/>
      <c r="H729" s="766" t="s">
        <v>368</v>
      </c>
      <c r="I729" s="629" t="str">
        <f t="shared" ca="1" si="153"/>
        <v>11.002.001.003</v>
      </c>
      <c r="J729" s="654" t="s">
        <v>1453</v>
      </c>
      <c r="K729" s="630" t="s">
        <v>1</v>
      </c>
      <c r="L729" s="631">
        <f>ARQ.!C138</f>
        <v>127.41</v>
      </c>
      <c r="M729" s="631">
        <f>VLOOKUP(J729,Preços!$C$7:$F$498,4,FALSE)</f>
        <v>13.365</v>
      </c>
      <c r="N729" s="646">
        <f>L729*M729</f>
        <v>1702.83465</v>
      </c>
      <c r="O729" s="767"/>
      <c r="P729" s="632" t="s">
        <v>333</v>
      </c>
      <c r="R729" s="742"/>
      <c r="S729" s="742"/>
    </row>
    <row r="730" spans="1:19" s="761" customFormat="1" ht="22.5" hidden="1" outlineLevel="3" x14ac:dyDescent="0.2">
      <c r="A730" s="762" t="e">
        <f ca="1">IF($H730="UNIDADE CONSTRUTIVA",OFFSET(A730,-1,0)+1,LARGE(A$3:A729,1))</f>
        <v>#NUM!</v>
      </c>
      <c r="B730" s="762">
        <f t="shared" ca="1" si="155"/>
        <v>11</v>
      </c>
      <c r="C730" s="762">
        <f t="shared" ca="1" si="156"/>
        <v>2</v>
      </c>
      <c r="D730" s="763">
        <f t="shared" ca="1" si="157"/>
        <v>1</v>
      </c>
      <c r="E730" s="763">
        <f t="shared" ca="1" si="158"/>
        <v>4</v>
      </c>
      <c r="G730" s="628"/>
      <c r="H730" s="766" t="s">
        <v>368</v>
      </c>
      <c r="I730" s="629" t="str">
        <f t="shared" ca="1" si="153"/>
        <v>11.002.001.004</v>
      </c>
      <c r="J730" s="654" t="s">
        <v>1156</v>
      </c>
      <c r="K730" s="630" t="s">
        <v>1</v>
      </c>
      <c r="L730" s="631">
        <f>ARQ.!C140</f>
        <v>483.98</v>
      </c>
      <c r="M730" s="631">
        <f>VLOOKUP(J730,Preços!$C$7:$F$498,4,FALSE)</f>
        <v>7.4850000000000003</v>
      </c>
      <c r="N730" s="646">
        <f>L730*M730</f>
        <v>3622.5903000000003</v>
      </c>
      <c r="O730" s="767"/>
      <c r="P730" s="632" t="s">
        <v>333</v>
      </c>
      <c r="R730" s="742"/>
      <c r="S730" s="742"/>
    </row>
    <row r="731" spans="1:19" s="761" customFormat="1" hidden="1" outlineLevel="2" collapsed="1" x14ac:dyDescent="0.2">
      <c r="A731" s="762" t="e">
        <f ca="1">IF($H731="UNIDADE CONSTRUTIVA",OFFSET(A731,-1,0)+1,LARGE(A$3:A730,1))</f>
        <v>#NUM!</v>
      </c>
      <c r="B731" s="762">
        <f t="shared" ca="1" si="155"/>
        <v>11</v>
      </c>
      <c r="C731" s="762">
        <f t="shared" ca="1" si="156"/>
        <v>2</v>
      </c>
      <c r="D731" s="763">
        <f t="shared" ca="1" si="157"/>
        <v>2</v>
      </c>
      <c r="E731" s="763">
        <f t="shared" ca="1" si="158"/>
        <v>0</v>
      </c>
      <c r="G731" s="628"/>
      <c r="H731" s="766" t="s">
        <v>367</v>
      </c>
      <c r="I731" s="629" t="str">
        <f t="shared" ca="1" si="153"/>
        <v>11.002.002</v>
      </c>
      <c r="J731" s="654" t="s">
        <v>781</v>
      </c>
      <c r="K731" s="630"/>
      <c r="L731" s="631"/>
      <c r="M731" s="631"/>
      <c r="N731" s="646">
        <f>SUM(N732:N735)</f>
        <v>11595.232115999999</v>
      </c>
      <c r="O731" s="767"/>
      <c r="P731" s="632"/>
      <c r="R731" s="742"/>
      <c r="S731" s="742"/>
    </row>
    <row r="732" spans="1:19" s="761" customFormat="1" ht="22.5" hidden="1" outlineLevel="3" x14ac:dyDescent="0.2">
      <c r="A732" s="762" t="e">
        <f ca="1">IF($H732="UNIDADE CONSTRUTIVA",OFFSET(A732,-1,0)+1,LARGE(A$3:A731,1))</f>
        <v>#NUM!</v>
      </c>
      <c r="B732" s="762">
        <f t="shared" ca="1" si="155"/>
        <v>11</v>
      </c>
      <c r="C732" s="762">
        <f t="shared" ca="1" si="156"/>
        <v>2</v>
      </c>
      <c r="D732" s="763">
        <f t="shared" ca="1" si="157"/>
        <v>2</v>
      </c>
      <c r="E732" s="763">
        <f t="shared" ca="1" si="158"/>
        <v>1</v>
      </c>
      <c r="G732" s="628"/>
      <c r="H732" s="766" t="s">
        <v>368</v>
      </c>
      <c r="I732" s="629" t="str">
        <f t="shared" ca="1" si="153"/>
        <v>11.002.002.001</v>
      </c>
      <c r="J732" s="654" t="s">
        <v>799</v>
      </c>
      <c r="K732" s="630" t="s">
        <v>1</v>
      </c>
      <c r="L732" s="631">
        <f>ARQ.!C142</f>
        <v>414.01</v>
      </c>
      <c r="M732" s="631">
        <f>VLOOKUP(J732,Preços!$C$7:$F$498,4,FALSE)</f>
        <v>2.5165999999999999</v>
      </c>
      <c r="N732" s="646">
        <f>L732*M732</f>
        <v>1041.8975659999999</v>
      </c>
      <c r="O732" s="767"/>
      <c r="P732" s="632" t="s">
        <v>333</v>
      </c>
      <c r="R732" s="742"/>
      <c r="S732" s="742"/>
    </row>
    <row r="733" spans="1:19" s="761" customFormat="1" ht="33.75" hidden="1" outlineLevel="3" collapsed="1" x14ac:dyDescent="0.2">
      <c r="A733" s="762" t="e">
        <f ca="1">IF($H733="UNIDADE CONSTRUTIVA",OFFSET(A733,-1,0)+1,LARGE(A$3:A732,1))</f>
        <v>#NUM!</v>
      </c>
      <c r="B733" s="762">
        <f t="shared" ca="1" si="155"/>
        <v>11</v>
      </c>
      <c r="C733" s="762">
        <f t="shared" ca="1" si="156"/>
        <v>2</v>
      </c>
      <c r="D733" s="763">
        <f t="shared" ca="1" si="157"/>
        <v>2</v>
      </c>
      <c r="E733" s="763">
        <f t="shared" ca="1" si="158"/>
        <v>2</v>
      </c>
      <c r="G733" s="628"/>
      <c r="H733" s="766" t="s">
        <v>368</v>
      </c>
      <c r="I733" s="629" t="str">
        <f t="shared" ca="1" si="153"/>
        <v>11.002.002.002</v>
      </c>
      <c r="J733" s="654" t="s">
        <v>798</v>
      </c>
      <c r="K733" s="630" t="s">
        <v>1</v>
      </c>
      <c r="L733" s="631">
        <f>ARQ.!C143</f>
        <v>139.35</v>
      </c>
      <c r="M733" s="631">
        <f>VLOOKUP(J733,Preços!$C$7:$F$498,4,FALSE)</f>
        <v>6.6079999999999997</v>
      </c>
      <c r="N733" s="646">
        <f>L733*M733</f>
        <v>920.82479999999987</v>
      </c>
      <c r="O733" s="767"/>
      <c r="P733" s="632" t="s">
        <v>333</v>
      </c>
      <c r="R733" s="742"/>
      <c r="S733" s="742"/>
    </row>
    <row r="734" spans="1:19" s="761" customFormat="1" ht="22.5" hidden="1" outlineLevel="3" x14ac:dyDescent="0.2">
      <c r="A734" s="762" t="e">
        <f ca="1">IF($H734="UNIDADE CONSTRUTIVA",OFFSET(A734,-1,0)+1,LARGE(A$3:A733,1))</f>
        <v>#NUM!</v>
      </c>
      <c r="B734" s="762">
        <f t="shared" ca="1" si="155"/>
        <v>11</v>
      </c>
      <c r="C734" s="762">
        <f t="shared" ca="1" si="156"/>
        <v>2</v>
      </c>
      <c r="D734" s="763">
        <f t="shared" ca="1" si="157"/>
        <v>2</v>
      </c>
      <c r="E734" s="763">
        <f t="shared" ca="1" si="158"/>
        <v>3</v>
      </c>
      <c r="G734" s="628"/>
      <c r="H734" s="766" t="s">
        <v>368</v>
      </c>
      <c r="I734" s="629" t="str">
        <f t="shared" ref="I734:I740" ca="1" si="159">IF(H734="Unidade Construtiva",TEXT(A734,"00"),IF(H734="Célula Construtiva",TEXT(B734,"00"),IF(H734="Etapa",CONCATENATE(TEXT(B734,"00"),".",TEXT(C734,"000")),IF(H734="Subetapa",CONCATENATE(TEXT(B734,"00"),".",TEXT(C734,"000"),".",TEXT(D734,"000")),IF(H734="Serviço",CONCATENATE(TEXT(B734,"00"),".",TEXT(C734,"000"),".",TEXT(D734,"000"),".",TEXT(E734,"000")),"")))))</f>
        <v>11.002.002.003</v>
      </c>
      <c r="J734" s="654" t="s">
        <v>800</v>
      </c>
      <c r="K734" s="630" t="s">
        <v>1</v>
      </c>
      <c r="L734" s="631">
        <f>ARQ.!C145</f>
        <v>553.36</v>
      </c>
      <c r="M734" s="631">
        <f>VLOOKUP(J734,Preços!$C$7:$F$498,4,FALSE)</f>
        <v>15.9975</v>
      </c>
      <c r="N734" s="646">
        <f>L734*M734</f>
        <v>8852.3765999999996</v>
      </c>
      <c r="O734" s="767"/>
      <c r="P734" s="632" t="s">
        <v>333</v>
      </c>
      <c r="R734" s="742"/>
      <c r="S734" s="742"/>
    </row>
    <row r="735" spans="1:19" s="761" customFormat="1" ht="22.5" hidden="1" outlineLevel="3" x14ac:dyDescent="0.2">
      <c r="A735" s="762" t="e">
        <f ca="1">IF($H735="UNIDADE CONSTRUTIVA",OFFSET(A735,-1,0)+1,LARGE(A$3:A734,1))</f>
        <v>#NUM!</v>
      </c>
      <c r="B735" s="762">
        <f t="shared" ca="1" si="155"/>
        <v>11</v>
      </c>
      <c r="C735" s="762">
        <f t="shared" ca="1" si="156"/>
        <v>2</v>
      </c>
      <c r="D735" s="763">
        <f t="shared" ca="1" si="157"/>
        <v>2</v>
      </c>
      <c r="E735" s="763">
        <f t="shared" ca="1" si="158"/>
        <v>4</v>
      </c>
      <c r="G735" s="628"/>
      <c r="H735" s="766" t="s">
        <v>368</v>
      </c>
      <c r="I735" s="629" t="str">
        <f t="shared" ca="1" si="159"/>
        <v>11.002.002.004</v>
      </c>
      <c r="J735" s="654" t="s">
        <v>214</v>
      </c>
      <c r="K735" s="630" t="s">
        <v>1</v>
      </c>
      <c r="L735" s="631">
        <f>ARQ.!C147</f>
        <v>150.16999999999999</v>
      </c>
      <c r="M735" s="631">
        <f>VLOOKUP(J735,Preços!$C$7:$F$498,4,FALSE)</f>
        <v>5.1950000000000003</v>
      </c>
      <c r="N735" s="646">
        <f>L735*M735</f>
        <v>780.13315</v>
      </c>
      <c r="O735" s="767"/>
      <c r="P735" s="632" t="s">
        <v>333</v>
      </c>
      <c r="R735" s="742"/>
      <c r="S735" s="742"/>
    </row>
    <row r="736" spans="1:19" s="761" customFormat="1" hidden="1" outlineLevel="2" collapsed="1" x14ac:dyDescent="0.2">
      <c r="A736" s="762" t="e">
        <f ca="1">IF($H736="UNIDADE CONSTRUTIVA",OFFSET(A736,-1,0)+1,LARGE(A$3:A735,1))</f>
        <v>#NUM!</v>
      </c>
      <c r="B736" s="762">
        <f t="shared" ca="1" si="155"/>
        <v>11</v>
      </c>
      <c r="C736" s="762">
        <f t="shared" ca="1" si="156"/>
        <v>2</v>
      </c>
      <c r="D736" s="763">
        <f t="shared" ca="1" si="157"/>
        <v>3</v>
      </c>
      <c r="E736" s="763">
        <f t="shared" ca="1" si="158"/>
        <v>0</v>
      </c>
      <c r="G736" s="628"/>
      <c r="H736" s="766" t="s">
        <v>367</v>
      </c>
      <c r="I736" s="629" t="str">
        <f t="shared" ca="1" si="159"/>
        <v>11.002.003</v>
      </c>
      <c r="J736" s="654" t="s">
        <v>804</v>
      </c>
      <c r="K736" s="630"/>
      <c r="L736" s="631"/>
      <c r="M736" s="631"/>
      <c r="N736" s="646">
        <f>SUM(N737:N738)</f>
        <v>20468.939999999999</v>
      </c>
      <c r="O736" s="767"/>
      <c r="P736" s="632"/>
      <c r="R736" s="742"/>
      <c r="S736" s="742"/>
    </row>
    <row r="737" spans="1:19" s="761" customFormat="1" ht="22.5" hidden="1" outlineLevel="3" x14ac:dyDescent="0.2">
      <c r="A737" s="762" t="e">
        <f ca="1">IF($H737="UNIDADE CONSTRUTIVA",OFFSET(A737,-1,0)+1,LARGE(A$3:A736,1))</f>
        <v>#NUM!</v>
      </c>
      <c r="B737" s="762">
        <f t="shared" ca="1" si="155"/>
        <v>11</v>
      </c>
      <c r="C737" s="762">
        <f t="shared" ca="1" si="156"/>
        <v>2</v>
      </c>
      <c r="D737" s="763">
        <f t="shared" ca="1" si="157"/>
        <v>3</v>
      </c>
      <c r="E737" s="763">
        <f t="shared" ca="1" si="158"/>
        <v>1</v>
      </c>
      <c r="G737" s="628"/>
      <c r="H737" s="766" t="s">
        <v>368</v>
      </c>
      <c r="I737" s="629" t="str">
        <f t="shared" ca="1" si="159"/>
        <v>11.002.003.001</v>
      </c>
      <c r="J737" s="654" t="s">
        <v>974</v>
      </c>
      <c r="K737" s="630" t="s">
        <v>1</v>
      </c>
      <c r="L737" s="631">
        <f>SUM(L727:L729)</f>
        <v>154.37</v>
      </c>
      <c r="M737" s="631">
        <f>VLOOKUP(J737,Preços!$C$7:$F$498,4,FALSE)</f>
        <v>26</v>
      </c>
      <c r="N737" s="646">
        <f>L737*M737</f>
        <v>4013.62</v>
      </c>
      <c r="O737" s="767"/>
      <c r="P737" s="632" t="s">
        <v>333</v>
      </c>
      <c r="R737" s="742"/>
      <c r="S737" s="742"/>
    </row>
    <row r="738" spans="1:19" s="761" customFormat="1" ht="22.5" hidden="1" outlineLevel="3" x14ac:dyDescent="0.2">
      <c r="A738" s="762" t="e">
        <f ca="1">IF($H738="UNIDADE CONSTRUTIVA",OFFSET(A738,-1,0)+1,LARGE(A$3:A737,1))</f>
        <v>#NUM!</v>
      </c>
      <c r="B738" s="762">
        <f t="shared" ca="1" si="155"/>
        <v>11</v>
      </c>
      <c r="C738" s="762">
        <f t="shared" ca="1" si="156"/>
        <v>2</v>
      </c>
      <c r="D738" s="763">
        <f t="shared" ca="1" si="157"/>
        <v>3</v>
      </c>
      <c r="E738" s="763">
        <f t="shared" ca="1" si="158"/>
        <v>2</v>
      </c>
      <c r="G738" s="628"/>
      <c r="H738" s="766" t="s">
        <v>368</v>
      </c>
      <c r="I738" s="629" t="str">
        <f t="shared" ca="1" si="159"/>
        <v>11.002.003.002</v>
      </c>
      <c r="J738" s="654" t="s">
        <v>1445</v>
      </c>
      <c r="K738" s="630" t="s">
        <v>1</v>
      </c>
      <c r="L738" s="631">
        <f>SUM(L730)</f>
        <v>483.98</v>
      </c>
      <c r="M738" s="631">
        <f>VLOOKUP(J738,Preços!$C$7:$F$498,4,FALSE)</f>
        <v>34</v>
      </c>
      <c r="N738" s="646">
        <f>L738*M738</f>
        <v>16455.32</v>
      </c>
      <c r="O738" s="767"/>
      <c r="P738" s="632" t="s">
        <v>333</v>
      </c>
      <c r="R738" s="742"/>
      <c r="S738" s="742"/>
    </row>
    <row r="739" spans="1:19" s="761" customFormat="1" hidden="1" outlineLevel="2" collapsed="1" x14ac:dyDescent="0.2">
      <c r="A739" s="762" t="e">
        <f ca="1">IF($H739="UNIDADE CONSTRUTIVA",OFFSET(A739,-1,0)+1,LARGE(A$3:A737,1))</f>
        <v>#NUM!</v>
      </c>
      <c r="B739" s="762">
        <f t="shared" ca="1" si="155"/>
        <v>11</v>
      </c>
      <c r="C739" s="762">
        <f t="shared" ca="1" si="156"/>
        <v>2</v>
      </c>
      <c r="D739" s="763">
        <f t="shared" ca="1" si="157"/>
        <v>4</v>
      </c>
      <c r="E739" s="763">
        <f t="shared" ca="1" si="158"/>
        <v>0</v>
      </c>
      <c r="G739" s="628"/>
      <c r="H739" s="766" t="s">
        <v>367</v>
      </c>
      <c r="I739" s="629" t="str">
        <f t="shared" ca="1" si="159"/>
        <v>11.002.004</v>
      </c>
      <c r="J739" s="654" t="s">
        <v>782</v>
      </c>
      <c r="K739" s="630"/>
      <c r="L739" s="631"/>
      <c r="M739" s="631"/>
      <c r="N739" s="646">
        <f>SUM(N740:N741)</f>
        <v>21011.260000000002</v>
      </c>
      <c r="O739" s="767"/>
      <c r="P739" s="632"/>
      <c r="R739" s="742"/>
      <c r="S739" s="742"/>
    </row>
    <row r="740" spans="1:19" s="761" customFormat="1" ht="22.5" hidden="1" outlineLevel="3" x14ac:dyDescent="0.2">
      <c r="A740" s="762" t="e">
        <f ca="1">IF($H740="UNIDADE CONSTRUTIVA",OFFSET(A740,-1,0)+1,LARGE(A$3:A739,1))</f>
        <v>#NUM!</v>
      </c>
      <c r="B740" s="762">
        <f t="shared" ca="1" si="155"/>
        <v>11</v>
      </c>
      <c r="C740" s="762">
        <f t="shared" ca="1" si="156"/>
        <v>2</v>
      </c>
      <c r="D740" s="763">
        <f t="shared" ca="1" si="157"/>
        <v>4</v>
      </c>
      <c r="E740" s="763">
        <f t="shared" ca="1" si="158"/>
        <v>1</v>
      </c>
      <c r="G740" s="628"/>
      <c r="H740" s="766" t="s">
        <v>368</v>
      </c>
      <c r="I740" s="629" t="str">
        <f t="shared" ca="1" si="159"/>
        <v>11.002.004.001</v>
      </c>
      <c r="J740" s="654" t="s">
        <v>1446</v>
      </c>
      <c r="K740" s="630" t="s">
        <v>1</v>
      </c>
      <c r="L740" s="631">
        <f>SUM(L734)</f>
        <v>553.36</v>
      </c>
      <c r="M740" s="631">
        <f>VLOOKUP(J740,Preços!$C$7:$F$498,4,FALSE)</f>
        <v>32</v>
      </c>
      <c r="N740" s="646">
        <f>L740*M740</f>
        <v>17707.52</v>
      </c>
      <c r="O740" s="767"/>
      <c r="P740" s="632" t="s">
        <v>333</v>
      </c>
      <c r="R740" s="742"/>
      <c r="S740" s="742"/>
    </row>
    <row r="741" spans="1:19" s="761" customFormat="1" ht="22.5" hidden="1" outlineLevel="3" x14ac:dyDescent="0.2">
      <c r="A741" s="762" t="e">
        <f ca="1">IF($H741="UNIDADE CONSTRUTIVA",OFFSET(A741,-1,0)+1,LARGE(A$3:A753,1))</f>
        <v>#NUM!</v>
      </c>
      <c r="B741" s="762">
        <f ca="1">IF(H741="UNIDADE CONSTRUTIVA",0,IF(H741="CÉLULA CONSTRUTIVA",OFFSET(B741,-1,0)+1,OFFSET(B741,-1,0)))</f>
        <v>11</v>
      </c>
      <c r="C741" s="762">
        <f ca="1">IF(H741="CÉLULA CONSTRUTIVA",0,IF(H741="ETAPA",OFFSET(C741,-1,0)+1,OFFSET(C741,-1,0)))</f>
        <v>2</v>
      </c>
      <c r="D741" s="763">
        <f ca="1">IF(H741="ETAPA",0,IF(H741="SUBETAPA",OFFSET(D741,-1,0)+1,OFFSET(D741,-1,0)))</f>
        <v>4</v>
      </c>
      <c r="E741" s="763">
        <f ca="1">IF(H741="Subetapa",0,IF(H741="serviço",OFFSET(E741,-1,0)+1,OFFSET(E741,-1,0)))</f>
        <v>2</v>
      </c>
      <c r="G741" s="628"/>
      <c r="H741" s="766" t="s">
        <v>368</v>
      </c>
      <c r="I741" s="629" t="str">
        <f ca="1">IF(H741="Unidade Construtiva",TEXT(A741,"00"),IF(H741="Célula Construtiva",TEXT(B741,"00"),IF(H741="Etapa",CONCATENATE(TEXT(B741,"00"),".",TEXT(C741,"000")),IF(H741="Subetapa",CONCATENATE(TEXT(B741,"00"),".",TEXT(C741,"000"),".",TEXT(D741,"000")),IF(H741="Serviço",CONCATENATE(TEXT(B741,"00"),".",TEXT(C741,"000"),".",TEXT(D741,"000"),".",TEXT(E741,"000")),"")))))</f>
        <v>11.002.004.002</v>
      </c>
      <c r="J741" s="654" t="s">
        <v>1662</v>
      </c>
      <c r="K741" s="630" t="s">
        <v>1</v>
      </c>
      <c r="L741" s="631">
        <f>SUM(L735)</f>
        <v>150.16999999999999</v>
      </c>
      <c r="M741" s="631">
        <f>VLOOKUP(J741,Preços!$C$7:$F$498,4,FALSE)</f>
        <v>22</v>
      </c>
      <c r="N741" s="646">
        <f>L741*M741</f>
        <v>3303.74</v>
      </c>
      <c r="O741" s="767"/>
      <c r="P741" s="632" t="s">
        <v>333</v>
      </c>
      <c r="R741" s="742"/>
      <c r="S741" s="742"/>
    </row>
    <row r="742" spans="1:19" s="761" customFormat="1" ht="22.5" hidden="1" outlineLevel="1" collapsed="1" x14ac:dyDescent="0.2">
      <c r="A742" s="762" t="e">
        <f ca="1">IF($H742="UNIDADE CONSTRUTIVA",OFFSET(A742,-1,0)+1,LARGE(A$3:A585,1))</f>
        <v>#NUM!</v>
      </c>
      <c r="B742" s="762">
        <f ca="1">IF(H742="UNIDADE CONSTRUTIVA",0,IF(H742="CÉLULA CONSTRUTIVA",OFFSET(B742,-1,0)+1,OFFSET(B742,-1,0)))</f>
        <v>11</v>
      </c>
      <c r="C742" s="762">
        <f ca="1">IF(H742="CÉLULA CONSTRUTIVA",0,IF(H742="ETAPA",OFFSET(C742,-1,0)+1,OFFSET(C742,-1,0)))</f>
        <v>3</v>
      </c>
      <c r="D742" s="763">
        <f ca="1">IF(H742="ETAPA",0,IF(H742="SUBETAPA",OFFSET(D742,-1,0)+1,OFFSET(D742,-1,0)))</f>
        <v>0</v>
      </c>
      <c r="E742" s="763">
        <f ca="1">IF(H742="Subetapa",0,IF(H742="serviço",OFFSET(E742,-1,0)+1,OFFSET(E742,-1,0)))</f>
        <v>2</v>
      </c>
      <c r="G742" s="628"/>
      <c r="H742" s="766" t="s">
        <v>366</v>
      </c>
      <c r="I742" s="629" t="str">
        <f t="shared" ref="I742:I767" ca="1" si="160">IF(H742="Unidade Construtiva",TEXT(A742,"00"),IF(H742="Célula Construtiva",TEXT(B742,"00"),IF(H742="Etapa",CONCATENATE(TEXT(B742,"00"),".",TEXT(C742,"000")),IF(H742="Subetapa",CONCATENATE(TEXT(B742,"00"),".",TEXT(C742,"000"),".",TEXT(D742,"000")),IF(H742="Serviço",CONCATENATE(TEXT(B742,"00"),".",TEXT(C742,"000"),".",TEXT(D742,"000"),".",TEXT(E742,"000")),"")))))</f>
        <v>11.003</v>
      </c>
      <c r="J742" s="654" t="s">
        <v>1654</v>
      </c>
      <c r="K742" s="630"/>
      <c r="L742" s="631"/>
      <c r="M742" s="631"/>
      <c r="N742" s="646">
        <f>SUM(N743,N748,N753,N756)</f>
        <v>58886.511913999995</v>
      </c>
      <c r="O742" s="767"/>
      <c r="P742" s="632"/>
      <c r="R742" s="742"/>
      <c r="S742" s="742"/>
    </row>
    <row r="743" spans="1:19" s="761" customFormat="1" hidden="1" outlineLevel="2" x14ac:dyDescent="0.2">
      <c r="A743" s="762" t="e">
        <f ca="1">IF($H743="UNIDADE CONSTRUTIVA",OFFSET(A743,-1,0)+1,LARGE(A$3:A815,1))</f>
        <v>#NUM!</v>
      </c>
      <c r="B743" s="762">
        <f ca="1">IF(H743="UNIDADE CONSTRUTIVA",0,IF(H743="CÉLULA CONSTRUTIVA",OFFSET(B743,-1,0)+1,OFFSET(B743,-1,0)))</f>
        <v>11</v>
      </c>
      <c r="C743" s="762">
        <f ca="1">IF(H743="CÉLULA CONSTRUTIVA",0,IF(H743="ETAPA",OFFSET(C743,-1,0)+1,OFFSET(C743,-1,0)))</f>
        <v>3</v>
      </c>
      <c r="D743" s="763">
        <f ca="1">IF(H743="ETAPA",0,IF(H743="SUBETAPA",OFFSET(D743,-1,0)+1,OFFSET(D743,-1,0)))</f>
        <v>1</v>
      </c>
      <c r="E743" s="763">
        <f ca="1">IF(H743="Subetapa",0,IF(H743="serviço",OFFSET(E743,-1,0)+1,OFFSET(E743,-1,0)))</f>
        <v>0</v>
      </c>
      <c r="G743" s="628"/>
      <c r="H743" s="766" t="s">
        <v>367</v>
      </c>
      <c r="I743" s="629" t="str">
        <f t="shared" ca="1" si="160"/>
        <v>11.003.001</v>
      </c>
      <c r="J743" s="654" t="s">
        <v>792</v>
      </c>
      <c r="K743" s="630"/>
      <c r="L743" s="631"/>
      <c r="M743" s="631"/>
      <c r="N743" s="646">
        <f>SUM(N744:N747)</f>
        <v>6007.2181500000006</v>
      </c>
      <c r="O743" s="767"/>
      <c r="P743" s="632"/>
      <c r="R743" s="742"/>
      <c r="S743" s="742"/>
    </row>
    <row r="744" spans="1:19" s="761" customFormat="1" ht="22.5" hidden="1" outlineLevel="3" x14ac:dyDescent="0.2">
      <c r="A744" s="762" t="e">
        <f ca="1">IF($H744="UNIDADE CONSTRUTIVA",OFFSET(A744,-1,0)+1,LARGE(A$3:A743,1))</f>
        <v>#NUM!</v>
      </c>
      <c r="B744" s="762">
        <f ca="1">IF(H744="UNIDADE CONSTRUTIVA",0,IF(H744="CÉLULA CONSTRUTIVA",OFFSET(B744,-1,0)+1,OFFSET(B744,-1,0)))</f>
        <v>11</v>
      </c>
      <c r="C744" s="762">
        <f ca="1">IF(H744="CÉLULA CONSTRUTIVA",0,IF(H744="ETAPA",OFFSET(C744,-1,0)+1,OFFSET(C744,-1,0)))</f>
        <v>3</v>
      </c>
      <c r="D744" s="763">
        <f ca="1">IF(H744="ETAPA",0,IF(H744="SUBETAPA",OFFSET(D744,-1,0)+1,OFFSET(D744,-1,0)))</f>
        <v>1</v>
      </c>
      <c r="E744" s="763">
        <f ca="1">IF(H744="Subetapa",0,IF(H744="serviço",OFFSET(E744,-1,0)+1,OFFSET(E744,-1,0)))</f>
        <v>1</v>
      </c>
      <c r="G744" s="628"/>
      <c r="H744" s="766" t="s">
        <v>368</v>
      </c>
      <c r="I744" s="629" t="str">
        <f t="shared" ca="1" si="160"/>
        <v>11.003.001.001</v>
      </c>
      <c r="J744" s="654" t="s">
        <v>796</v>
      </c>
      <c r="K744" s="630" t="s">
        <v>1</v>
      </c>
      <c r="L744" s="631">
        <f>ARQ.!C208</f>
        <v>16.52</v>
      </c>
      <c r="M744" s="631">
        <f>VLOOKUP(J744,Preços!$C$7:$F$498,4,FALSE)</f>
        <v>35.64</v>
      </c>
      <c r="N744" s="646">
        <f>L744*M744</f>
        <v>588.77279999999996</v>
      </c>
      <c r="O744" s="767"/>
      <c r="P744" s="632" t="s">
        <v>333</v>
      </c>
      <c r="R744" s="742"/>
      <c r="S744" s="742"/>
    </row>
    <row r="745" spans="1:19" s="761" customFormat="1" ht="22.5" hidden="1" outlineLevel="3" x14ac:dyDescent="0.2">
      <c r="A745" s="762" t="e">
        <f ca="1">IF($H745="UNIDADE CONSTRUTIVA",OFFSET(A745,-1,0)+1,LARGE(A$3:A744,1))</f>
        <v>#NUM!</v>
      </c>
      <c r="B745" s="762">
        <f ca="1">IF(H745="UNIDADE CONSTRUTIVA",0,IF(H745="CÉLULA CONSTRUTIVA",OFFSET(B745,-1,0)+1,OFFSET(B745,-1,0)))</f>
        <v>11</v>
      </c>
      <c r="C745" s="762">
        <f ca="1">IF(H745="CÉLULA CONSTRUTIVA",0,IF(H745="ETAPA",OFFSET(C745,-1,0)+1,OFFSET(C745,-1,0)))</f>
        <v>3</v>
      </c>
      <c r="D745" s="763">
        <f ca="1">IF(H745="ETAPA",0,IF(H745="SUBETAPA",OFFSET(D745,-1,0)+1,OFFSET(D745,-1,0)))</f>
        <v>1</v>
      </c>
      <c r="E745" s="763">
        <f ca="1">IF(H745="Subetapa",0,IF(H745="serviço",OFFSET(E745,-1,0)+1,OFFSET(E745,-1,0)))</f>
        <v>2</v>
      </c>
      <c r="G745" s="628"/>
      <c r="H745" s="766" t="s">
        <v>368</v>
      </c>
      <c r="I745" s="629" t="str">
        <f t="shared" ca="1" si="160"/>
        <v>11.003.001.002</v>
      </c>
      <c r="J745" s="654" t="s">
        <v>797</v>
      </c>
      <c r="K745" s="630" t="s">
        <v>1</v>
      </c>
      <c r="L745" s="631">
        <f>ARQ.!C209+ARQ.!C210</f>
        <v>10.44</v>
      </c>
      <c r="M745" s="631">
        <f>VLOOKUP(J745,Preços!$C$7:$F$498,4,FALSE)</f>
        <v>8.91</v>
      </c>
      <c r="N745" s="646">
        <f>L745*M745</f>
        <v>93.020399999999995</v>
      </c>
      <c r="O745" s="767"/>
      <c r="P745" s="632" t="s">
        <v>333</v>
      </c>
      <c r="R745" s="742"/>
      <c r="S745" s="742"/>
    </row>
    <row r="746" spans="1:19" s="761" customFormat="1" ht="22.5" hidden="1" outlineLevel="3" x14ac:dyDescent="0.2">
      <c r="A746" s="762" t="e">
        <f ca="1">IF($H746="UNIDADE CONSTRUTIVA",OFFSET(A746,-1,0)+1,LARGE(A$3:A745,1))</f>
        <v>#NUM!</v>
      </c>
      <c r="B746" s="762">
        <f t="shared" ref="B746:B757" ca="1" si="161">IF(H746="UNIDADE CONSTRUTIVA",0,IF(H746="CÉLULA CONSTRUTIVA",OFFSET(B746,-1,0)+1,OFFSET(B746,-1,0)))</f>
        <v>11</v>
      </c>
      <c r="C746" s="762">
        <f t="shared" ref="C746:C757" ca="1" si="162">IF(H746="CÉLULA CONSTRUTIVA",0,IF(H746="ETAPA",OFFSET(C746,-1,0)+1,OFFSET(C746,-1,0)))</f>
        <v>3</v>
      </c>
      <c r="D746" s="763">
        <f t="shared" ref="D746:D757" ca="1" si="163">IF(H746="ETAPA",0,IF(H746="SUBETAPA",OFFSET(D746,-1,0)+1,OFFSET(D746,-1,0)))</f>
        <v>1</v>
      </c>
      <c r="E746" s="763">
        <f t="shared" ref="E746:E757" ca="1" si="164">IF(H746="Subetapa",0,IF(H746="serviço",OFFSET(E746,-1,0)+1,OFFSET(E746,-1,0)))</f>
        <v>3</v>
      </c>
      <c r="G746" s="628"/>
      <c r="H746" s="766" t="s">
        <v>368</v>
      </c>
      <c r="I746" s="629" t="str">
        <f t="shared" ca="1" si="160"/>
        <v>11.003.001.003</v>
      </c>
      <c r="J746" s="654" t="s">
        <v>1453</v>
      </c>
      <c r="K746" s="630" t="s">
        <v>1</v>
      </c>
      <c r="L746" s="631">
        <f>ARQ.!C212</f>
        <v>127.41</v>
      </c>
      <c r="M746" s="631">
        <f>VLOOKUP(J746,Preços!$C$7:$F$498,4,FALSE)</f>
        <v>13.365</v>
      </c>
      <c r="N746" s="646">
        <f>L746*M746</f>
        <v>1702.83465</v>
      </c>
      <c r="O746" s="767"/>
      <c r="P746" s="632" t="s">
        <v>333</v>
      </c>
      <c r="R746" s="742"/>
      <c r="S746" s="742"/>
    </row>
    <row r="747" spans="1:19" s="761" customFormat="1" ht="22.5" hidden="1" outlineLevel="3" x14ac:dyDescent="0.2">
      <c r="A747" s="762" t="e">
        <f ca="1">IF($H747="UNIDADE CONSTRUTIVA",OFFSET(A747,-1,0)+1,LARGE(A$3:A746,1))</f>
        <v>#NUM!</v>
      </c>
      <c r="B747" s="762">
        <f t="shared" ca="1" si="161"/>
        <v>11</v>
      </c>
      <c r="C747" s="762">
        <f t="shared" ca="1" si="162"/>
        <v>3</v>
      </c>
      <c r="D747" s="763">
        <f t="shared" ca="1" si="163"/>
        <v>1</v>
      </c>
      <c r="E747" s="763">
        <f t="shared" ca="1" si="164"/>
        <v>4</v>
      </c>
      <c r="G747" s="628"/>
      <c r="H747" s="766" t="s">
        <v>368</v>
      </c>
      <c r="I747" s="629" t="str">
        <f t="shared" ca="1" si="160"/>
        <v>11.003.001.004</v>
      </c>
      <c r="J747" s="654" t="s">
        <v>1156</v>
      </c>
      <c r="K747" s="630" t="s">
        <v>1</v>
      </c>
      <c r="L747" s="631">
        <f>ARQ.!C214</f>
        <v>483.98</v>
      </c>
      <c r="M747" s="631">
        <f>VLOOKUP(J747,Preços!$C$7:$F$498,4,FALSE)</f>
        <v>7.4850000000000003</v>
      </c>
      <c r="N747" s="646">
        <f>L747*M747</f>
        <v>3622.5903000000003</v>
      </c>
      <c r="O747" s="767"/>
      <c r="P747" s="632" t="s">
        <v>333</v>
      </c>
      <c r="R747" s="742"/>
      <c r="S747" s="742"/>
    </row>
    <row r="748" spans="1:19" s="761" customFormat="1" hidden="1" outlineLevel="2" x14ac:dyDescent="0.2">
      <c r="A748" s="762" t="e">
        <f ca="1">IF($H748="UNIDADE CONSTRUTIVA",OFFSET(A748,-1,0)+1,LARGE(A$3:A742,1))</f>
        <v>#NUM!</v>
      </c>
      <c r="B748" s="762">
        <f t="shared" ca="1" si="161"/>
        <v>11</v>
      </c>
      <c r="C748" s="762">
        <f t="shared" ca="1" si="162"/>
        <v>3</v>
      </c>
      <c r="D748" s="763">
        <f t="shared" ca="1" si="163"/>
        <v>2</v>
      </c>
      <c r="E748" s="763">
        <f t="shared" ca="1" si="164"/>
        <v>0</v>
      </c>
      <c r="G748" s="628"/>
      <c r="H748" s="766" t="s">
        <v>367</v>
      </c>
      <c r="I748" s="629" t="str">
        <f t="shared" ca="1" si="160"/>
        <v>11.003.002</v>
      </c>
      <c r="J748" s="654" t="s">
        <v>781</v>
      </c>
      <c r="K748" s="630"/>
      <c r="L748" s="631"/>
      <c r="M748" s="631"/>
      <c r="N748" s="646">
        <f>SUM(N749:N752)</f>
        <v>11526.153763999999</v>
      </c>
      <c r="O748" s="767"/>
      <c r="P748" s="632"/>
      <c r="R748" s="742"/>
      <c r="S748" s="742"/>
    </row>
    <row r="749" spans="1:19" s="761" customFormat="1" ht="22.5" hidden="1" outlineLevel="3" x14ac:dyDescent="0.2">
      <c r="A749" s="762" t="e">
        <f ca="1">IF($H749="UNIDADE CONSTRUTIVA",OFFSET(A749,-1,0)+1,LARGE(A$3:A748,1))</f>
        <v>#NUM!</v>
      </c>
      <c r="B749" s="762">
        <f t="shared" ca="1" si="161"/>
        <v>11</v>
      </c>
      <c r="C749" s="762">
        <f t="shared" ca="1" si="162"/>
        <v>3</v>
      </c>
      <c r="D749" s="763">
        <f t="shared" ca="1" si="163"/>
        <v>2</v>
      </c>
      <c r="E749" s="763">
        <f t="shared" ca="1" si="164"/>
        <v>1</v>
      </c>
      <c r="G749" s="628"/>
      <c r="H749" s="766" t="s">
        <v>368</v>
      </c>
      <c r="I749" s="629" t="str">
        <f t="shared" ca="1" si="160"/>
        <v>11.003.002.001</v>
      </c>
      <c r="J749" s="654" t="s">
        <v>799</v>
      </c>
      <c r="K749" s="630" t="s">
        <v>1</v>
      </c>
      <c r="L749" s="631">
        <f>ARQ.!C216</f>
        <v>405.39</v>
      </c>
      <c r="M749" s="631">
        <f>VLOOKUP(J749,Preços!$C$7:$F$498,4,FALSE)</f>
        <v>2.5165999999999999</v>
      </c>
      <c r="N749" s="646">
        <f>L749*M749</f>
        <v>1020.2044739999999</v>
      </c>
      <c r="O749" s="767"/>
      <c r="P749" s="632" t="s">
        <v>333</v>
      </c>
      <c r="R749" s="742"/>
      <c r="S749" s="742"/>
    </row>
    <row r="750" spans="1:19" s="761" customFormat="1" ht="33.75" hidden="1" outlineLevel="3" x14ac:dyDescent="0.2">
      <c r="A750" s="762" t="e">
        <f ca="1">IF($H750="UNIDADE CONSTRUTIVA",OFFSET(A750,-1,0)+1,LARGE(A$3:A749,1))</f>
        <v>#NUM!</v>
      </c>
      <c r="B750" s="762">
        <f t="shared" ca="1" si="161"/>
        <v>11</v>
      </c>
      <c r="C750" s="762">
        <f t="shared" ca="1" si="162"/>
        <v>3</v>
      </c>
      <c r="D750" s="763">
        <f t="shared" ca="1" si="163"/>
        <v>2</v>
      </c>
      <c r="E750" s="763">
        <f t="shared" ca="1" si="164"/>
        <v>2</v>
      </c>
      <c r="G750" s="628"/>
      <c r="H750" s="766" t="s">
        <v>368</v>
      </c>
      <c r="I750" s="629" t="str">
        <f t="shared" ca="1" si="160"/>
        <v>11.003.002.002</v>
      </c>
      <c r="J750" s="654" t="s">
        <v>798</v>
      </c>
      <c r="K750" s="630" t="s">
        <v>1</v>
      </c>
      <c r="L750" s="631">
        <f>ARQ.!C217</f>
        <v>143.03</v>
      </c>
      <c r="M750" s="631">
        <f>VLOOKUP(J750,Preços!$C$7:$F$498,4,FALSE)</f>
        <v>6.6079999999999997</v>
      </c>
      <c r="N750" s="646">
        <f>L750*M750</f>
        <v>945.1422399999999</v>
      </c>
      <c r="O750" s="767"/>
      <c r="P750" s="632" t="s">
        <v>333</v>
      </c>
      <c r="R750" s="742"/>
      <c r="S750" s="742"/>
    </row>
    <row r="751" spans="1:19" s="761" customFormat="1" ht="22.5" hidden="1" outlineLevel="3" x14ac:dyDescent="0.2">
      <c r="A751" s="762" t="e">
        <f ca="1">IF($H751="UNIDADE CONSTRUTIVA",OFFSET(A751,-1,0)+1,LARGE(A$3:A750,1))</f>
        <v>#NUM!</v>
      </c>
      <c r="B751" s="762">
        <f t="shared" ca="1" si="161"/>
        <v>11</v>
      </c>
      <c r="C751" s="762">
        <f t="shared" ca="1" si="162"/>
        <v>3</v>
      </c>
      <c r="D751" s="763">
        <f t="shared" ca="1" si="163"/>
        <v>2</v>
      </c>
      <c r="E751" s="763">
        <f t="shared" ca="1" si="164"/>
        <v>3</v>
      </c>
      <c r="G751" s="628"/>
      <c r="H751" s="766" t="s">
        <v>368</v>
      </c>
      <c r="I751" s="629" t="str">
        <f t="shared" ca="1" si="160"/>
        <v>11.003.002.003</v>
      </c>
      <c r="J751" s="654" t="s">
        <v>800</v>
      </c>
      <c r="K751" s="630" t="s">
        <v>1</v>
      </c>
      <c r="L751" s="631">
        <f>ARQ.!C219</f>
        <v>548.41999999999996</v>
      </c>
      <c r="M751" s="631">
        <f>VLOOKUP(J751,Preços!$C$7:$F$498,4,FALSE)</f>
        <v>15.9975</v>
      </c>
      <c r="N751" s="646">
        <f>L751*M751</f>
        <v>8773.3489499999996</v>
      </c>
      <c r="O751" s="767"/>
      <c r="P751" s="632" t="s">
        <v>333</v>
      </c>
      <c r="R751" s="742"/>
      <c r="S751" s="742"/>
    </row>
    <row r="752" spans="1:19" s="761" customFormat="1" ht="22.5" hidden="1" outlineLevel="3" x14ac:dyDescent="0.2">
      <c r="A752" s="762" t="e">
        <f ca="1">IF($H752="UNIDADE CONSTRUTIVA",OFFSET(A752,-1,0)+1,LARGE(A$3:A751,1))</f>
        <v>#NUM!</v>
      </c>
      <c r="B752" s="762">
        <f t="shared" ca="1" si="161"/>
        <v>11</v>
      </c>
      <c r="C752" s="762">
        <f t="shared" ca="1" si="162"/>
        <v>3</v>
      </c>
      <c r="D752" s="763">
        <f t="shared" ca="1" si="163"/>
        <v>2</v>
      </c>
      <c r="E752" s="763">
        <f t="shared" ca="1" si="164"/>
        <v>4</v>
      </c>
      <c r="G752" s="628"/>
      <c r="H752" s="766" t="s">
        <v>368</v>
      </c>
      <c r="I752" s="629" t="str">
        <f t="shared" ca="1" si="160"/>
        <v>11.003.002.004</v>
      </c>
      <c r="J752" s="654" t="s">
        <v>214</v>
      </c>
      <c r="K752" s="630" t="s">
        <v>1</v>
      </c>
      <c r="L752" s="631">
        <f>ARQ.!C221</f>
        <v>151.58000000000001</v>
      </c>
      <c r="M752" s="631">
        <f>VLOOKUP(J752,Preços!$C$7:$F$498,4,FALSE)</f>
        <v>5.1950000000000003</v>
      </c>
      <c r="N752" s="646">
        <f>L752*M752</f>
        <v>787.45810000000006</v>
      </c>
      <c r="O752" s="767"/>
      <c r="P752" s="632" t="s">
        <v>333</v>
      </c>
      <c r="R752" s="742"/>
      <c r="S752" s="742"/>
    </row>
    <row r="753" spans="1:19" s="761" customFormat="1" hidden="1" outlineLevel="2" x14ac:dyDescent="0.2">
      <c r="A753" s="762" t="e">
        <f ca="1">IF($H753="UNIDADE CONSTRUTIVA",OFFSET(A753,-1,0)+1,LARGE(A$3:A752,1))</f>
        <v>#NUM!</v>
      </c>
      <c r="B753" s="762">
        <f t="shared" ca="1" si="161"/>
        <v>11</v>
      </c>
      <c r="C753" s="762">
        <f t="shared" ca="1" si="162"/>
        <v>3</v>
      </c>
      <c r="D753" s="763">
        <f t="shared" ca="1" si="163"/>
        <v>3</v>
      </c>
      <c r="E753" s="763">
        <f t="shared" ca="1" si="164"/>
        <v>0</v>
      </c>
      <c r="G753" s="628"/>
      <c r="H753" s="766" t="s">
        <v>367</v>
      </c>
      <c r="I753" s="629" t="str">
        <f t="shared" ca="1" si="160"/>
        <v>11.003.003</v>
      </c>
      <c r="J753" s="654" t="s">
        <v>804</v>
      </c>
      <c r="K753" s="630"/>
      <c r="L753" s="631"/>
      <c r="M753" s="631"/>
      <c r="N753" s="646">
        <f>SUM(N754:N755)</f>
        <v>20468.939999999999</v>
      </c>
      <c r="O753" s="767"/>
      <c r="P753" s="632"/>
      <c r="R753" s="742"/>
      <c r="S753" s="742"/>
    </row>
    <row r="754" spans="1:19" s="761" customFormat="1" ht="22.5" hidden="1" outlineLevel="3" x14ac:dyDescent="0.2">
      <c r="A754" s="762" t="e">
        <f ca="1">IF($H754="UNIDADE CONSTRUTIVA",OFFSET(A754,-1,0)+1,LARGE(A$3:A753,1))</f>
        <v>#NUM!</v>
      </c>
      <c r="B754" s="762">
        <f t="shared" ca="1" si="161"/>
        <v>11</v>
      </c>
      <c r="C754" s="762">
        <f t="shared" ca="1" si="162"/>
        <v>3</v>
      </c>
      <c r="D754" s="763">
        <f t="shared" ca="1" si="163"/>
        <v>3</v>
      </c>
      <c r="E754" s="763">
        <f t="shared" ca="1" si="164"/>
        <v>1</v>
      </c>
      <c r="G754" s="628"/>
      <c r="H754" s="766" t="s">
        <v>368</v>
      </c>
      <c r="I754" s="629" t="str">
        <f t="shared" ca="1" si="160"/>
        <v>11.003.003.001</v>
      </c>
      <c r="J754" s="654" t="s">
        <v>974</v>
      </c>
      <c r="K754" s="630" t="s">
        <v>1</v>
      </c>
      <c r="L754" s="631">
        <f>SUM(L744:L746)</f>
        <v>154.37</v>
      </c>
      <c r="M754" s="631">
        <f>VLOOKUP(J754,Preços!$C$7:$F$498,4,FALSE)</f>
        <v>26</v>
      </c>
      <c r="N754" s="646">
        <f>L754*M754</f>
        <v>4013.62</v>
      </c>
      <c r="O754" s="767"/>
      <c r="P754" s="632" t="s">
        <v>333</v>
      </c>
      <c r="R754" s="742"/>
      <c r="S754" s="742"/>
    </row>
    <row r="755" spans="1:19" s="761" customFormat="1" ht="22.5" hidden="1" outlineLevel="3" x14ac:dyDescent="0.2">
      <c r="A755" s="762" t="e">
        <f ca="1">IF($H755="UNIDADE CONSTRUTIVA",OFFSET(A755,-1,0)+1,LARGE(A$3:A754,1))</f>
        <v>#NUM!</v>
      </c>
      <c r="B755" s="762">
        <f t="shared" ca="1" si="161"/>
        <v>11</v>
      </c>
      <c r="C755" s="762">
        <f t="shared" ca="1" si="162"/>
        <v>3</v>
      </c>
      <c r="D755" s="763">
        <f t="shared" ca="1" si="163"/>
        <v>3</v>
      </c>
      <c r="E755" s="763">
        <f t="shared" ca="1" si="164"/>
        <v>2</v>
      </c>
      <c r="G755" s="628"/>
      <c r="H755" s="766" t="s">
        <v>368</v>
      </c>
      <c r="I755" s="629" t="str">
        <f t="shared" ca="1" si="160"/>
        <v>11.003.003.002</v>
      </c>
      <c r="J755" s="654" t="s">
        <v>1445</v>
      </c>
      <c r="K755" s="630" t="s">
        <v>1</v>
      </c>
      <c r="L755" s="631">
        <f>SUM(L747)</f>
        <v>483.98</v>
      </c>
      <c r="M755" s="631">
        <f>VLOOKUP(J755,Preços!$C$7:$F$498,4,FALSE)</f>
        <v>34</v>
      </c>
      <c r="N755" s="646">
        <f>L755*M755</f>
        <v>16455.32</v>
      </c>
      <c r="O755" s="767"/>
      <c r="P755" s="632" t="s">
        <v>333</v>
      </c>
      <c r="R755" s="742"/>
      <c r="S755" s="742"/>
    </row>
    <row r="756" spans="1:19" s="761" customFormat="1" hidden="1" outlineLevel="2" x14ac:dyDescent="0.2">
      <c r="A756" s="762" t="e">
        <f ca="1">IF($H756="UNIDADE CONSTRUTIVA",OFFSET(A756,-1,0)+1,LARGE(A$3:A754,1))</f>
        <v>#NUM!</v>
      </c>
      <c r="B756" s="762">
        <f t="shared" ca="1" si="161"/>
        <v>11</v>
      </c>
      <c r="C756" s="762">
        <f t="shared" ca="1" si="162"/>
        <v>3</v>
      </c>
      <c r="D756" s="763">
        <f t="shared" ca="1" si="163"/>
        <v>4</v>
      </c>
      <c r="E756" s="763">
        <f t="shared" ca="1" si="164"/>
        <v>0</v>
      </c>
      <c r="G756" s="628"/>
      <c r="H756" s="766" t="s">
        <v>367</v>
      </c>
      <c r="I756" s="629" t="str">
        <f t="shared" ca="1" si="160"/>
        <v>11.003.004</v>
      </c>
      <c r="J756" s="654" t="s">
        <v>782</v>
      </c>
      <c r="K756" s="630"/>
      <c r="L756" s="631"/>
      <c r="M756" s="631"/>
      <c r="N756" s="646">
        <f>SUM(N757:N758)</f>
        <v>20884.199999999997</v>
      </c>
      <c r="O756" s="767"/>
      <c r="P756" s="632"/>
      <c r="R756" s="742"/>
      <c r="S756" s="742"/>
    </row>
    <row r="757" spans="1:19" s="761" customFormat="1" ht="22.5" hidden="1" outlineLevel="3" x14ac:dyDescent="0.2">
      <c r="A757" s="762" t="e">
        <f ca="1">IF($H757="UNIDADE CONSTRUTIVA",OFFSET(A757,-1,0)+1,LARGE(A$3:A756,1))</f>
        <v>#NUM!</v>
      </c>
      <c r="B757" s="762">
        <f t="shared" ca="1" si="161"/>
        <v>11</v>
      </c>
      <c r="C757" s="762">
        <f t="shared" ca="1" si="162"/>
        <v>3</v>
      </c>
      <c r="D757" s="763">
        <f t="shared" ca="1" si="163"/>
        <v>4</v>
      </c>
      <c r="E757" s="763">
        <f t="shared" ca="1" si="164"/>
        <v>1</v>
      </c>
      <c r="G757" s="628"/>
      <c r="H757" s="766" t="s">
        <v>368</v>
      </c>
      <c r="I757" s="629" t="str">
        <f t="shared" ca="1" si="160"/>
        <v>11.003.004.001</v>
      </c>
      <c r="J757" s="654" t="s">
        <v>1446</v>
      </c>
      <c r="K757" s="630" t="s">
        <v>1</v>
      </c>
      <c r="L757" s="631">
        <f>SUM(L751)</f>
        <v>548.41999999999996</v>
      </c>
      <c r="M757" s="631">
        <f>VLOOKUP(J757,Preços!$C$7:$F$498,4,FALSE)</f>
        <v>32</v>
      </c>
      <c r="N757" s="646">
        <f>L757*M757</f>
        <v>17549.439999999999</v>
      </c>
      <c r="O757" s="767"/>
      <c r="P757" s="632" t="s">
        <v>333</v>
      </c>
      <c r="R757" s="742"/>
      <c r="S757" s="742"/>
    </row>
    <row r="758" spans="1:19" s="761" customFormat="1" ht="22.5" hidden="1" outlineLevel="2" x14ac:dyDescent="0.2">
      <c r="A758" s="762" t="e">
        <f ca="1">IF($H758="UNIDADE CONSTRUTIVA",OFFSET(A758,-1,0)+1,LARGE(A$3:A770,1))</f>
        <v>#NUM!</v>
      </c>
      <c r="B758" s="762">
        <f ca="1">IF(H758="UNIDADE CONSTRUTIVA",0,IF(H758="CÉLULA CONSTRUTIVA",OFFSET(B758,-1,0)+1,OFFSET(B758,-1,0)))</f>
        <v>11</v>
      </c>
      <c r="C758" s="762">
        <f ca="1">IF(H758="CÉLULA CONSTRUTIVA",0,IF(H758="ETAPA",OFFSET(C758,-1,0)+1,OFFSET(C758,-1,0)))</f>
        <v>3</v>
      </c>
      <c r="D758" s="763">
        <f ca="1">IF(H758="ETAPA",0,IF(H758="SUBETAPA",OFFSET(D758,-1,0)+1,OFFSET(D758,-1,0)))</f>
        <v>4</v>
      </c>
      <c r="E758" s="763">
        <f ca="1">IF(H758="Subetapa",0,IF(H758="serviço",OFFSET(E758,-1,0)+1,OFFSET(E758,-1,0)))</f>
        <v>2</v>
      </c>
      <c r="G758" s="628"/>
      <c r="H758" s="766" t="s">
        <v>368</v>
      </c>
      <c r="I758" s="629" t="str">
        <f ca="1">IF(H758="Unidade Construtiva",TEXT(A758,"00"),IF(H758="Célula Construtiva",TEXT(B758,"00"),IF(H758="Etapa",CONCATENATE(TEXT(B758,"00"),".",TEXT(C758,"000")),IF(H758="Subetapa",CONCATENATE(TEXT(B758,"00"),".",TEXT(C758,"000"),".",TEXT(D758,"000")),IF(H758="Serviço",CONCATENATE(TEXT(B758,"00"),".",TEXT(C758,"000"),".",TEXT(D758,"000"),".",TEXT(E758,"000")),"")))))</f>
        <v>11.003.004.002</v>
      </c>
      <c r="J758" s="654" t="s">
        <v>1662</v>
      </c>
      <c r="K758" s="630" t="s">
        <v>1</v>
      </c>
      <c r="L758" s="631">
        <f>SUM(L752)</f>
        <v>151.58000000000001</v>
      </c>
      <c r="M758" s="631">
        <f>VLOOKUP(J758,Preços!$C$7:$F$498,4,FALSE)</f>
        <v>22</v>
      </c>
      <c r="N758" s="646">
        <f>L758*M758</f>
        <v>3334.76</v>
      </c>
      <c r="O758" s="767"/>
      <c r="P758" s="632" t="s">
        <v>333</v>
      </c>
      <c r="R758" s="742"/>
      <c r="S758" s="742"/>
    </row>
    <row r="759" spans="1:19" s="761" customFormat="1" ht="22.5" hidden="1" outlineLevel="1" collapsed="1" x14ac:dyDescent="0.2">
      <c r="A759" s="762" t="e">
        <f ca="1">IF($H759="UNIDADE CONSTRUTIVA",OFFSET(A759,-1,0)+1,LARGE(A$3:A598,1))</f>
        <v>#NUM!</v>
      </c>
      <c r="B759" s="762">
        <f ca="1">IF(H759="UNIDADE CONSTRUTIVA",0,IF(H759="CÉLULA CONSTRUTIVA",OFFSET(B759,-1,0)+1,OFFSET(B759,-1,0)))</f>
        <v>11</v>
      </c>
      <c r="C759" s="762">
        <f ca="1">IF(H759="CÉLULA CONSTRUTIVA",0,IF(H759="ETAPA",OFFSET(C759,-1,0)+1,OFFSET(C759,-1,0)))</f>
        <v>4</v>
      </c>
      <c r="D759" s="763">
        <f ca="1">IF(H759="ETAPA",0,IF(H759="SUBETAPA",OFFSET(D759,-1,0)+1,OFFSET(D759,-1,0)))</f>
        <v>0</v>
      </c>
      <c r="E759" s="763">
        <f ca="1">IF(H759="Subetapa",0,IF(H759="serviço",OFFSET(E759,-1,0)+1,OFFSET(E759,-1,0)))</f>
        <v>2</v>
      </c>
      <c r="G759" s="628"/>
      <c r="H759" s="766" t="s">
        <v>366</v>
      </c>
      <c r="I759" s="629" t="str">
        <f t="shared" ca="1" si="160"/>
        <v>11.004</v>
      </c>
      <c r="J759" s="654" t="s">
        <v>1655</v>
      </c>
      <c r="K759" s="630"/>
      <c r="L759" s="631"/>
      <c r="M759" s="631"/>
      <c r="N759" s="646">
        <f>SUM(N760,N765,N770,N773)</f>
        <v>69636.591958000005</v>
      </c>
      <c r="O759" s="767"/>
      <c r="P759" s="632"/>
      <c r="R759" s="742"/>
      <c r="S759" s="742"/>
    </row>
    <row r="760" spans="1:19" s="761" customFormat="1" hidden="1" outlineLevel="2" x14ac:dyDescent="0.2">
      <c r="A760" s="762" t="e">
        <f ca="1">IF($H760="UNIDADE CONSTRUTIVA",OFFSET(A760,-1,0)+1,LARGE(A$3:A906,1))</f>
        <v>#NUM!</v>
      </c>
      <c r="B760" s="762">
        <f ca="1">IF(H760="UNIDADE CONSTRUTIVA",0,IF(H760="CÉLULA CONSTRUTIVA",OFFSET(B760,-1,0)+1,OFFSET(B760,-1,0)))</f>
        <v>11</v>
      </c>
      <c r="C760" s="762">
        <f ca="1">IF(H760="CÉLULA CONSTRUTIVA",0,IF(H760="ETAPA",OFFSET(C760,-1,0)+1,OFFSET(C760,-1,0)))</f>
        <v>4</v>
      </c>
      <c r="D760" s="763">
        <f ca="1">IF(H760="ETAPA",0,IF(H760="SUBETAPA",OFFSET(D760,-1,0)+1,OFFSET(D760,-1,0)))</f>
        <v>1</v>
      </c>
      <c r="E760" s="763">
        <f ca="1">IF(H760="Subetapa",0,IF(H760="serviço",OFFSET(E760,-1,0)+1,OFFSET(E760,-1,0)))</f>
        <v>0</v>
      </c>
      <c r="G760" s="628"/>
      <c r="H760" s="766" t="s">
        <v>367</v>
      </c>
      <c r="I760" s="629" t="str">
        <f t="shared" ca="1" si="160"/>
        <v>11.004.001</v>
      </c>
      <c r="J760" s="654" t="s">
        <v>792</v>
      </c>
      <c r="K760" s="630"/>
      <c r="L760" s="631"/>
      <c r="M760" s="631"/>
      <c r="N760" s="646">
        <f>SUM(N761:N764)</f>
        <v>4651.7140500000005</v>
      </c>
      <c r="O760" s="767"/>
      <c r="P760" s="632"/>
      <c r="R760" s="742"/>
      <c r="S760" s="742"/>
    </row>
    <row r="761" spans="1:19" s="761" customFormat="1" ht="22.5" hidden="1" outlineLevel="3" x14ac:dyDescent="0.2">
      <c r="A761" s="762" t="e">
        <f ca="1">IF($H761="UNIDADE CONSTRUTIVA",OFFSET(A761,-1,0)+1,LARGE(A$3:A760,1))</f>
        <v>#NUM!</v>
      </c>
      <c r="B761" s="762">
        <f ca="1">IF(H761="UNIDADE CONSTRUTIVA",0,IF(H761="CÉLULA CONSTRUTIVA",OFFSET(B761,-1,0)+1,OFFSET(B761,-1,0)))</f>
        <v>11</v>
      </c>
      <c r="C761" s="762">
        <f ca="1">IF(H761="CÉLULA CONSTRUTIVA",0,IF(H761="ETAPA",OFFSET(C761,-1,0)+1,OFFSET(C761,-1,0)))</f>
        <v>4</v>
      </c>
      <c r="D761" s="763">
        <f ca="1">IF(H761="ETAPA",0,IF(H761="SUBETAPA",OFFSET(D761,-1,0)+1,OFFSET(D761,-1,0)))</f>
        <v>1</v>
      </c>
      <c r="E761" s="763">
        <f ca="1">IF(H761="Subetapa",0,IF(H761="serviço",OFFSET(E761,-1,0)+1,OFFSET(E761,-1,0)))</f>
        <v>1</v>
      </c>
      <c r="G761" s="628"/>
      <c r="H761" s="766" t="s">
        <v>368</v>
      </c>
      <c r="I761" s="629" t="str">
        <f t="shared" ca="1" si="160"/>
        <v>11.004.001.001</v>
      </c>
      <c r="J761" s="654" t="s">
        <v>796</v>
      </c>
      <c r="K761" s="630" t="s">
        <v>1</v>
      </c>
      <c r="L761" s="631">
        <f>ARQ.!C284</f>
        <v>16.52</v>
      </c>
      <c r="M761" s="631">
        <f>VLOOKUP(J761,Preços!$C$7:$F$498,4,FALSE)</f>
        <v>35.64</v>
      </c>
      <c r="N761" s="646">
        <f>L761*M761</f>
        <v>588.77279999999996</v>
      </c>
      <c r="O761" s="767"/>
      <c r="P761" s="632" t="s">
        <v>333</v>
      </c>
      <c r="R761" s="742"/>
      <c r="S761" s="742"/>
    </row>
    <row r="762" spans="1:19" s="761" customFormat="1" ht="22.5" hidden="1" outlineLevel="3" x14ac:dyDescent="0.2">
      <c r="A762" s="762" t="e">
        <f ca="1">IF($H762="UNIDADE CONSTRUTIVA",OFFSET(A762,-1,0)+1,LARGE(A$3:A761,1))</f>
        <v>#NUM!</v>
      </c>
      <c r="B762" s="762">
        <f ca="1">IF(H762="UNIDADE CONSTRUTIVA",0,IF(H762="CÉLULA CONSTRUTIVA",OFFSET(B762,-1,0)+1,OFFSET(B762,-1,0)))</f>
        <v>11</v>
      </c>
      <c r="C762" s="762">
        <f ca="1">IF(H762="CÉLULA CONSTRUTIVA",0,IF(H762="ETAPA",OFFSET(C762,-1,0)+1,OFFSET(C762,-1,0)))</f>
        <v>4</v>
      </c>
      <c r="D762" s="763">
        <f ca="1">IF(H762="ETAPA",0,IF(H762="SUBETAPA",OFFSET(D762,-1,0)+1,OFFSET(D762,-1,0)))</f>
        <v>1</v>
      </c>
      <c r="E762" s="763">
        <f ca="1">IF(H762="Subetapa",0,IF(H762="serviço",OFFSET(E762,-1,0)+1,OFFSET(E762,-1,0)))</f>
        <v>2</v>
      </c>
      <c r="G762" s="628"/>
      <c r="H762" s="766" t="s">
        <v>368</v>
      </c>
      <c r="I762" s="629" t="str">
        <f t="shared" ca="1" si="160"/>
        <v>11.004.001.002</v>
      </c>
      <c r="J762" s="654" t="s">
        <v>797</v>
      </c>
      <c r="K762" s="630"/>
      <c r="L762" s="631">
        <f>ARQ.!C285+ARQ.!C286</f>
        <v>13.879999999999999</v>
      </c>
      <c r="M762" s="631">
        <f>VLOOKUP(J762,Preços!$C$7:$F$498,4,FALSE)</f>
        <v>8.91</v>
      </c>
      <c r="N762" s="646">
        <f>L762*M762</f>
        <v>123.6708</v>
      </c>
      <c r="O762" s="767"/>
      <c r="P762" s="632" t="s">
        <v>333</v>
      </c>
      <c r="R762" s="742"/>
      <c r="S762" s="742"/>
    </row>
    <row r="763" spans="1:19" s="761" customFormat="1" ht="22.5" hidden="1" outlineLevel="3" x14ac:dyDescent="0.2">
      <c r="A763" s="762" t="e">
        <f ca="1">IF($H763="UNIDADE CONSTRUTIVA",OFFSET(A763,-1,0)+1,LARGE(A$3:A762,1))</f>
        <v>#NUM!</v>
      </c>
      <c r="B763" s="762">
        <f t="shared" ref="B763:B774" ca="1" si="165">IF(H763="UNIDADE CONSTRUTIVA",0,IF(H763="CÉLULA CONSTRUTIVA",OFFSET(B763,-1,0)+1,OFFSET(B763,-1,0)))</f>
        <v>11</v>
      </c>
      <c r="C763" s="762">
        <f t="shared" ref="C763:C774" ca="1" si="166">IF(H763="CÉLULA CONSTRUTIVA",0,IF(H763="ETAPA",OFFSET(C763,-1,0)+1,OFFSET(C763,-1,0)))</f>
        <v>4</v>
      </c>
      <c r="D763" s="763">
        <f t="shared" ref="D763:D774" ca="1" si="167">IF(H763="ETAPA",0,IF(H763="SUBETAPA",OFFSET(D763,-1,0)+1,OFFSET(D763,-1,0)))</f>
        <v>1</v>
      </c>
      <c r="E763" s="763">
        <f t="shared" ref="E763:E774" ca="1" si="168">IF(H763="Subetapa",0,IF(H763="serviço",OFFSET(E763,-1,0)+1,OFFSET(E763,-1,0)))</f>
        <v>3</v>
      </c>
      <c r="G763" s="628"/>
      <c r="H763" s="766" t="s">
        <v>368</v>
      </c>
      <c r="I763" s="629" t="str">
        <f t="shared" ca="1" si="160"/>
        <v>11.004.001.003</v>
      </c>
      <c r="J763" s="654" t="s">
        <v>1453</v>
      </c>
      <c r="K763" s="630" t="s">
        <v>1</v>
      </c>
      <c r="L763" s="631">
        <f>ARQ.!C288</f>
        <v>4.53</v>
      </c>
      <c r="M763" s="631">
        <f>VLOOKUP(J763,Preços!$C$7:$F$498,4,FALSE)</f>
        <v>13.365</v>
      </c>
      <c r="N763" s="646">
        <f>L763*M763</f>
        <v>60.543450000000007</v>
      </c>
      <c r="O763" s="767"/>
      <c r="P763" s="632" t="s">
        <v>333</v>
      </c>
      <c r="R763" s="742"/>
      <c r="S763" s="742"/>
    </row>
    <row r="764" spans="1:19" s="761" customFormat="1" ht="22.5" hidden="1" outlineLevel="3" x14ac:dyDescent="0.2">
      <c r="A764" s="762" t="e">
        <f ca="1">IF($H764="UNIDADE CONSTRUTIVA",OFFSET(A764,-1,0)+1,LARGE(A$3:A763,1))</f>
        <v>#NUM!</v>
      </c>
      <c r="B764" s="762">
        <f t="shared" ca="1" si="165"/>
        <v>11</v>
      </c>
      <c r="C764" s="762">
        <f t="shared" ca="1" si="166"/>
        <v>4</v>
      </c>
      <c r="D764" s="763">
        <f t="shared" ca="1" si="167"/>
        <v>1</v>
      </c>
      <c r="E764" s="763">
        <f t="shared" ca="1" si="168"/>
        <v>4</v>
      </c>
      <c r="G764" s="628"/>
      <c r="H764" s="766" t="s">
        <v>368</v>
      </c>
      <c r="I764" s="629" t="str">
        <f t="shared" ca="1" si="160"/>
        <v>11.004.001.004</v>
      </c>
      <c r="J764" s="654" t="s">
        <v>1156</v>
      </c>
      <c r="K764" s="630" t="s">
        <v>1</v>
      </c>
      <c r="L764" s="631">
        <f>ARQ.!C290</f>
        <v>518.20000000000005</v>
      </c>
      <c r="M764" s="631">
        <f>VLOOKUP(J764,Preços!$C$7:$F$498,4,FALSE)</f>
        <v>7.4850000000000003</v>
      </c>
      <c r="N764" s="646">
        <f>L764*M764</f>
        <v>3878.7270000000003</v>
      </c>
      <c r="O764" s="767"/>
      <c r="P764" s="632" t="s">
        <v>333</v>
      </c>
      <c r="R764" s="742"/>
      <c r="S764" s="742"/>
    </row>
    <row r="765" spans="1:19" s="761" customFormat="1" hidden="1" outlineLevel="2" x14ac:dyDescent="0.2">
      <c r="A765" s="762" t="e">
        <f ca="1">IF($H765="UNIDADE CONSTRUTIVA",OFFSET(A765,-1,0)+1,LARGE(A$3:A759,1))</f>
        <v>#NUM!</v>
      </c>
      <c r="B765" s="762">
        <f t="shared" ca="1" si="165"/>
        <v>11</v>
      </c>
      <c r="C765" s="762">
        <f t="shared" ca="1" si="166"/>
        <v>4</v>
      </c>
      <c r="D765" s="763">
        <f t="shared" ca="1" si="167"/>
        <v>2</v>
      </c>
      <c r="E765" s="763">
        <f t="shared" ca="1" si="168"/>
        <v>0</v>
      </c>
      <c r="G765" s="628"/>
      <c r="H765" s="766" t="s">
        <v>367</v>
      </c>
      <c r="I765" s="629" t="str">
        <f t="shared" ca="1" si="160"/>
        <v>11.004.002</v>
      </c>
      <c r="J765" s="654" t="s">
        <v>781</v>
      </c>
      <c r="K765" s="630"/>
      <c r="L765" s="631"/>
      <c r="M765" s="631"/>
      <c r="N765" s="646">
        <f>SUM(N766:N769)</f>
        <v>15898.237908000001</v>
      </c>
      <c r="O765" s="767"/>
      <c r="P765" s="632"/>
      <c r="R765" s="742"/>
      <c r="S765" s="742"/>
    </row>
    <row r="766" spans="1:19" s="761" customFormat="1" ht="22.5" hidden="1" outlineLevel="3" x14ac:dyDescent="0.2">
      <c r="A766" s="762" t="e">
        <f ca="1">IF($H766="UNIDADE CONSTRUTIVA",OFFSET(A766,-1,0)+1,LARGE(A$3:A765,1))</f>
        <v>#NUM!</v>
      </c>
      <c r="B766" s="762">
        <f t="shared" ca="1" si="165"/>
        <v>11</v>
      </c>
      <c r="C766" s="762">
        <f t="shared" ca="1" si="166"/>
        <v>4</v>
      </c>
      <c r="D766" s="763">
        <f t="shared" ca="1" si="167"/>
        <v>2</v>
      </c>
      <c r="E766" s="763">
        <f t="shared" ca="1" si="168"/>
        <v>1</v>
      </c>
      <c r="G766" s="628"/>
      <c r="H766" s="766" t="s">
        <v>368</v>
      </c>
      <c r="I766" s="629" t="str">
        <f t="shared" ca="1" si="160"/>
        <v>11.004.002.001</v>
      </c>
      <c r="J766" s="654" t="s">
        <v>799</v>
      </c>
      <c r="K766" s="630" t="s">
        <v>1</v>
      </c>
      <c r="L766" s="631">
        <f>ARQ.!C292</f>
        <v>546.33000000000004</v>
      </c>
      <c r="M766" s="631">
        <f>VLOOKUP(J766,Preços!$C$7:$F$498,4,FALSE)</f>
        <v>2.5165999999999999</v>
      </c>
      <c r="N766" s="646">
        <f>L766*M766</f>
        <v>1374.894078</v>
      </c>
      <c r="O766" s="767"/>
      <c r="P766" s="632" t="s">
        <v>333</v>
      </c>
      <c r="R766" s="742"/>
      <c r="S766" s="742"/>
    </row>
    <row r="767" spans="1:19" s="761" customFormat="1" ht="33.75" hidden="1" outlineLevel="3" x14ac:dyDescent="0.2">
      <c r="A767" s="762" t="e">
        <f ca="1">IF($H767="UNIDADE CONSTRUTIVA",OFFSET(A767,-1,0)+1,LARGE(A$3:A766,1))</f>
        <v>#NUM!</v>
      </c>
      <c r="B767" s="762">
        <f t="shared" ca="1" si="165"/>
        <v>11</v>
      </c>
      <c r="C767" s="762">
        <f t="shared" ca="1" si="166"/>
        <v>4</v>
      </c>
      <c r="D767" s="763">
        <f t="shared" ca="1" si="167"/>
        <v>2</v>
      </c>
      <c r="E767" s="763">
        <f t="shared" ca="1" si="168"/>
        <v>2</v>
      </c>
      <c r="G767" s="628"/>
      <c r="H767" s="766" t="s">
        <v>368</v>
      </c>
      <c r="I767" s="629" t="str">
        <f t="shared" ca="1" si="160"/>
        <v>11.004.002.002</v>
      </c>
      <c r="J767" s="654" t="s">
        <v>798</v>
      </c>
      <c r="K767" s="630" t="s">
        <v>1</v>
      </c>
      <c r="L767" s="631">
        <f>ARQ.!C293</f>
        <v>179.11</v>
      </c>
      <c r="M767" s="631">
        <f>VLOOKUP(J767,Preços!$C$7:$F$498,4,FALSE)</f>
        <v>6.6079999999999997</v>
      </c>
      <c r="N767" s="646">
        <f>L767*M767</f>
        <v>1183.55888</v>
      </c>
      <c r="O767" s="767"/>
      <c r="P767" s="632" t="s">
        <v>333</v>
      </c>
      <c r="R767" s="742"/>
      <c r="S767" s="742"/>
    </row>
    <row r="768" spans="1:19" s="761" customFormat="1" ht="22.5" hidden="1" outlineLevel="3" x14ac:dyDescent="0.2">
      <c r="A768" s="762" t="e">
        <f ca="1">IF($H768="UNIDADE CONSTRUTIVA",OFFSET(A768,-1,0)+1,LARGE(A$3:A767,1))</f>
        <v>#NUM!</v>
      </c>
      <c r="B768" s="762">
        <f t="shared" ca="1" si="165"/>
        <v>11</v>
      </c>
      <c r="C768" s="762">
        <f t="shared" ca="1" si="166"/>
        <v>4</v>
      </c>
      <c r="D768" s="763">
        <f t="shared" ca="1" si="167"/>
        <v>2</v>
      </c>
      <c r="E768" s="763">
        <f t="shared" ca="1" si="168"/>
        <v>3</v>
      </c>
      <c r="G768" s="628"/>
      <c r="H768" s="766" t="s">
        <v>368</v>
      </c>
      <c r="I768" s="629" t="str">
        <f t="shared" ref="I768:I774" ca="1" si="169">IF(H768="Unidade Construtiva",TEXT(A768,"00"),IF(H768="Célula Construtiva",TEXT(B768,"00"),IF(H768="Etapa",CONCATENATE(TEXT(B768,"00"),".",TEXT(C768,"000")),IF(H768="Subetapa",CONCATENATE(TEXT(B768,"00"),".",TEXT(C768,"000"),".",TEXT(D768,"000")),IF(H768="Serviço",CONCATENATE(TEXT(B768,"00"),".",TEXT(C768,"000"),".",TEXT(D768,"000"),".",TEXT(E768,"000")),"")))))</f>
        <v>11.004.002.003</v>
      </c>
      <c r="J768" s="654" t="s">
        <v>800</v>
      </c>
      <c r="K768" s="630" t="s">
        <v>1</v>
      </c>
      <c r="L768" s="631">
        <f>ARQ.!C295</f>
        <v>725.44</v>
      </c>
      <c r="M768" s="631">
        <f>VLOOKUP(J768,Preços!$C$7:$F$498,4,FALSE)</f>
        <v>15.9975</v>
      </c>
      <c r="N768" s="646">
        <f>L768*M768</f>
        <v>11605.226400000001</v>
      </c>
      <c r="O768" s="767"/>
      <c r="P768" s="632" t="s">
        <v>333</v>
      </c>
      <c r="R768" s="742"/>
      <c r="S768" s="742"/>
    </row>
    <row r="769" spans="1:19" s="761" customFormat="1" ht="22.5" hidden="1" outlineLevel="3" x14ac:dyDescent="0.2">
      <c r="A769" s="762" t="e">
        <f ca="1">IF($H769="UNIDADE CONSTRUTIVA",OFFSET(A769,-1,0)+1,LARGE(A$3:A768,1))</f>
        <v>#NUM!</v>
      </c>
      <c r="B769" s="762">
        <f t="shared" ca="1" si="165"/>
        <v>11</v>
      </c>
      <c r="C769" s="762">
        <f t="shared" ca="1" si="166"/>
        <v>4</v>
      </c>
      <c r="D769" s="763">
        <f t="shared" ca="1" si="167"/>
        <v>2</v>
      </c>
      <c r="E769" s="763">
        <f t="shared" ca="1" si="168"/>
        <v>4</v>
      </c>
      <c r="G769" s="628"/>
      <c r="H769" s="766" t="s">
        <v>368</v>
      </c>
      <c r="I769" s="629" t="str">
        <f t="shared" ca="1" si="169"/>
        <v>11.004.002.004</v>
      </c>
      <c r="J769" s="654" t="s">
        <v>214</v>
      </c>
      <c r="K769" s="630" t="s">
        <v>1</v>
      </c>
      <c r="L769" s="631">
        <f>ARQ.!C297</f>
        <v>333.89</v>
      </c>
      <c r="M769" s="631">
        <f>VLOOKUP(J769,Preços!$C$7:$F$498,4,FALSE)</f>
        <v>5.1950000000000003</v>
      </c>
      <c r="N769" s="646">
        <f>L769*M769</f>
        <v>1734.55855</v>
      </c>
      <c r="O769" s="767"/>
      <c r="P769" s="632" t="s">
        <v>333</v>
      </c>
      <c r="R769" s="742"/>
      <c r="S769" s="742"/>
    </row>
    <row r="770" spans="1:19" s="761" customFormat="1" hidden="1" outlineLevel="2" x14ac:dyDescent="0.2">
      <c r="A770" s="762" t="e">
        <f ca="1">IF($H770="UNIDADE CONSTRUTIVA",OFFSET(A770,-1,0)+1,LARGE(A$3:A769,1))</f>
        <v>#NUM!</v>
      </c>
      <c r="B770" s="762">
        <f t="shared" ca="1" si="165"/>
        <v>11</v>
      </c>
      <c r="C770" s="762">
        <f t="shared" ca="1" si="166"/>
        <v>4</v>
      </c>
      <c r="D770" s="763">
        <f t="shared" ca="1" si="167"/>
        <v>3</v>
      </c>
      <c r="E770" s="763">
        <f t="shared" ca="1" si="168"/>
        <v>0</v>
      </c>
      <c r="G770" s="628"/>
      <c r="H770" s="766" t="s">
        <v>367</v>
      </c>
      <c r="I770" s="629" t="str">
        <f t="shared" ca="1" si="169"/>
        <v>11.004.003</v>
      </c>
      <c r="J770" s="654" t="s">
        <v>804</v>
      </c>
      <c r="K770" s="630"/>
      <c r="L770" s="631"/>
      <c r="M770" s="631"/>
      <c r="N770" s="646">
        <f>SUM(N771:N772)</f>
        <v>18526.980000000003</v>
      </c>
      <c r="O770" s="767"/>
      <c r="P770" s="632"/>
      <c r="R770" s="742"/>
      <c r="S770" s="742"/>
    </row>
    <row r="771" spans="1:19" s="761" customFormat="1" ht="22.5" hidden="1" outlineLevel="3" x14ac:dyDescent="0.2">
      <c r="A771" s="762" t="e">
        <f ca="1">IF($H771="UNIDADE CONSTRUTIVA",OFFSET(A771,-1,0)+1,LARGE(A$3:A770,1))</f>
        <v>#NUM!</v>
      </c>
      <c r="B771" s="762">
        <f t="shared" ca="1" si="165"/>
        <v>11</v>
      </c>
      <c r="C771" s="762">
        <f t="shared" ca="1" si="166"/>
        <v>4</v>
      </c>
      <c r="D771" s="763">
        <f t="shared" ca="1" si="167"/>
        <v>3</v>
      </c>
      <c r="E771" s="763">
        <f t="shared" ca="1" si="168"/>
        <v>1</v>
      </c>
      <c r="G771" s="628"/>
      <c r="H771" s="766" t="s">
        <v>368</v>
      </c>
      <c r="I771" s="629" t="str">
        <f t="shared" ca="1" si="169"/>
        <v>11.004.003.001</v>
      </c>
      <c r="J771" s="654" t="s">
        <v>974</v>
      </c>
      <c r="K771" s="630" t="s">
        <v>1</v>
      </c>
      <c r="L771" s="631">
        <f>SUM(L761:L763)</f>
        <v>34.93</v>
      </c>
      <c r="M771" s="631">
        <f>VLOOKUP(J771,Preços!$C$7:$F$498,4,FALSE)</f>
        <v>26</v>
      </c>
      <c r="N771" s="646">
        <f>L771*M771</f>
        <v>908.18</v>
      </c>
      <c r="O771" s="767"/>
      <c r="P771" s="632" t="s">
        <v>333</v>
      </c>
      <c r="R771" s="742"/>
      <c r="S771" s="742"/>
    </row>
    <row r="772" spans="1:19" s="761" customFormat="1" ht="22.5" hidden="1" outlineLevel="3" x14ac:dyDescent="0.2">
      <c r="A772" s="762" t="e">
        <f ca="1">IF($H772="UNIDADE CONSTRUTIVA",OFFSET(A772,-1,0)+1,LARGE(A$3:A771,1))</f>
        <v>#NUM!</v>
      </c>
      <c r="B772" s="762">
        <f ca="1">IF(H772="UNIDADE CONSTRUTIVA",0,IF(H772="CÉLULA CONSTRUTIVA",OFFSET(B772,-1,0)+1,OFFSET(B772,-1,0)))</f>
        <v>11</v>
      </c>
      <c r="C772" s="762">
        <f ca="1">IF(H772="CÉLULA CONSTRUTIVA",0,IF(H772="ETAPA",OFFSET(C772,-1,0)+1,OFFSET(C772,-1,0)))</f>
        <v>4</v>
      </c>
      <c r="D772" s="763">
        <f ca="1">IF(H772="ETAPA",0,IF(H772="SUBETAPA",OFFSET(D772,-1,0)+1,OFFSET(D772,-1,0)))</f>
        <v>3</v>
      </c>
      <c r="E772" s="763">
        <f ca="1">IF(H772="Subetapa",0,IF(H772="serviço",OFFSET(E772,-1,0)+1,OFFSET(E772,-1,0)))</f>
        <v>2</v>
      </c>
      <c r="G772" s="628"/>
      <c r="H772" s="766" t="s">
        <v>368</v>
      </c>
      <c r="I772" s="629" t="str">
        <f ca="1">IF(H772="Unidade Construtiva",TEXT(A772,"00"),IF(H772="Célula Construtiva",TEXT(B772,"00"),IF(H772="Etapa",CONCATENATE(TEXT(B772,"00"),".",TEXT(C772,"000")),IF(H772="Subetapa",CONCATENATE(TEXT(B772,"00"),".",TEXT(C772,"000"),".",TEXT(D772,"000")),IF(H772="Serviço",CONCATENATE(TEXT(B772,"00"),".",TEXT(C772,"000"),".",TEXT(D772,"000"),".",TEXT(E772,"000")),"")))))</f>
        <v>11.004.003.002</v>
      </c>
      <c r="J772" s="654" t="s">
        <v>1445</v>
      </c>
      <c r="K772" s="630" t="s">
        <v>1</v>
      </c>
      <c r="L772" s="631">
        <f>SUM(L764)</f>
        <v>518.20000000000005</v>
      </c>
      <c r="M772" s="631">
        <f>VLOOKUP(J772,Preços!$C$7:$F$498,4,FALSE)</f>
        <v>34</v>
      </c>
      <c r="N772" s="646">
        <f>L772*M772</f>
        <v>17618.800000000003</v>
      </c>
      <c r="O772" s="767"/>
      <c r="P772" s="632" t="s">
        <v>333</v>
      </c>
      <c r="R772" s="742"/>
      <c r="S772" s="742"/>
    </row>
    <row r="773" spans="1:19" s="761" customFormat="1" hidden="1" outlineLevel="2" x14ac:dyDescent="0.2">
      <c r="A773" s="762" t="e">
        <f ca="1">IF($H773="UNIDADE CONSTRUTIVA",OFFSET(A773,-1,0)+1,LARGE(A$3:A771,1))</f>
        <v>#NUM!</v>
      </c>
      <c r="B773" s="762">
        <f t="shared" ca="1" si="165"/>
        <v>11</v>
      </c>
      <c r="C773" s="762">
        <f t="shared" ca="1" si="166"/>
        <v>4</v>
      </c>
      <c r="D773" s="763">
        <f t="shared" ca="1" si="167"/>
        <v>4</v>
      </c>
      <c r="E773" s="763">
        <f t="shared" ca="1" si="168"/>
        <v>0</v>
      </c>
      <c r="G773" s="628"/>
      <c r="H773" s="766" t="s">
        <v>367</v>
      </c>
      <c r="I773" s="629" t="str">
        <f t="shared" ca="1" si="169"/>
        <v>11.004.004</v>
      </c>
      <c r="J773" s="654" t="s">
        <v>782</v>
      </c>
      <c r="K773" s="630"/>
      <c r="L773" s="631"/>
      <c r="M773" s="631"/>
      <c r="N773" s="646">
        <f>SUM(N774:N775)</f>
        <v>30559.660000000003</v>
      </c>
      <c r="O773" s="767"/>
      <c r="P773" s="632"/>
      <c r="R773" s="742"/>
      <c r="S773" s="742"/>
    </row>
    <row r="774" spans="1:19" s="761" customFormat="1" ht="22.5" hidden="1" outlineLevel="3" x14ac:dyDescent="0.2">
      <c r="A774" s="762" t="e">
        <f ca="1">IF($H774="UNIDADE CONSTRUTIVA",OFFSET(A774,-1,0)+1,LARGE(A$3:A773,1))</f>
        <v>#NUM!</v>
      </c>
      <c r="B774" s="762">
        <f t="shared" ca="1" si="165"/>
        <v>11</v>
      </c>
      <c r="C774" s="762">
        <f t="shared" ca="1" si="166"/>
        <v>4</v>
      </c>
      <c r="D774" s="763">
        <f t="shared" ca="1" si="167"/>
        <v>4</v>
      </c>
      <c r="E774" s="763">
        <f t="shared" ca="1" si="168"/>
        <v>1</v>
      </c>
      <c r="G774" s="628"/>
      <c r="H774" s="766" t="s">
        <v>368</v>
      </c>
      <c r="I774" s="629" t="str">
        <f t="shared" ca="1" si="169"/>
        <v>11.004.004.001</v>
      </c>
      <c r="J774" s="654" t="s">
        <v>1446</v>
      </c>
      <c r="K774" s="630" t="s">
        <v>1</v>
      </c>
      <c r="L774" s="631">
        <f>SUM(L768)</f>
        <v>725.44</v>
      </c>
      <c r="M774" s="631">
        <f>VLOOKUP(J774,Preços!$C$7:$F$498,4,FALSE)</f>
        <v>32</v>
      </c>
      <c r="N774" s="646">
        <f>L774*M774</f>
        <v>23214.080000000002</v>
      </c>
      <c r="O774" s="767"/>
      <c r="P774" s="632" t="s">
        <v>333</v>
      </c>
      <c r="R774" s="742"/>
      <c r="S774" s="742"/>
    </row>
    <row r="775" spans="1:19" s="761" customFormat="1" ht="22.5" hidden="1" outlineLevel="2" x14ac:dyDescent="0.2">
      <c r="A775" s="762" t="e">
        <f ca="1">IF($H775="UNIDADE CONSTRUTIVA",OFFSET(A775,-1,0)+1,LARGE(A$3:A787,1))</f>
        <v>#NUM!</v>
      </c>
      <c r="B775" s="762">
        <f ca="1">IF(H775="UNIDADE CONSTRUTIVA",0,IF(H775="CÉLULA CONSTRUTIVA",OFFSET(B775,-1,0)+1,OFFSET(B775,-1,0)))</f>
        <v>11</v>
      </c>
      <c r="C775" s="762">
        <f ca="1">IF(H775="CÉLULA CONSTRUTIVA",0,IF(H775="ETAPA",OFFSET(C775,-1,0)+1,OFFSET(C775,-1,0)))</f>
        <v>4</v>
      </c>
      <c r="D775" s="763">
        <f ca="1">IF(H775="ETAPA",0,IF(H775="SUBETAPA",OFFSET(D775,-1,0)+1,OFFSET(D775,-1,0)))</f>
        <v>4</v>
      </c>
      <c r="E775" s="763">
        <f ca="1">IF(H775="Subetapa",0,IF(H775="serviço",OFFSET(E775,-1,0)+1,OFFSET(E775,-1,0)))</f>
        <v>2</v>
      </c>
      <c r="G775" s="628"/>
      <c r="H775" s="766" t="s">
        <v>368</v>
      </c>
      <c r="I775" s="629" t="str">
        <f ca="1">IF(H775="Unidade Construtiva",TEXT(A775,"00"),IF(H775="Célula Construtiva",TEXT(B775,"00"),IF(H775="Etapa",CONCATENATE(TEXT(B775,"00"),".",TEXT(C775,"000")),IF(H775="Subetapa",CONCATENATE(TEXT(B775,"00"),".",TEXT(C775,"000"),".",TEXT(D775,"000")),IF(H775="Serviço",CONCATENATE(TEXT(B775,"00"),".",TEXT(C775,"000"),".",TEXT(D775,"000"),".",TEXT(E775,"000")),"")))))</f>
        <v>11.004.004.002</v>
      </c>
      <c r="J775" s="654" t="s">
        <v>1662</v>
      </c>
      <c r="K775" s="630" t="s">
        <v>1</v>
      </c>
      <c r="L775" s="631">
        <f>SUM(L769)</f>
        <v>333.89</v>
      </c>
      <c r="M775" s="631">
        <f>VLOOKUP(J775,Preços!$C$7:$F$498,4,FALSE)</f>
        <v>22</v>
      </c>
      <c r="N775" s="646">
        <f>L775*M775</f>
        <v>7345.58</v>
      </c>
      <c r="O775" s="767"/>
      <c r="P775" s="632" t="s">
        <v>333</v>
      </c>
      <c r="R775" s="742"/>
      <c r="S775" s="742"/>
    </row>
    <row r="776" spans="1:19" s="761" customFormat="1" hidden="1" outlineLevel="1" collapsed="1" x14ac:dyDescent="0.2">
      <c r="A776" s="762" t="e">
        <f ca="1">IF($H776="UNIDADE CONSTRUTIVA",OFFSET(A776,-1,0)+1,LARGE(A$3:A615,1))</f>
        <v>#NUM!</v>
      </c>
      <c r="B776" s="762">
        <f t="shared" ref="B776:B781" ca="1" si="170">IF(H776="UNIDADE CONSTRUTIVA",0,IF(H776="CÉLULA CONSTRUTIVA",OFFSET(B776,-1,0)+1,OFFSET(B776,-1,0)))</f>
        <v>11</v>
      </c>
      <c r="C776" s="762">
        <f t="shared" ref="C776:C781" ca="1" si="171">IF(H776="CÉLULA CONSTRUTIVA",0,IF(H776="ETAPA",OFFSET(C776,-1,0)+1,OFFSET(C776,-1,0)))</f>
        <v>5</v>
      </c>
      <c r="D776" s="763">
        <f t="shared" ref="D776:D781" ca="1" si="172">IF(H776="ETAPA",0,IF(H776="SUBETAPA",OFFSET(D776,-1,0)+1,OFFSET(D776,-1,0)))</f>
        <v>0</v>
      </c>
      <c r="E776" s="763">
        <f t="shared" ref="E776:E781" ca="1" si="173">IF(H776="Subetapa",0,IF(H776="serviço",OFFSET(E776,-1,0)+1,OFFSET(E776,-1,0)))</f>
        <v>2</v>
      </c>
      <c r="G776" s="628"/>
      <c r="H776" s="766" t="s">
        <v>366</v>
      </c>
      <c r="I776" s="629" t="str">
        <f t="shared" ref="I776:I785" ca="1" si="174">IF(H776="Unidade Construtiva",TEXT(A776,"00"),IF(H776="Célula Construtiva",TEXT(B776,"00"),IF(H776="Etapa",CONCATENATE(TEXT(B776,"00"),".",TEXT(C776,"000")),IF(H776="Subetapa",CONCATENATE(TEXT(B776,"00"),".",TEXT(C776,"000"),".",TEXT(D776,"000")),IF(H776="Serviço",CONCATENATE(TEXT(B776,"00"),".",TEXT(C776,"000"),".",TEXT(D776,"000"),".",TEXT(E776,"000")),"")))))</f>
        <v>11.005</v>
      </c>
      <c r="J776" s="654" t="s">
        <v>1656</v>
      </c>
      <c r="K776" s="630"/>
      <c r="L776" s="631"/>
      <c r="M776" s="631"/>
      <c r="N776" s="646">
        <f>SUM(N777,N783,N788,N790)</f>
        <v>64670.584563000004</v>
      </c>
      <c r="O776" s="767"/>
      <c r="P776" s="632"/>
      <c r="R776" s="742"/>
      <c r="S776" s="742"/>
    </row>
    <row r="777" spans="1:19" s="761" customFormat="1" hidden="1" outlineLevel="3" x14ac:dyDescent="0.2">
      <c r="A777" s="762" t="e">
        <f ca="1">IF($H777="UNIDADE CONSTRUTIVA",OFFSET(A777,-1,0)+1,LARGE(A$3:A834,1))</f>
        <v>#NUM!</v>
      </c>
      <c r="B777" s="762">
        <f t="shared" ca="1" si="170"/>
        <v>11</v>
      </c>
      <c r="C777" s="762">
        <f t="shared" ca="1" si="171"/>
        <v>5</v>
      </c>
      <c r="D777" s="763">
        <f t="shared" ca="1" si="172"/>
        <v>1</v>
      </c>
      <c r="E777" s="763">
        <f t="shared" ca="1" si="173"/>
        <v>0</v>
      </c>
      <c r="G777" s="628"/>
      <c r="H777" s="766" t="s">
        <v>367</v>
      </c>
      <c r="I777" s="629" t="str">
        <f t="shared" ca="1" si="174"/>
        <v>11.005.001</v>
      </c>
      <c r="J777" s="654" t="s">
        <v>792</v>
      </c>
      <c r="K777" s="630"/>
      <c r="L777" s="631"/>
      <c r="M777" s="631"/>
      <c r="N777" s="646">
        <f>SUM(N778:N782)</f>
        <v>15941.905649999999</v>
      </c>
      <c r="O777" s="767"/>
      <c r="P777" s="632"/>
      <c r="R777" s="742"/>
      <c r="S777" s="742"/>
    </row>
    <row r="778" spans="1:19" s="761" customFormat="1" ht="22.5" hidden="1" outlineLevel="4" x14ac:dyDescent="0.2">
      <c r="A778" s="762" t="e">
        <f ca="1">IF($H778="UNIDADE CONSTRUTIVA",OFFSET(A778,-1,0)+1,LARGE(A$3:A777,1))</f>
        <v>#NUM!</v>
      </c>
      <c r="B778" s="762">
        <f t="shared" ca="1" si="170"/>
        <v>11</v>
      </c>
      <c r="C778" s="762">
        <f t="shared" ca="1" si="171"/>
        <v>5</v>
      </c>
      <c r="D778" s="763">
        <f t="shared" ca="1" si="172"/>
        <v>1</v>
      </c>
      <c r="E778" s="763">
        <f t="shared" ca="1" si="173"/>
        <v>1</v>
      </c>
      <c r="G778" s="628"/>
      <c r="H778" s="766" t="s">
        <v>368</v>
      </c>
      <c r="I778" s="629" t="str">
        <f t="shared" ca="1" si="174"/>
        <v>11.005.001.001</v>
      </c>
      <c r="J778" s="654" t="s">
        <v>801</v>
      </c>
      <c r="K778" s="630" t="s">
        <v>1</v>
      </c>
      <c r="L778" s="631">
        <f>ARQ.!C371</f>
        <v>47.86</v>
      </c>
      <c r="M778" s="631">
        <f>VLOOKUP(J778,Preços!$C$7:$F$498,4,FALSE)</f>
        <v>4.4550000000000001</v>
      </c>
      <c r="N778" s="646">
        <f>L778*M778</f>
        <v>213.21629999999999</v>
      </c>
      <c r="O778" s="767"/>
      <c r="P778" s="632" t="s">
        <v>333</v>
      </c>
      <c r="R778" s="742"/>
      <c r="S778" s="742"/>
    </row>
    <row r="779" spans="1:19" s="761" customFormat="1" ht="22.5" hidden="1" outlineLevel="4" x14ac:dyDescent="0.2">
      <c r="A779" s="762" t="e">
        <f ca="1">IF($H779="UNIDADE CONSTRUTIVA",OFFSET(A779,-1,0)+1,LARGE(A$3:A777,1))</f>
        <v>#NUM!</v>
      </c>
      <c r="B779" s="762">
        <f t="shared" ca="1" si="170"/>
        <v>11</v>
      </c>
      <c r="C779" s="762">
        <f t="shared" ca="1" si="171"/>
        <v>5</v>
      </c>
      <c r="D779" s="763">
        <f t="shared" ca="1" si="172"/>
        <v>1</v>
      </c>
      <c r="E779" s="763">
        <f t="shared" ca="1" si="173"/>
        <v>2</v>
      </c>
      <c r="G779" s="628"/>
      <c r="H779" s="766" t="s">
        <v>368</v>
      </c>
      <c r="I779" s="629" t="str">
        <f t="shared" ca="1" si="174"/>
        <v>11.005.001.002</v>
      </c>
      <c r="J779" s="654" t="s">
        <v>796</v>
      </c>
      <c r="K779" s="630" t="s">
        <v>1</v>
      </c>
      <c r="L779" s="631">
        <f>ARQ.!C372</f>
        <v>432.84</v>
      </c>
      <c r="M779" s="631">
        <f>VLOOKUP(J779,Preços!$C$7:$F$498,4,FALSE)</f>
        <v>35.64</v>
      </c>
      <c r="N779" s="646">
        <f>L779*M779</f>
        <v>15426.417599999999</v>
      </c>
      <c r="O779" s="767"/>
      <c r="P779" s="632" t="s">
        <v>333</v>
      </c>
      <c r="R779" s="742"/>
      <c r="S779" s="742"/>
    </row>
    <row r="780" spans="1:19" s="761" customFormat="1" ht="22.5" hidden="1" outlineLevel="4" x14ac:dyDescent="0.2">
      <c r="A780" s="762" t="e">
        <f ca="1">IF($H780="UNIDADE CONSTRUTIVA",OFFSET(A780,-1,0)+1,LARGE(A$3:A779,1))</f>
        <v>#NUM!</v>
      </c>
      <c r="B780" s="762">
        <f t="shared" ca="1" si="170"/>
        <v>11</v>
      </c>
      <c r="C780" s="762">
        <f t="shared" ca="1" si="171"/>
        <v>5</v>
      </c>
      <c r="D780" s="763">
        <f t="shared" ca="1" si="172"/>
        <v>1</v>
      </c>
      <c r="E780" s="763">
        <f t="shared" ca="1" si="173"/>
        <v>3</v>
      </c>
      <c r="G780" s="628"/>
      <c r="H780" s="766" t="s">
        <v>368</v>
      </c>
      <c r="I780" s="629" t="str">
        <f t="shared" ca="1" si="174"/>
        <v>11.005.001.003</v>
      </c>
      <c r="J780" s="654" t="s">
        <v>797</v>
      </c>
      <c r="K780" s="630" t="s">
        <v>4</v>
      </c>
      <c r="L780" s="631">
        <f>ARQ.!C373+ARQ.!C374</f>
        <v>15.780000000000001</v>
      </c>
      <c r="M780" s="631">
        <f>VLOOKUP(J780,Preços!$C$7:$F$498,4,FALSE)</f>
        <v>8.91</v>
      </c>
      <c r="N780" s="646">
        <f>L780*M780</f>
        <v>140.59980000000002</v>
      </c>
      <c r="O780" s="767"/>
      <c r="P780" s="632" t="s">
        <v>333</v>
      </c>
      <c r="R780" s="742"/>
      <c r="S780" s="742"/>
    </row>
    <row r="781" spans="1:19" s="761" customFormat="1" ht="22.5" hidden="1" outlineLevel="4" x14ac:dyDescent="0.2">
      <c r="A781" s="762" t="e">
        <f ca="1">IF($H781="UNIDADE CONSTRUTIVA",OFFSET(A781,-1,0)+1,LARGE(A$3:A779,1))</f>
        <v>#NUM!</v>
      </c>
      <c r="B781" s="762">
        <f t="shared" ca="1" si="170"/>
        <v>11</v>
      </c>
      <c r="C781" s="762">
        <f t="shared" ca="1" si="171"/>
        <v>5</v>
      </c>
      <c r="D781" s="763">
        <f t="shared" ca="1" si="172"/>
        <v>1</v>
      </c>
      <c r="E781" s="763">
        <f t="shared" ca="1" si="173"/>
        <v>4</v>
      </c>
      <c r="G781" s="628"/>
      <c r="H781" s="766" t="s">
        <v>368</v>
      </c>
      <c r="I781" s="629" t="str">
        <f t="shared" ca="1" si="174"/>
        <v>11.005.001.004</v>
      </c>
      <c r="J781" s="654" t="s">
        <v>1455</v>
      </c>
      <c r="K781" s="630" t="s">
        <v>1</v>
      </c>
      <c r="L781" s="631">
        <f>ARQ.!C376</f>
        <v>13.97</v>
      </c>
      <c r="M781" s="631">
        <f>VLOOKUP(J781,Preços!$C$7:$F$498,4,FALSE)</f>
        <v>4.4550000000000001</v>
      </c>
      <c r="N781" s="646">
        <f>L781*M781</f>
        <v>62.236350000000002</v>
      </c>
      <c r="O781" s="767"/>
      <c r="P781" s="632" t="s">
        <v>333</v>
      </c>
      <c r="R781" s="742"/>
      <c r="S781" s="742"/>
    </row>
    <row r="782" spans="1:19" s="761" customFormat="1" ht="22.5" hidden="1" outlineLevel="4" x14ac:dyDescent="0.2">
      <c r="A782" s="762" t="e">
        <f ca="1">IF($H782="UNIDADE CONSTRUTIVA",OFFSET(A782,-1,0)+1,LARGE(A$3:A780,1))</f>
        <v>#NUM!</v>
      </c>
      <c r="B782" s="762">
        <f t="shared" ref="B782:B791" ca="1" si="175">IF(H782="UNIDADE CONSTRUTIVA",0,IF(H782="CÉLULA CONSTRUTIVA",OFFSET(B782,-1,0)+1,OFFSET(B782,-1,0)))</f>
        <v>11</v>
      </c>
      <c r="C782" s="762">
        <f t="shared" ref="C782:C791" ca="1" si="176">IF(H782="CÉLULA CONSTRUTIVA",0,IF(H782="ETAPA",OFFSET(C782,-1,0)+1,OFFSET(C782,-1,0)))</f>
        <v>5</v>
      </c>
      <c r="D782" s="763">
        <f t="shared" ref="D782:D791" ca="1" si="177">IF(H782="ETAPA",0,IF(H782="SUBETAPA",OFFSET(D782,-1,0)+1,OFFSET(D782,-1,0)))</f>
        <v>1</v>
      </c>
      <c r="E782" s="763">
        <f t="shared" ref="E782:E791" ca="1" si="178">IF(H782="Subetapa",0,IF(H782="serviço",OFFSET(E782,-1,0)+1,OFFSET(E782,-1,0)))</f>
        <v>5</v>
      </c>
      <c r="G782" s="628"/>
      <c r="H782" s="766" t="s">
        <v>368</v>
      </c>
      <c r="I782" s="629" t="str">
        <f t="shared" ca="1" si="174"/>
        <v>11.005.001.005</v>
      </c>
      <c r="J782" s="654" t="s">
        <v>1453</v>
      </c>
      <c r="K782" s="630" t="s">
        <v>1</v>
      </c>
      <c r="L782" s="631">
        <f>ARQ.!C377</f>
        <v>7.44</v>
      </c>
      <c r="M782" s="631">
        <f>VLOOKUP(J782,Preços!$C$7:$F$498,4,FALSE)</f>
        <v>13.365</v>
      </c>
      <c r="N782" s="646">
        <f>L782*M782</f>
        <v>99.435600000000008</v>
      </c>
      <c r="O782" s="767"/>
      <c r="P782" s="632" t="s">
        <v>333</v>
      </c>
      <c r="R782" s="742"/>
      <c r="S782" s="742"/>
    </row>
    <row r="783" spans="1:19" s="761" customFormat="1" hidden="1" outlineLevel="3" x14ac:dyDescent="0.2">
      <c r="A783" s="762" t="e">
        <f ca="1">IF($H783="UNIDADE CONSTRUTIVA",OFFSET(A783,-1,0)+1,LARGE(A$3:A776,1))</f>
        <v>#NUM!</v>
      </c>
      <c r="B783" s="762">
        <f t="shared" ca="1" si="175"/>
        <v>11</v>
      </c>
      <c r="C783" s="762">
        <f t="shared" ca="1" si="176"/>
        <v>5</v>
      </c>
      <c r="D783" s="763">
        <f t="shared" ca="1" si="177"/>
        <v>2</v>
      </c>
      <c r="E783" s="763">
        <f t="shared" ca="1" si="178"/>
        <v>0</v>
      </c>
      <c r="G783" s="628"/>
      <c r="H783" s="766" t="s">
        <v>367</v>
      </c>
      <c r="I783" s="629" t="str">
        <f t="shared" ca="1" si="174"/>
        <v>11.005.002</v>
      </c>
      <c r="J783" s="654" t="s">
        <v>781</v>
      </c>
      <c r="K783" s="630"/>
      <c r="L783" s="631"/>
      <c r="M783" s="631"/>
      <c r="N783" s="646">
        <f>SUM(N784:N787)</f>
        <v>13297.218912999999</v>
      </c>
      <c r="O783" s="767"/>
      <c r="P783" s="632"/>
      <c r="R783" s="742"/>
      <c r="S783" s="742"/>
    </row>
    <row r="784" spans="1:19" s="761" customFormat="1" ht="22.5" hidden="1" outlineLevel="4" x14ac:dyDescent="0.2">
      <c r="A784" s="762" t="e">
        <f ca="1">IF($H784="UNIDADE CONSTRUTIVA",OFFSET(A784,-1,0)+1,LARGE(A$3:A783,1))</f>
        <v>#NUM!</v>
      </c>
      <c r="B784" s="762">
        <f t="shared" ca="1" si="175"/>
        <v>11</v>
      </c>
      <c r="C784" s="762">
        <f t="shared" ca="1" si="176"/>
        <v>5</v>
      </c>
      <c r="D784" s="763">
        <f t="shared" ca="1" si="177"/>
        <v>2</v>
      </c>
      <c r="E784" s="763">
        <f t="shared" ca="1" si="178"/>
        <v>1</v>
      </c>
      <c r="G784" s="628"/>
      <c r="H784" s="766" t="s">
        <v>368</v>
      </c>
      <c r="I784" s="629" t="str">
        <f t="shared" ca="1" si="174"/>
        <v>11.005.002.001</v>
      </c>
      <c r="J784" s="654" t="s">
        <v>799</v>
      </c>
      <c r="K784" s="630" t="s">
        <v>1</v>
      </c>
      <c r="L784" s="631">
        <f>ARQ.!C381</f>
        <v>420.78</v>
      </c>
      <c r="M784" s="631">
        <f>VLOOKUP(J784,Preços!$C$7:$F$498,4,FALSE)</f>
        <v>2.5165999999999999</v>
      </c>
      <c r="N784" s="646">
        <f>L784*M784</f>
        <v>1058.9349479999998</v>
      </c>
      <c r="O784" s="767"/>
      <c r="P784" s="632" t="s">
        <v>333</v>
      </c>
      <c r="R784" s="742"/>
      <c r="S784" s="742"/>
    </row>
    <row r="785" spans="1:19" s="761" customFormat="1" ht="33.75" hidden="1" outlineLevel="4" x14ac:dyDescent="0.2">
      <c r="A785" s="762" t="e">
        <f ca="1">IF($H785="UNIDADE CONSTRUTIVA",OFFSET(A785,-1,0)+1,LARGE(A$3:A784,1))</f>
        <v>#NUM!</v>
      </c>
      <c r="B785" s="762">
        <f t="shared" ca="1" si="175"/>
        <v>11</v>
      </c>
      <c r="C785" s="762">
        <f t="shared" ca="1" si="176"/>
        <v>5</v>
      </c>
      <c r="D785" s="763">
        <f t="shared" ca="1" si="177"/>
        <v>2</v>
      </c>
      <c r="E785" s="763">
        <f t="shared" ca="1" si="178"/>
        <v>2</v>
      </c>
      <c r="G785" s="628"/>
      <c r="H785" s="766" t="s">
        <v>368</v>
      </c>
      <c r="I785" s="629" t="str">
        <f t="shared" ca="1" si="174"/>
        <v>11.005.002.002</v>
      </c>
      <c r="J785" s="654" t="s">
        <v>798</v>
      </c>
      <c r="K785" s="630" t="s">
        <v>1</v>
      </c>
      <c r="L785" s="631">
        <f>ARQ.!C382</f>
        <v>232.53</v>
      </c>
      <c r="M785" s="631">
        <f>VLOOKUP(J785,Preços!$C$7:$F$498,4,FALSE)</f>
        <v>6.6079999999999997</v>
      </c>
      <c r="N785" s="646">
        <f>L785*M785</f>
        <v>1536.5582399999998</v>
      </c>
      <c r="O785" s="767"/>
      <c r="P785" s="632" t="s">
        <v>333</v>
      </c>
      <c r="R785" s="742"/>
      <c r="S785" s="742"/>
    </row>
    <row r="786" spans="1:19" s="761" customFormat="1" ht="22.5" hidden="1" outlineLevel="4" x14ac:dyDescent="0.2">
      <c r="A786" s="762" t="e">
        <f ca="1">IF($H786="UNIDADE CONSTRUTIVA",OFFSET(A786,-1,0)+1,LARGE(A$3:A785,1))</f>
        <v>#NUM!</v>
      </c>
      <c r="B786" s="762">
        <f t="shared" ca="1" si="175"/>
        <v>11</v>
      </c>
      <c r="C786" s="762">
        <f t="shared" ca="1" si="176"/>
        <v>5</v>
      </c>
      <c r="D786" s="763">
        <f t="shared" ca="1" si="177"/>
        <v>2</v>
      </c>
      <c r="E786" s="763">
        <f t="shared" ca="1" si="178"/>
        <v>3</v>
      </c>
      <c r="G786" s="628"/>
      <c r="H786" s="766" t="s">
        <v>368</v>
      </c>
      <c r="I786" s="629" t="str">
        <f t="shared" ref="I786:I791" ca="1" si="179">IF(H786="Unidade Construtiva",TEXT(A786,"00"),IF(H786="Célula Construtiva",TEXT(B786,"00"),IF(H786="Etapa",CONCATENATE(TEXT(B786,"00"),".",TEXT(C786,"000")),IF(H786="Subetapa",CONCATENATE(TEXT(B786,"00"),".",TEXT(C786,"000"),".",TEXT(D786,"000")),IF(H786="Serviço",CONCATENATE(TEXT(B786,"00"),".",TEXT(C786,"000"),".",TEXT(D786,"000"),".",TEXT(E786,"000")),"")))))</f>
        <v>11.005.002.003</v>
      </c>
      <c r="J786" s="654" t="s">
        <v>800</v>
      </c>
      <c r="K786" s="630" t="s">
        <v>1</v>
      </c>
      <c r="L786" s="631">
        <f>ARQ.!C384</f>
        <v>653.30999999999995</v>
      </c>
      <c r="M786" s="631">
        <f>VLOOKUP(J786,Preços!$C$7:$F$498,4,FALSE)</f>
        <v>15.9975</v>
      </c>
      <c r="N786" s="646">
        <f>L786*M786</f>
        <v>10451.326724999999</v>
      </c>
      <c r="O786" s="767"/>
      <c r="P786" s="632" t="s">
        <v>333</v>
      </c>
      <c r="R786" s="742"/>
      <c r="S786" s="742"/>
    </row>
    <row r="787" spans="1:19" s="761" customFormat="1" ht="22.5" hidden="1" outlineLevel="4" x14ac:dyDescent="0.2">
      <c r="A787" s="762" t="e">
        <f ca="1">IF($H787="UNIDADE CONSTRUTIVA",OFFSET(A787,-1,0)+1,LARGE(A$3:A786,1))</f>
        <v>#NUM!</v>
      </c>
      <c r="B787" s="762">
        <f t="shared" ca="1" si="175"/>
        <v>11</v>
      </c>
      <c r="C787" s="762">
        <f t="shared" ca="1" si="176"/>
        <v>5</v>
      </c>
      <c r="D787" s="763">
        <f t="shared" ca="1" si="177"/>
        <v>2</v>
      </c>
      <c r="E787" s="763">
        <f t="shared" ca="1" si="178"/>
        <v>4</v>
      </c>
      <c r="G787" s="628"/>
      <c r="H787" s="766" t="s">
        <v>368</v>
      </c>
      <c r="I787" s="629" t="str">
        <f t="shared" ca="1" si="179"/>
        <v>11.005.002.004</v>
      </c>
      <c r="J787" s="654" t="s">
        <v>214</v>
      </c>
      <c r="K787" s="630" t="s">
        <v>1</v>
      </c>
      <c r="L787" s="631">
        <f>ARQ.!C386</f>
        <v>48.2</v>
      </c>
      <c r="M787" s="631">
        <f>VLOOKUP(J787,Preços!$C$7:$F$498,4,FALSE)</f>
        <v>5.1950000000000003</v>
      </c>
      <c r="N787" s="646">
        <f>L787*M787</f>
        <v>250.39900000000003</v>
      </c>
      <c r="O787" s="767"/>
      <c r="P787" s="632" t="s">
        <v>333</v>
      </c>
      <c r="R787" s="742"/>
      <c r="S787" s="742"/>
    </row>
    <row r="788" spans="1:19" s="761" customFormat="1" hidden="1" outlineLevel="3" x14ac:dyDescent="0.2">
      <c r="A788" s="762" t="e">
        <f ca="1">IF($H788="UNIDADE CONSTRUTIVA",OFFSET(A788,-1,0)+1,LARGE(A$3:A787,1))</f>
        <v>#NUM!</v>
      </c>
      <c r="B788" s="762">
        <f t="shared" ca="1" si="175"/>
        <v>11</v>
      </c>
      <c r="C788" s="762">
        <f t="shared" ca="1" si="176"/>
        <v>5</v>
      </c>
      <c r="D788" s="763">
        <f t="shared" ca="1" si="177"/>
        <v>3</v>
      </c>
      <c r="E788" s="763">
        <f t="shared" ca="1" si="178"/>
        <v>0</v>
      </c>
      <c r="G788" s="628"/>
      <c r="H788" s="766" t="s">
        <v>367</v>
      </c>
      <c r="I788" s="629" t="str">
        <f t="shared" ca="1" si="179"/>
        <v>11.005.003</v>
      </c>
      <c r="J788" s="654" t="s">
        <v>1447</v>
      </c>
      <c r="K788" s="630"/>
      <c r="L788" s="631"/>
      <c r="M788" s="631"/>
      <c r="N788" s="646">
        <f>SUM(N789)</f>
        <v>13465.140000000003</v>
      </c>
      <c r="O788" s="767"/>
      <c r="P788" s="632"/>
      <c r="R788" s="742"/>
      <c r="S788" s="742"/>
    </row>
    <row r="789" spans="1:19" s="761" customFormat="1" ht="22.5" hidden="1" outlineLevel="4" x14ac:dyDescent="0.2">
      <c r="A789" s="762" t="e">
        <f ca="1">IF($H789="UNIDADE CONSTRUTIVA",OFFSET(A789,-1,0)+1,LARGE(A$3:A788,1))</f>
        <v>#NUM!</v>
      </c>
      <c r="B789" s="762">
        <f t="shared" ca="1" si="175"/>
        <v>11</v>
      </c>
      <c r="C789" s="762">
        <f t="shared" ca="1" si="176"/>
        <v>5</v>
      </c>
      <c r="D789" s="763">
        <f t="shared" ca="1" si="177"/>
        <v>3</v>
      </c>
      <c r="E789" s="763">
        <f t="shared" ca="1" si="178"/>
        <v>1</v>
      </c>
      <c r="G789" s="628"/>
      <c r="H789" s="766" t="s">
        <v>368</v>
      </c>
      <c r="I789" s="629" t="str">
        <f t="shared" ca="1" si="179"/>
        <v>11.005.003.001</v>
      </c>
      <c r="J789" s="654" t="s">
        <v>974</v>
      </c>
      <c r="K789" s="630" t="s">
        <v>1</v>
      </c>
      <c r="L789" s="631">
        <f>SUM(L778:L782)</f>
        <v>517.8900000000001</v>
      </c>
      <c r="M789" s="631">
        <f>VLOOKUP(J789,Preços!$C$7:$F$498,4,FALSE)</f>
        <v>26</v>
      </c>
      <c r="N789" s="646">
        <f>L789*M789</f>
        <v>13465.140000000003</v>
      </c>
      <c r="O789" s="767"/>
      <c r="P789" s="632" t="s">
        <v>333</v>
      </c>
      <c r="R789" s="742"/>
      <c r="S789" s="742"/>
    </row>
    <row r="790" spans="1:19" s="761" customFormat="1" hidden="1" outlineLevel="3" collapsed="1" x14ac:dyDescent="0.2">
      <c r="A790" s="762" t="e">
        <f ca="1">IF($H790="UNIDADE CONSTRUTIVA",OFFSET(A790,-1,0)+1,LARGE(A$3:A789,1))</f>
        <v>#NUM!</v>
      </c>
      <c r="B790" s="762">
        <f t="shared" ca="1" si="175"/>
        <v>11</v>
      </c>
      <c r="C790" s="762">
        <f t="shared" ca="1" si="176"/>
        <v>5</v>
      </c>
      <c r="D790" s="763">
        <f t="shared" ca="1" si="177"/>
        <v>4</v>
      </c>
      <c r="E790" s="763">
        <f t="shared" ca="1" si="178"/>
        <v>0</v>
      </c>
      <c r="G790" s="628"/>
      <c r="H790" s="766" t="s">
        <v>367</v>
      </c>
      <c r="I790" s="629" t="str">
        <f t="shared" ca="1" si="179"/>
        <v>11.005.004</v>
      </c>
      <c r="J790" s="654" t="s">
        <v>782</v>
      </c>
      <c r="K790" s="630"/>
      <c r="L790" s="631"/>
      <c r="M790" s="631"/>
      <c r="N790" s="646">
        <f>SUM(N791:N792)</f>
        <v>21966.32</v>
      </c>
      <c r="O790" s="767"/>
      <c r="P790" s="632"/>
      <c r="R790" s="742"/>
      <c r="S790" s="742"/>
    </row>
    <row r="791" spans="1:19" s="761" customFormat="1" ht="22.5" hidden="1" outlineLevel="2" x14ac:dyDescent="0.2">
      <c r="A791" s="762" t="e">
        <f ca="1">IF($H791="UNIDADE CONSTRUTIVA",OFFSET(A791,-1,0)+1,LARGE(A$3:A790,1))</f>
        <v>#NUM!</v>
      </c>
      <c r="B791" s="762">
        <f t="shared" ca="1" si="175"/>
        <v>11</v>
      </c>
      <c r="C791" s="762">
        <f t="shared" ca="1" si="176"/>
        <v>5</v>
      </c>
      <c r="D791" s="763">
        <f t="shared" ca="1" si="177"/>
        <v>4</v>
      </c>
      <c r="E791" s="763">
        <f t="shared" ca="1" si="178"/>
        <v>1</v>
      </c>
      <c r="G791" s="628"/>
      <c r="H791" s="766" t="s">
        <v>368</v>
      </c>
      <c r="I791" s="629" t="str">
        <f t="shared" ca="1" si="179"/>
        <v>11.005.004.001</v>
      </c>
      <c r="J791" s="654" t="s">
        <v>1446</v>
      </c>
      <c r="K791" s="630" t="s">
        <v>1</v>
      </c>
      <c r="L791" s="631">
        <f>SUM(L786)</f>
        <v>653.30999999999995</v>
      </c>
      <c r="M791" s="631">
        <f>VLOOKUP(J791,Preços!$C$7:$F$498,4,FALSE)</f>
        <v>32</v>
      </c>
      <c r="N791" s="646">
        <f>L791*M791</f>
        <v>20905.919999999998</v>
      </c>
      <c r="O791" s="767"/>
      <c r="P791" s="632" t="s">
        <v>333</v>
      </c>
      <c r="R791" s="742"/>
      <c r="S791" s="742"/>
    </row>
    <row r="792" spans="1:19" s="761" customFormat="1" ht="22.5" hidden="1" outlineLevel="2" x14ac:dyDescent="0.2">
      <c r="A792" s="762" t="e">
        <f ca="1">IF($H792="UNIDADE CONSTRUTIVA",OFFSET(A792,-1,0)+1,LARGE(A$3:A804,1))</f>
        <v>#NUM!</v>
      </c>
      <c r="B792" s="762">
        <f ca="1">IF(H792="UNIDADE CONSTRUTIVA",0,IF(H792="CÉLULA CONSTRUTIVA",OFFSET(B792,-1,0)+1,OFFSET(B792,-1,0)))</f>
        <v>11</v>
      </c>
      <c r="C792" s="762">
        <f ca="1">IF(H792="CÉLULA CONSTRUTIVA",0,IF(H792="ETAPA",OFFSET(C792,-1,0)+1,OFFSET(C792,-1,0)))</f>
        <v>5</v>
      </c>
      <c r="D792" s="763">
        <f ca="1">IF(H792="ETAPA",0,IF(H792="SUBETAPA",OFFSET(D792,-1,0)+1,OFFSET(D792,-1,0)))</f>
        <v>4</v>
      </c>
      <c r="E792" s="763">
        <f ca="1">IF(H792="Subetapa",0,IF(H792="serviço",OFFSET(E792,-1,0)+1,OFFSET(E792,-1,0)))</f>
        <v>2</v>
      </c>
      <c r="G792" s="628"/>
      <c r="H792" s="766" t="s">
        <v>368</v>
      </c>
      <c r="I792" s="629" t="str">
        <f ca="1">IF(H792="Unidade Construtiva",TEXT(A792,"00"),IF(H792="Célula Construtiva",TEXT(B792,"00"),IF(H792="Etapa",CONCATENATE(TEXT(B792,"00"),".",TEXT(C792,"000")),IF(H792="Subetapa",CONCATENATE(TEXT(B792,"00"),".",TEXT(C792,"000"),".",TEXT(D792,"000")),IF(H792="Serviço",CONCATENATE(TEXT(B792,"00"),".",TEXT(C792,"000"),".",TEXT(D792,"000"),".",TEXT(E792,"000")),"")))))</f>
        <v>11.005.004.002</v>
      </c>
      <c r="J792" s="654" t="s">
        <v>1662</v>
      </c>
      <c r="K792" s="630" t="s">
        <v>1</v>
      </c>
      <c r="L792" s="631">
        <f>SUM(L787)</f>
        <v>48.2</v>
      </c>
      <c r="M792" s="631">
        <f>VLOOKUP(J792,Preços!$C$7:$F$498,4,FALSE)</f>
        <v>22</v>
      </c>
      <c r="N792" s="646">
        <f>L792*M792</f>
        <v>1060.4000000000001</v>
      </c>
      <c r="O792" s="767"/>
      <c r="P792" s="632" t="s">
        <v>333</v>
      </c>
      <c r="R792" s="742"/>
      <c r="S792" s="742"/>
    </row>
    <row r="793" spans="1:19" s="761" customFormat="1" ht="22.5" hidden="1" outlineLevel="1" collapsed="1" x14ac:dyDescent="0.2">
      <c r="A793" s="762" t="e">
        <f ca="1">IF($H793="UNIDADE CONSTRUTIVA",OFFSET(A793,-1,0)+1,LARGE(A$3:A703,1))</f>
        <v>#NUM!</v>
      </c>
      <c r="B793" s="762">
        <f ca="1">IF(H793="UNIDADE CONSTRUTIVA",0,IF(H793="CÉLULA CONSTRUTIVA",OFFSET(B793,-1,0)+1,OFFSET(B793,-1,0)))</f>
        <v>11</v>
      </c>
      <c r="C793" s="762">
        <f ca="1">IF(H793="CÉLULA CONSTRUTIVA",0,IF(H793="ETAPA",OFFSET(C793,-1,0)+1,OFFSET(C793,-1,0)))</f>
        <v>6</v>
      </c>
      <c r="D793" s="763">
        <f ca="1">IF(H793="ETAPA",0,IF(H793="SUBETAPA",OFFSET(D793,-1,0)+1,OFFSET(D793,-1,0)))</f>
        <v>0</v>
      </c>
      <c r="E793" s="763">
        <f ca="1">IF(H793="Subetapa",0,IF(H793="serviço",OFFSET(E793,-1,0)+1,OFFSET(E793,-1,0)))</f>
        <v>2</v>
      </c>
      <c r="G793" s="628"/>
      <c r="H793" s="766" t="s">
        <v>366</v>
      </c>
      <c r="I793" s="629" t="str">
        <f t="shared" ref="I793:I800" ca="1" si="180">IF(H793="Unidade Construtiva",TEXT(A793,"00"),IF(H793="Célula Construtiva",TEXT(B793,"00"),IF(H793="Etapa",CONCATENATE(TEXT(B793,"00"),".",TEXT(C793,"000")),IF(H793="Subetapa",CONCATENATE(TEXT(B793,"00"),".",TEXT(C793,"000"),".",TEXT(D793,"000")),IF(H793="Serviço",CONCATENATE(TEXT(B793,"00"),".",TEXT(C793,"000"),".",TEXT(D793,"000"),".",TEXT(E793,"000")),"")))))</f>
        <v>11.006</v>
      </c>
      <c r="J793" s="654" t="s">
        <v>1657</v>
      </c>
      <c r="K793" s="630"/>
      <c r="L793" s="631"/>
      <c r="M793" s="631"/>
      <c r="N793" s="646">
        <f ca="1">SUM(N794,N798,N803,N805)</f>
        <v>999996.83308600006</v>
      </c>
      <c r="O793" s="767"/>
      <c r="P793" s="632"/>
      <c r="R793" s="742"/>
      <c r="S793" s="742"/>
    </row>
    <row r="794" spans="1:19" s="761" customFormat="1" hidden="1" outlineLevel="2" x14ac:dyDescent="0.2">
      <c r="A794" s="762" t="e">
        <f ca="1">IF($H794="UNIDADE CONSTRUTIVA",OFFSET(A794,-1,0)+1,LARGE(A$3:A1012,1))</f>
        <v>#NUM!</v>
      </c>
      <c r="B794" s="762">
        <f ca="1">IF(H794="UNIDADE CONSTRUTIVA",0,IF(H794="CÉLULA CONSTRUTIVA",OFFSET(B794,-1,0)+1,OFFSET(B794,-1,0)))</f>
        <v>11</v>
      </c>
      <c r="C794" s="762">
        <f ca="1">IF(H794="CÉLULA CONSTRUTIVA",0,IF(H794="ETAPA",OFFSET(C794,-1,0)+1,OFFSET(C794,-1,0)))</f>
        <v>6</v>
      </c>
      <c r="D794" s="763">
        <f ca="1">IF(H794="ETAPA",0,IF(H794="SUBETAPA",OFFSET(D794,-1,0)+1,OFFSET(D794,-1,0)))</f>
        <v>1</v>
      </c>
      <c r="E794" s="763">
        <f ca="1">IF(H794="Subetapa",0,IF(H794="serviço",OFFSET(E794,-1,0)+1,OFFSET(E794,-1,0)))</f>
        <v>0</v>
      </c>
      <c r="G794" s="628"/>
      <c r="H794" s="766" t="s">
        <v>367</v>
      </c>
      <c r="I794" s="629" t="str">
        <f t="shared" ca="1" si="180"/>
        <v>11.006.001</v>
      </c>
      <c r="J794" s="654" t="s">
        <v>792</v>
      </c>
      <c r="K794" s="630"/>
      <c r="L794" s="631"/>
      <c r="M794" s="631"/>
      <c r="N794" s="646">
        <f ca="1">SUM(N795:N797)</f>
        <v>144285.51059999998</v>
      </c>
      <c r="O794" s="767"/>
      <c r="P794" s="632"/>
      <c r="R794" s="742"/>
      <c r="S794" s="742"/>
    </row>
    <row r="795" spans="1:19" s="761" customFormat="1" ht="22.5" hidden="1" outlineLevel="3" x14ac:dyDescent="0.2">
      <c r="A795" s="762" t="e">
        <f ca="1">IF($H795="UNIDADE CONSTRUTIVA",OFFSET(A795,-1,0)+1,LARGE(A$3:A794,1))</f>
        <v>#NUM!</v>
      </c>
      <c r="B795" s="762">
        <f ca="1">IF(H795="UNIDADE CONSTRUTIVA",0,IF(H795="CÉLULA CONSTRUTIVA",OFFSET(B795,-1,0)+1,OFFSET(B795,-1,0)))</f>
        <v>11</v>
      </c>
      <c r="C795" s="762">
        <f ca="1">IF(H795="CÉLULA CONSTRUTIVA",0,IF(H795="ETAPA",OFFSET(C795,-1,0)+1,OFFSET(C795,-1,0)))</f>
        <v>6</v>
      </c>
      <c r="D795" s="763">
        <f ca="1">IF(H795="ETAPA",0,IF(H795="SUBETAPA",OFFSET(D795,-1,0)+1,OFFSET(D795,-1,0)))</f>
        <v>1</v>
      </c>
      <c r="E795" s="763">
        <f ca="1">IF(H795="Subetapa",0,IF(H795="serviço",OFFSET(E795,-1,0)+1,OFFSET(E795,-1,0)))</f>
        <v>1</v>
      </c>
      <c r="G795" s="628"/>
      <c r="H795" s="766" t="s">
        <v>368</v>
      </c>
      <c r="I795" s="629" t="str">
        <f t="shared" ca="1" si="180"/>
        <v>11.006.001.001</v>
      </c>
      <c r="J795" s="654" t="s">
        <v>796</v>
      </c>
      <c r="K795" s="630" t="s">
        <v>1</v>
      </c>
      <c r="L795" s="631">
        <f ca="1">ARQ.!D498</f>
        <v>3955.39</v>
      </c>
      <c r="M795" s="631">
        <f>VLOOKUP(J795,Preços!$C$7:$F$498,4,FALSE)</f>
        <v>35.64</v>
      </c>
      <c r="N795" s="646">
        <f ca="1">L795*M795</f>
        <v>140970.09959999999</v>
      </c>
      <c r="O795" s="767"/>
      <c r="P795" s="632" t="s">
        <v>333</v>
      </c>
      <c r="R795" s="742"/>
      <c r="S795" s="742"/>
    </row>
    <row r="796" spans="1:19" s="761" customFormat="1" ht="22.5" hidden="1" outlineLevel="3" x14ac:dyDescent="0.2">
      <c r="A796" s="762" t="e">
        <f ca="1">IF($H796="UNIDADE CONSTRUTIVA",OFFSET(A796,-1,0)+1,LARGE(A$3:A795,1))</f>
        <v>#NUM!</v>
      </c>
      <c r="B796" s="762">
        <f t="shared" ref="B796:B806" ca="1" si="181">IF(H796="UNIDADE CONSTRUTIVA",0,IF(H796="CÉLULA CONSTRUTIVA",OFFSET(B796,-1,0)+1,OFFSET(B796,-1,0)))</f>
        <v>11</v>
      </c>
      <c r="C796" s="762">
        <f t="shared" ref="C796:C806" ca="1" si="182">IF(H796="CÉLULA CONSTRUTIVA",0,IF(H796="ETAPA",OFFSET(C796,-1,0)+1,OFFSET(C796,-1,0)))</f>
        <v>6</v>
      </c>
      <c r="D796" s="763">
        <f t="shared" ref="D796:D806" ca="1" si="183">IF(H796="ETAPA",0,IF(H796="SUBETAPA",OFFSET(D796,-1,0)+1,OFFSET(D796,-1,0)))</f>
        <v>1</v>
      </c>
      <c r="E796" s="763">
        <f t="shared" ref="E796:E806" ca="1" si="184">IF(H796="Subetapa",0,IF(H796="serviço",OFFSET(E796,-1,0)+1,OFFSET(E796,-1,0)))</f>
        <v>2</v>
      </c>
      <c r="G796" s="628"/>
      <c r="H796" s="766" t="s">
        <v>368</v>
      </c>
      <c r="I796" s="629" t="str">
        <f t="shared" ca="1" si="180"/>
        <v>11.006.001.002</v>
      </c>
      <c r="J796" s="654" t="s">
        <v>797</v>
      </c>
      <c r="K796" s="630" t="s">
        <v>4</v>
      </c>
      <c r="L796" s="631">
        <f ca="1">ARQ.!D499+ARQ.!D500</f>
        <v>213.99999999999997</v>
      </c>
      <c r="M796" s="631">
        <f>VLOOKUP(J796,Preços!$C$7:$F$498,4,FALSE)</f>
        <v>8.91</v>
      </c>
      <c r="N796" s="646">
        <f ca="1">L796*M796</f>
        <v>1906.7399999999998</v>
      </c>
      <c r="O796" s="767"/>
      <c r="P796" s="632" t="s">
        <v>333</v>
      </c>
      <c r="R796" s="742"/>
      <c r="S796" s="742"/>
    </row>
    <row r="797" spans="1:19" s="761" customFormat="1" ht="22.5" hidden="1" outlineLevel="3" x14ac:dyDescent="0.2">
      <c r="A797" s="762" t="e">
        <f ca="1">IF($H797="UNIDADE CONSTRUTIVA",OFFSET(A797,-1,0)+1,LARGE(A$3:A793,1))</f>
        <v>#NUM!</v>
      </c>
      <c r="B797" s="762">
        <f t="shared" ca="1" si="181"/>
        <v>11</v>
      </c>
      <c r="C797" s="762">
        <f t="shared" ca="1" si="182"/>
        <v>6</v>
      </c>
      <c r="D797" s="763">
        <f t="shared" ca="1" si="183"/>
        <v>1</v>
      </c>
      <c r="E797" s="763">
        <f t="shared" ca="1" si="184"/>
        <v>3</v>
      </c>
      <c r="G797" s="628"/>
      <c r="H797" s="766" t="s">
        <v>368</v>
      </c>
      <c r="I797" s="629" t="str">
        <f t="shared" ca="1" si="180"/>
        <v>11.006.001.003</v>
      </c>
      <c r="J797" s="654" t="s">
        <v>1453</v>
      </c>
      <c r="K797" s="630" t="s">
        <v>1</v>
      </c>
      <c r="L797" s="631">
        <f ca="1">ARQ.!D502</f>
        <v>105.39999999999995</v>
      </c>
      <c r="M797" s="631">
        <f>VLOOKUP(J797,Preços!$C$7:$F$498,4,FALSE)</f>
        <v>13.365</v>
      </c>
      <c r="N797" s="646">
        <f ca="1">L797*M797</f>
        <v>1408.6709999999994</v>
      </c>
      <c r="O797" s="767"/>
      <c r="P797" s="632" t="s">
        <v>333</v>
      </c>
      <c r="R797" s="742"/>
      <c r="S797" s="742"/>
    </row>
    <row r="798" spans="1:19" s="761" customFormat="1" hidden="1" outlineLevel="2" x14ac:dyDescent="0.2">
      <c r="A798" s="762" t="e">
        <f ca="1">IF($H798="UNIDADE CONSTRUTIVA",OFFSET(A798,-1,0)+1,LARGE(A$3:A797,1))</f>
        <v>#NUM!</v>
      </c>
      <c r="B798" s="762">
        <f t="shared" ca="1" si="181"/>
        <v>11</v>
      </c>
      <c r="C798" s="762">
        <f t="shared" ca="1" si="182"/>
        <v>6</v>
      </c>
      <c r="D798" s="763">
        <f t="shared" ca="1" si="183"/>
        <v>2</v>
      </c>
      <c r="E798" s="763">
        <f t="shared" ca="1" si="184"/>
        <v>0</v>
      </c>
      <c r="G798" s="628"/>
      <c r="H798" s="766" t="s">
        <v>367</v>
      </c>
      <c r="I798" s="629" t="str">
        <f t="shared" ca="1" si="180"/>
        <v>11.006.002</v>
      </c>
      <c r="J798" s="654" t="s">
        <v>781</v>
      </c>
      <c r="K798" s="630"/>
      <c r="L798" s="631"/>
      <c r="M798" s="631"/>
      <c r="N798" s="646">
        <f ca="1">SUM(N799:N802)</f>
        <v>276542.14248600003</v>
      </c>
      <c r="O798" s="767"/>
      <c r="P798" s="632"/>
      <c r="R798" s="742"/>
      <c r="S798" s="742"/>
    </row>
    <row r="799" spans="1:19" s="761" customFormat="1" ht="22.5" hidden="1" outlineLevel="3" x14ac:dyDescent="0.2">
      <c r="A799" s="762" t="e">
        <f ca="1">IF($H799="UNIDADE CONSTRUTIVA",OFFSET(A799,-1,0)+1,LARGE(A$3:A798,1))</f>
        <v>#NUM!</v>
      </c>
      <c r="B799" s="762">
        <f t="shared" ca="1" si="181"/>
        <v>11</v>
      </c>
      <c r="C799" s="762">
        <f t="shared" ca="1" si="182"/>
        <v>6</v>
      </c>
      <c r="D799" s="763">
        <f t="shared" ca="1" si="183"/>
        <v>2</v>
      </c>
      <c r="E799" s="763">
        <f t="shared" ca="1" si="184"/>
        <v>1</v>
      </c>
      <c r="G799" s="628"/>
      <c r="H799" s="766" t="s">
        <v>368</v>
      </c>
      <c r="I799" s="629" t="str">
        <f t="shared" ca="1" si="180"/>
        <v>11.006.002.001</v>
      </c>
      <c r="J799" s="654" t="s">
        <v>799</v>
      </c>
      <c r="K799" s="630" t="s">
        <v>1</v>
      </c>
      <c r="L799" s="631">
        <f ca="1">ARQ.!D504</f>
        <v>10930.11</v>
      </c>
      <c r="M799" s="631">
        <f>VLOOKUP(J799,Preços!$C$7:$F$498,4,FALSE)</f>
        <v>2.5165999999999999</v>
      </c>
      <c r="N799" s="646">
        <f ca="1">L799*M799</f>
        <v>27506.714825999999</v>
      </c>
      <c r="O799" s="767"/>
      <c r="P799" s="632" t="s">
        <v>333</v>
      </c>
      <c r="R799" s="742"/>
      <c r="S799" s="742"/>
    </row>
    <row r="800" spans="1:19" s="761" customFormat="1" ht="33.75" hidden="1" outlineLevel="3" x14ac:dyDescent="0.2">
      <c r="A800" s="762" t="e">
        <f ca="1">IF($H800="UNIDADE CONSTRUTIVA",OFFSET(A800,-1,0)+1,LARGE(A$3:A799,1))</f>
        <v>#NUM!</v>
      </c>
      <c r="B800" s="762">
        <f t="shared" ca="1" si="181"/>
        <v>11</v>
      </c>
      <c r="C800" s="762">
        <f t="shared" ca="1" si="182"/>
        <v>6</v>
      </c>
      <c r="D800" s="763">
        <f t="shared" ca="1" si="183"/>
        <v>2</v>
      </c>
      <c r="E800" s="763">
        <f t="shared" ca="1" si="184"/>
        <v>2</v>
      </c>
      <c r="G800" s="628"/>
      <c r="H800" s="766" t="s">
        <v>368</v>
      </c>
      <c r="I800" s="629" t="str">
        <f t="shared" ca="1" si="180"/>
        <v>11.006.002.002</v>
      </c>
      <c r="J800" s="654" t="s">
        <v>798</v>
      </c>
      <c r="K800" s="630" t="s">
        <v>1</v>
      </c>
      <c r="L800" s="631">
        <f ca="1">ARQ.!D505</f>
        <v>3073.6199999999994</v>
      </c>
      <c r="M800" s="631">
        <f>VLOOKUP(J800,Preços!$C$7:$F$498,4,FALSE)</f>
        <v>6.6079999999999997</v>
      </c>
      <c r="N800" s="646">
        <f ca="1">L800*M800</f>
        <v>20310.480959999994</v>
      </c>
      <c r="O800" s="767"/>
      <c r="P800" s="632" t="s">
        <v>333</v>
      </c>
      <c r="R800" s="742"/>
      <c r="S800" s="742"/>
    </row>
    <row r="801" spans="1:19" s="761" customFormat="1" ht="22.5" hidden="1" outlineLevel="3" x14ac:dyDescent="0.2">
      <c r="A801" s="762" t="e">
        <f ca="1">IF($H801="UNIDADE CONSTRUTIVA",OFFSET(A801,-1,0)+1,LARGE(A$3:A800,1))</f>
        <v>#NUM!</v>
      </c>
      <c r="B801" s="762">
        <f t="shared" ca="1" si="181"/>
        <v>11</v>
      </c>
      <c r="C801" s="762">
        <f t="shared" ca="1" si="182"/>
        <v>6</v>
      </c>
      <c r="D801" s="763">
        <f t="shared" ca="1" si="183"/>
        <v>2</v>
      </c>
      <c r="E801" s="763">
        <f t="shared" ca="1" si="184"/>
        <v>3</v>
      </c>
      <c r="G801" s="628"/>
      <c r="H801" s="766" t="s">
        <v>368</v>
      </c>
      <c r="I801" s="629" t="str">
        <f t="shared" ref="I801:I806" ca="1" si="185">IF(H801="Unidade Construtiva",TEXT(A801,"00"),IF(H801="Célula Construtiva",TEXT(B801,"00"),IF(H801="Etapa",CONCATENATE(TEXT(B801,"00"),".",TEXT(C801,"000")),IF(H801="Subetapa",CONCATENATE(TEXT(B801,"00"),".",TEXT(C801,"000"),".",TEXT(D801,"000")),IF(H801="Serviço",CONCATENATE(TEXT(B801,"00"),".",TEXT(C801,"000"),".",TEXT(D801,"000"),".",TEXT(E801,"000")),"")))))</f>
        <v>11.006.002.003</v>
      </c>
      <c r="J801" s="654" t="s">
        <v>800</v>
      </c>
      <c r="K801" s="630" t="s">
        <v>1</v>
      </c>
      <c r="L801" s="631">
        <f ca="1">ARQ.!D507</f>
        <v>14003.720000000003</v>
      </c>
      <c r="M801" s="631">
        <f>VLOOKUP(J801,Preços!$C$7:$F$498,4,FALSE)</f>
        <v>15.9975</v>
      </c>
      <c r="N801" s="646">
        <f ca="1">L801*M801</f>
        <v>224024.51070000004</v>
      </c>
      <c r="O801" s="767"/>
      <c r="P801" s="632" t="s">
        <v>333</v>
      </c>
      <c r="R801" s="742"/>
      <c r="S801" s="742"/>
    </row>
    <row r="802" spans="1:19" s="761" customFormat="1" ht="22.5" hidden="1" outlineLevel="3" x14ac:dyDescent="0.2">
      <c r="A802" s="762" t="e">
        <f ca="1">IF($H802="UNIDADE CONSTRUTIVA",OFFSET(A802,-1,0)+1,LARGE(A$3:A801,1))</f>
        <v>#NUM!</v>
      </c>
      <c r="B802" s="762">
        <f t="shared" ca="1" si="181"/>
        <v>11</v>
      </c>
      <c r="C802" s="762">
        <f t="shared" ca="1" si="182"/>
        <v>6</v>
      </c>
      <c r="D802" s="763">
        <f t="shared" ca="1" si="183"/>
        <v>2</v>
      </c>
      <c r="E802" s="763">
        <f t="shared" ca="1" si="184"/>
        <v>4</v>
      </c>
      <c r="G802" s="628"/>
      <c r="H802" s="766" t="s">
        <v>368</v>
      </c>
      <c r="I802" s="629" t="str">
        <f t="shared" ca="1" si="185"/>
        <v>11.006.002.004</v>
      </c>
      <c r="J802" s="654" t="s">
        <v>214</v>
      </c>
      <c r="K802" s="630" t="s">
        <v>1</v>
      </c>
      <c r="L802" s="631">
        <f ca="1">ARQ.!D509</f>
        <v>904.80000000000007</v>
      </c>
      <c r="M802" s="631">
        <f>VLOOKUP(J802,Preços!$C$7:$F$498,4,FALSE)</f>
        <v>5.1950000000000003</v>
      </c>
      <c r="N802" s="646">
        <f ca="1">L802*M802</f>
        <v>4700.4360000000006</v>
      </c>
      <c r="O802" s="767"/>
      <c r="P802" s="632" t="s">
        <v>333</v>
      </c>
      <c r="R802" s="742"/>
      <c r="S802" s="742"/>
    </row>
    <row r="803" spans="1:19" s="761" customFormat="1" hidden="1" outlineLevel="2" x14ac:dyDescent="0.2">
      <c r="A803" s="762" t="e">
        <f ca="1">IF($H803="UNIDADE CONSTRUTIVA",OFFSET(A803,-1,0)+1,LARGE(A$3:A802,1))</f>
        <v>#NUM!</v>
      </c>
      <c r="B803" s="762">
        <f t="shared" ca="1" si="181"/>
        <v>11</v>
      </c>
      <c r="C803" s="762">
        <f t="shared" ca="1" si="182"/>
        <v>6</v>
      </c>
      <c r="D803" s="763">
        <f t="shared" ca="1" si="183"/>
        <v>3</v>
      </c>
      <c r="E803" s="763">
        <f t="shared" ca="1" si="184"/>
        <v>0</v>
      </c>
      <c r="G803" s="628"/>
      <c r="H803" s="766" t="s">
        <v>367</v>
      </c>
      <c r="I803" s="629" t="str">
        <f t="shared" ca="1" si="185"/>
        <v>11.006.003</v>
      </c>
      <c r="J803" s="654" t="s">
        <v>1447</v>
      </c>
      <c r="K803" s="630"/>
      <c r="L803" s="631"/>
      <c r="M803" s="631"/>
      <c r="N803" s="646">
        <f ca="1">SUM(N804)</f>
        <v>111144.53999999998</v>
      </c>
      <c r="O803" s="767"/>
      <c r="P803" s="632"/>
      <c r="R803" s="742"/>
      <c r="S803" s="742"/>
    </row>
    <row r="804" spans="1:19" s="761" customFormat="1" ht="22.5" hidden="1" outlineLevel="3" x14ac:dyDescent="0.2">
      <c r="A804" s="762" t="e">
        <f ca="1">IF($H804="UNIDADE CONSTRUTIVA",OFFSET(A804,-1,0)+1,LARGE(A$3:A803,1))</f>
        <v>#NUM!</v>
      </c>
      <c r="B804" s="762">
        <f t="shared" ca="1" si="181"/>
        <v>11</v>
      </c>
      <c r="C804" s="762">
        <f t="shared" ca="1" si="182"/>
        <v>6</v>
      </c>
      <c r="D804" s="763">
        <f t="shared" ca="1" si="183"/>
        <v>3</v>
      </c>
      <c r="E804" s="763">
        <f t="shared" ca="1" si="184"/>
        <v>1</v>
      </c>
      <c r="G804" s="628"/>
      <c r="H804" s="766" t="s">
        <v>368</v>
      </c>
      <c r="I804" s="629" t="str">
        <f t="shared" ca="1" si="185"/>
        <v>11.006.003.001</v>
      </c>
      <c r="J804" s="654" t="s">
        <v>974</v>
      </c>
      <c r="K804" s="630" t="s">
        <v>1</v>
      </c>
      <c r="L804" s="631">
        <f ca="1">SUM(L795:L797)</f>
        <v>4274.7899999999991</v>
      </c>
      <c r="M804" s="631">
        <f>VLOOKUP(J804,Preços!$C$7:$F$498,4,FALSE)</f>
        <v>26</v>
      </c>
      <c r="N804" s="646">
        <f ca="1">L804*M804</f>
        <v>111144.53999999998</v>
      </c>
      <c r="O804" s="767"/>
      <c r="P804" s="632" t="s">
        <v>333</v>
      </c>
      <c r="R804" s="742"/>
      <c r="S804" s="742"/>
    </row>
    <row r="805" spans="1:19" s="761" customFormat="1" hidden="1" outlineLevel="2" x14ac:dyDescent="0.2">
      <c r="A805" s="762" t="e">
        <f ca="1">IF($H805="UNIDADE CONSTRUTIVA",OFFSET(A805,-1,0)+1,LARGE(A$3:A804,1))</f>
        <v>#NUM!</v>
      </c>
      <c r="B805" s="762">
        <f t="shared" ca="1" si="181"/>
        <v>11</v>
      </c>
      <c r="C805" s="762">
        <f t="shared" ca="1" si="182"/>
        <v>6</v>
      </c>
      <c r="D805" s="763">
        <f t="shared" ca="1" si="183"/>
        <v>4</v>
      </c>
      <c r="E805" s="763">
        <f t="shared" ca="1" si="184"/>
        <v>0</v>
      </c>
      <c r="G805" s="628"/>
      <c r="H805" s="766" t="s">
        <v>367</v>
      </c>
      <c r="I805" s="629" t="str">
        <f t="shared" ca="1" si="185"/>
        <v>11.006.004</v>
      </c>
      <c r="J805" s="654" t="s">
        <v>782</v>
      </c>
      <c r="K805" s="630"/>
      <c r="L805" s="631"/>
      <c r="M805" s="631"/>
      <c r="N805" s="646">
        <f ca="1">SUM(N806:N807)</f>
        <v>468024.64000000007</v>
      </c>
      <c r="O805" s="767"/>
      <c r="P805" s="632"/>
      <c r="R805" s="742"/>
      <c r="S805" s="742"/>
    </row>
    <row r="806" spans="1:19" s="761" customFormat="1" ht="22.5" hidden="1" outlineLevel="3" x14ac:dyDescent="0.2">
      <c r="A806" s="762" t="e">
        <f ca="1">IF($H806="UNIDADE CONSTRUTIVA",OFFSET(A806,-1,0)+1,LARGE(A$3:A805,1))</f>
        <v>#NUM!</v>
      </c>
      <c r="B806" s="762">
        <f t="shared" ca="1" si="181"/>
        <v>11</v>
      </c>
      <c r="C806" s="762">
        <f t="shared" ca="1" si="182"/>
        <v>6</v>
      </c>
      <c r="D806" s="763">
        <f t="shared" ca="1" si="183"/>
        <v>4</v>
      </c>
      <c r="E806" s="763">
        <f t="shared" ca="1" si="184"/>
        <v>1</v>
      </c>
      <c r="G806" s="628"/>
      <c r="H806" s="766" t="s">
        <v>368</v>
      </c>
      <c r="I806" s="629" t="str">
        <f t="shared" ca="1" si="185"/>
        <v>11.006.004.001</v>
      </c>
      <c r="J806" s="654" t="s">
        <v>1446</v>
      </c>
      <c r="K806" s="630" t="s">
        <v>1</v>
      </c>
      <c r="L806" s="631">
        <f ca="1">SUM(L801)</f>
        <v>14003.720000000003</v>
      </c>
      <c r="M806" s="631">
        <f>VLOOKUP(J806,Preços!$C$7:$F$498,4,FALSE)</f>
        <v>32</v>
      </c>
      <c r="N806" s="646">
        <f ca="1">L806*M806</f>
        <v>448119.0400000001</v>
      </c>
      <c r="O806" s="767"/>
      <c r="P806" s="632" t="s">
        <v>333</v>
      </c>
      <c r="R806" s="742"/>
      <c r="S806" s="742"/>
    </row>
    <row r="807" spans="1:19" s="761" customFormat="1" ht="22.5" hidden="1" outlineLevel="2" x14ac:dyDescent="0.2">
      <c r="A807" s="762" t="e">
        <f ca="1">IF($H807="UNIDADE CONSTRUTIVA",OFFSET(A807,-1,0)+1,LARGE(A$3:A819,1))</f>
        <v>#NUM!</v>
      </c>
      <c r="B807" s="762">
        <f ca="1">IF(H807="UNIDADE CONSTRUTIVA",0,IF(H807="CÉLULA CONSTRUTIVA",OFFSET(B807,-1,0)+1,OFFSET(B807,-1,0)))</f>
        <v>11</v>
      </c>
      <c r="C807" s="762">
        <f ca="1">IF(H807="CÉLULA CONSTRUTIVA",0,IF(H807="ETAPA",OFFSET(C807,-1,0)+1,OFFSET(C807,-1,0)))</f>
        <v>6</v>
      </c>
      <c r="D807" s="763">
        <f ca="1">IF(H807="ETAPA",0,IF(H807="SUBETAPA",OFFSET(D807,-1,0)+1,OFFSET(D807,-1,0)))</f>
        <v>4</v>
      </c>
      <c r="E807" s="763">
        <f ca="1">IF(H807="Subetapa",0,IF(H807="serviço",OFFSET(E807,-1,0)+1,OFFSET(E807,-1,0)))</f>
        <v>2</v>
      </c>
      <c r="G807" s="628"/>
      <c r="H807" s="766" t="s">
        <v>368</v>
      </c>
      <c r="I807" s="629" t="str">
        <f ca="1">IF(H807="Unidade Construtiva",TEXT(A807,"00"),IF(H807="Célula Construtiva",TEXT(B807,"00"),IF(H807="Etapa",CONCATENATE(TEXT(B807,"00"),".",TEXT(C807,"000")),IF(H807="Subetapa",CONCATENATE(TEXT(B807,"00"),".",TEXT(C807,"000"),".",TEXT(D807,"000")),IF(H807="Serviço",CONCATENATE(TEXT(B807,"00"),".",TEXT(C807,"000"),".",TEXT(D807,"000"),".",TEXT(E807,"000")),"")))))</f>
        <v>11.006.004.002</v>
      </c>
      <c r="J807" s="654" t="s">
        <v>1662</v>
      </c>
      <c r="K807" s="630" t="s">
        <v>1</v>
      </c>
      <c r="L807" s="631">
        <f ca="1">SUM(L802)</f>
        <v>904.80000000000007</v>
      </c>
      <c r="M807" s="631">
        <f>VLOOKUP(J807,Preços!$C$7:$F$498,4,FALSE)</f>
        <v>22</v>
      </c>
      <c r="N807" s="646">
        <f ca="1">L807*M807</f>
        <v>19905.600000000002</v>
      </c>
      <c r="O807" s="767"/>
      <c r="P807" s="632" t="s">
        <v>333</v>
      </c>
      <c r="R807" s="742"/>
      <c r="S807" s="742"/>
    </row>
    <row r="808" spans="1:19" s="761" customFormat="1" ht="22.5" hidden="1" outlineLevel="1" collapsed="1" x14ac:dyDescent="0.2">
      <c r="A808" s="762" t="e">
        <f ca="1">IF($H808="UNIDADE CONSTRUTIVA",OFFSET(A808,-1,0)+1,LARGE(A$3:A723,1))</f>
        <v>#NUM!</v>
      </c>
      <c r="B808" s="762">
        <f ca="1">IF(H808="UNIDADE CONSTRUTIVA",0,IF(H808="CÉLULA CONSTRUTIVA",OFFSET(B808,-1,0)+1,OFFSET(B808,-1,0)))</f>
        <v>11</v>
      </c>
      <c r="C808" s="762">
        <f ca="1">IF(H808="CÉLULA CONSTRUTIVA",0,IF(H808="ETAPA",OFFSET(C808,-1,0)+1,OFFSET(C808,-1,0)))</f>
        <v>7</v>
      </c>
      <c r="D808" s="763">
        <f ca="1">IF(H808="ETAPA",0,IF(H808="SUBETAPA",OFFSET(D808,-1,0)+1,OFFSET(D808,-1,0)))</f>
        <v>0</v>
      </c>
      <c r="E808" s="763">
        <f ca="1">IF(H808="Subetapa",0,IF(H808="serviço",OFFSET(E808,-1,0)+1,OFFSET(E808,-1,0)))</f>
        <v>2</v>
      </c>
      <c r="G808" s="628"/>
      <c r="H808" s="766" t="s">
        <v>366</v>
      </c>
      <c r="I808" s="629" t="str">
        <f t="shared" ref="I808:I814" ca="1" si="186">IF(H808="Unidade Construtiva",TEXT(A808,"00"),IF(H808="Célula Construtiva",TEXT(B808,"00"),IF(H808="Etapa",CONCATENATE(TEXT(B808,"00"),".",TEXT(C808,"000")),IF(H808="Subetapa",CONCATENATE(TEXT(B808,"00"),".",TEXT(C808,"000"),".",TEXT(D808,"000")),IF(H808="Serviço",CONCATENATE(TEXT(B808,"00"),".",TEXT(C808,"000"),".",TEXT(D808,"000"),".",TEXT(E808,"000")),"")))))</f>
        <v>11.007</v>
      </c>
      <c r="J808" s="654" t="s">
        <v>1658</v>
      </c>
      <c r="K808" s="630"/>
      <c r="L808" s="631"/>
      <c r="M808" s="631"/>
      <c r="N808" s="646">
        <f>SUM(N809,N812,N816,N818)</f>
        <v>15484.019951999999</v>
      </c>
      <c r="O808" s="767"/>
      <c r="P808" s="632"/>
      <c r="R808" s="742"/>
      <c r="S808" s="742"/>
    </row>
    <row r="809" spans="1:19" s="761" customFormat="1" hidden="1" outlineLevel="2" x14ac:dyDescent="0.2">
      <c r="A809" s="762" t="e">
        <f ca="1">IF($H809="UNIDADE CONSTRUTIVA",OFFSET(A809,-1,0)+1,LARGE(A$3:A1012,1))</f>
        <v>#NUM!</v>
      </c>
      <c r="B809" s="762">
        <f ca="1">IF(H809="UNIDADE CONSTRUTIVA",0,IF(H809="CÉLULA CONSTRUTIVA",OFFSET(B809,-1,0)+1,OFFSET(B809,-1,0)))</f>
        <v>11</v>
      </c>
      <c r="C809" s="762">
        <f ca="1">IF(H809="CÉLULA CONSTRUTIVA",0,IF(H809="ETAPA",OFFSET(C809,-1,0)+1,OFFSET(C809,-1,0)))</f>
        <v>7</v>
      </c>
      <c r="D809" s="763">
        <f ca="1">IF(H809="ETAPA",0,IF(H809="SUBETAPA",OFFSET(D809,-1,0)+1,OFFSET(D809,-1,0)))</f>
        <v>1</v>
      </c>
      <c r="E809" s="763">
        <f ca="1">IF(H809="Subetapa",0,IF(H809="serviço",OFFSET(E809,-1,0)+1,OFFSET(E809,-1,0)))</f>
        <v>0</v>
      </c>
      <c r="G809" s="628"/>
      <c r="H809" s="766" t="s">
        <v>367</v>
      </c>
      <c r="I809" s="629" t="str">
        <f t="shared" ca="1" si="186"/>
        <v>11.007.001</v>
      </c>
      <c r="J809" s="654" t="s">
        <v>792</v>
      </c>
      <c r="K809" s="630"/>
      <c r="L809" s="631"/>
      <c r="M809" s="631"/>
      <c r="N809" s="646">
        <f>SUM(N810:N811)</f>
        <v>533.70900000000006</v>
      </c>
      <c r="O809" s="767"/>
      <c r="P809" s="632"/>
      <c r="R809" s="742"/>
      <c r="S809" s="742"/>
    </row>
    <row r="810" spans="1:19" s="761" customFormat="1" ht="22.5" hidden="1" outlineLevel="3" x14ac:dyDescent="0.2">
      <c r="A810" s="762" t="e">
        <f ca="1">IF($H810="UNIDADE CONSTRUTIVA",OFFSET(A810,-1,0)+1,LARGE(A$3:A809,1))</f>
        <v>#NUM!</v>
      </c>
      <c r="B810" s="762">
        <f ca="1">IF(H810="UNIDADE CONSTRUTIVA",0,IF(H810="CÉLULA CONSTRUTIVA",OFFSET(B810,-1,0)+1,OFFSET(B810,-1,0)))</f>
        <v>11</v>
      </c>
      <c r="C810" s="762">
        <f ca="1">IF(H810="CÉLULA CONSTRUTIVA",0,IF(H810="ETAPA",OFFSET(C810,-1,0)+1,OFFSET(C810,-1,0)))</f>
        <v>7</v>
      </c>
      <c r="D810" s="763">
        <f ca="1">IF(H810="ETAPA",0,IF(H810="SUBETAPA",OFFSET(D810,-1,0)+1,OFFSET(D810,-1,0)))</f>
        <v>1</v>
      </c>
      <c r="E810" s="763">
        <f ca="1">IF(H810="Subetapa",0,IF(H810="serviço",OFFSET(E810,-1,0)+1,OFFSET(E810,-1,0)))</f>
        <v>1</v>
      </c>
      <c r="G810" s="628"/>
      <c r="H810" s="766" t="s">
        <v>368</v>
      </c>
      <c r="I810" s="629" t="str">
        <f t="shared" ca="1" si="186"/>
        <v>11.007.001.001</v>
      </c>
      <c r="J810" s="654" t="s">
        <v>796</v>
      </c>
      <c r="K810" s="630" t="s">
        <v>1</v>
      </c>
      <c r="L810" s="631">
        <f>ARQ.!C2625</f>
        <v>13.46</v>
      </c>
      <c r="M810" s="631">
        <f>VLOOKUP(J810,Preços!$C$7:$F$498,4,FALSE)</f>
        <v>35.64</v>
      </c>
      <c r="N810" s="646">
        <f>L810*M810</f>
        <v>479.71440000000001</v>
      </c>
      <c r="O810" s="767"/>
      <c r="P810" s="632" t="s">
        <v>333</v>
      </c>
      <c r="R810" s="742"/>
      <c r="S810" s="742"/>
    </row>
    <row r="811" spans="1:19" s="761" customFormat="1" ht="22.5" hidden="1" outlineLevel="3" x14ac:dyDescent="0.2">
      <c r="A811" s="762" t="e">
        <f ca="1">IF($H811="UNIDADE CONSTRUTIVA",OFFSET(A811,-1,0)+1,LARGE(A$3:A810,1))</f>
        <v>#NUM!</v>
      </c>
      <c r="B811" s="762">
        <f t="shared" ref="B811:B820" ca="1" si="187">IF(H811="UNIDADE CONSTRUTIVA",0,IF(H811="CÉLULA CONSTRUTIVA",OFFSET(B811,-1,0)+1,OFFSET(B811,-1,0)))</f>
        <v>11</v>
      </c>
      <c r="C811" s="762">
        <f t="shared" ref="C811:C820" ca="1" si="188">IF(H811="CÉLULA CONSTRUTIVA",0,IF(H811="ETAPA",OFFSET(C811,-1,0)+1,OFFSET(C811,-1,0)))</f>
        <v>7</v>
      </c>
      <c r="D811" s="763">
        <f t="shared" ref="D811:D820" ca="1" si="189">IF(H811="ETAPA",0,IF(H811="SUBETAPA",OFFSET(D811,-1,0)+1,OFFSET(D811,-1,0)))</f>
        <v>1</v>
      </c>
      <c r="E811" s="763">
        <f t="shared" ref="E811:E820" ca="1" si="190">IF(H811="Subetapa",0,IF(H811="serviço",OFFSET(E811,-1,0)+1,OFFSET(E811,-1,0)))</f>
        <v>2</v>
      </c>
      <c r="G811" s="628"/>
      <c r="H811" s="766" t="s">
        <v>368</v>
      </c>
      <c r="I811" s="629" t="str">
        <f t="shared" ca="1" si="186"/>
        <v>11.007.001.002</v>
      </c>
      <c r="J811" s="654" t="s">
        <v>1455</v>
      </c>
      <c r="K811" s="630" t="s">
        <v>1</v>
      </c>
      <c r="L811" s="631">
        <f>ARQ.!C2627</f>
        <v>12.12</v>
      </c>
      <c r="M811" s="631">
        <f>VLOOKUP(J811,Preços!$C$7:$F$498,4,FALSE)</f>
        <v>4.4550000000000001</v>
      </c>
      <c r="N811" s="646">
        <f>L811*M811</f>
        <v>53.994599999999998</v>
      </c>
      <c r="O811" s="767"/>
      <c r="P811" s="632" t="s">
        <v>333</v>
      </c>
      <c r="R811" s="742"/>
      <c r="S811" s="742"/>
    </row>
    <row r="812" spans="1:19" s="761" customFormat="1" hidden="1" outlineLevel="2" x14ac:dyDescent="0.2">
      <c r="A812" s="762" t="e">
        <f ca="1">IF($H812="UNIDADE CONSTRUTIVA",OFFSET(A812,-1,0)+1,LARGE(A$3:A811,1))</f>
        <v>#NUM!</v>
      </c>
      <c r="B812" s="762">
        <f t="shared" ca="1" si="187"/>
        <v>11</v>
      </c>
      <c r="C812" s="762">
        <f t="shared" ca="1" si="188"/>
        <v>7</v>
      </c>
      <c r="D812" s="763">
        <f t="shared" ca="1" si="189"/>
        <v>2</v>
      </c>
      <c r="E812" s="763">
        <f t="shared" ca="1" si="190"/>
        <v>0</v>
      </c>
      <c r="G812" s="628"/>
      <c r="H812" s="766" t="s">
        <v>367</v>
      </c>
      <c r="I812" s="629" t="str">
        <f t="shared" ca="1" si="186"/>
        <v>11.007.002</v>
      </c>
      <c r="J812" s="654" t="s">
        <v>781</v>
      </c>
      <c r="K812" s="630"/>
      <c r="L812" s="631"/>
      <c r="M812" s="631"/>
      <c r="N812" s="646">
        <f>SUM(N813:N815)</f>
        <v>5402.6709519999995</v>
      </c>
      <c r="O812" s="767"/>
      <c r="P812" s="632"/>
      <c r="R812" s="742"/>
      <c r="S812" s="742"/>
    </row>
    <row r="813" spans="1:19" s="761" customFormat="1" ht="22.5" hidden="1" outlineLevel="3" x14ac:dyDescent="0.2">
      <c r="A813" s="762" t="e">
        <f ca="1">IF($H813="UNIDADE CONSTRUTIVA",OFFSET(A813,-1,0)+1,LARGE(A$3:A812,1))</f>
        <v>#NUM!</v>
      </c>
      <c r="B813" s="762">
        <f t="shared" ca="1" si="187"/>
        <v>11</v>
      </c>
      <c r="C813" s="762">
        <f t="shared" ca="1" si="188"/>
        <v>7</v>
      </c>
      <c r="D813" s="763">
        <f t="shared" ca="1" si="189"/>
        <v>2</v>
      </c>
      <c r="E813" s="763">
        <f t="shared" ca="1" si="190"/>
        <v>1</v>
      </c>
      <c r="G813" s="628"/>
      <c r="H813" s="766" t="s">
        <v>368</v>
      </c>
      <c r="I813" s="629" t="str">
        <f t="shared" ca="1" si="186"/>
        <v>11.007.002.001</v>
      </c>
      <c r="J813" s="654" t="s">
        <v>799</v>
      </c>
      <c r="K813" s="630" t="s">
        <v>1</v>
      </c>
      <c r="L813" s="631">
        <f>ARQ.!C2629</f>
        <v>213.17</v>
      </c>
      <c r="M813" s="631">
        <f>VLOOKUP(J813,Preços!$C$7:$F$498,4,FALSE)</f>
        <v>2.5165999999999999</v>
      </c>
      <c r="N813" s="646">
        <f>L813*M813</f>
        <v>536.46362199999999</v>
      </c>
      <c r="O813" s="767"/>
      <c r="P813" s="632" t="s">
        <v>333</v>
      </c>
      <c r="R813" s="742"/>
      <c r="S813" s="742"/>
    </row>
    <row r="814" spans="1:19" s="761" customFormat="1" ht="33.75" hidden="1" outlineLevel="3" x14ac:dyDescent="0.2">
      <c r="A814" s="762" t="e">
        <f ca="1">IF($H814="UNIDADE CONSTRUTIVA",OFFSET(A814,-1,0)+1,LARGE(A$3:A813,1))</f>
        <v>#NUM!</v>
      </c>
      <c r="B814" s="762">
        <f t="shared" ca="1" si="187"/>
        <v>11</v>
      </c>
      <c r="C814" s="762">
        <f t="shared" ca="1" si="188"/>
        <v>7</v>
      </c>
      <c r="D814" s="763">
        <f t="shared" ca="1" si="189"/>
        <v>2</v>
      </c>
      <c r="E814" s="763">
        <f t="shared" ca="1" si="190"/>
        <v>2</v>
      </c>
      <c r="G814" s="628"/>
      <c r="H814" s="766" t="s">
        <v>368</v>
      </c>
      <c r="I814" s="629" t="str">
        <f t="shared" ca="1" si="186"/>
        <v>11.007.002.002</v>
      </c>
      <c r="J814" s="654" t="s">
        <v>798</v>
      </c>
      <c r="K814" s="630"/>
      <c r="L814" s="631">
        <f>ARQ.!C2630</f>
        <v>64.41</v>
      </c>
      <c r="M814" s="631">
        <f>VLOOKUP(J814,Preços!$C$7:$F$498,4,FALSE)</f>
        <v>6.6079999999999997</v>
      </c>
      <c r="N814" s="646">
        <f>L814*M814</f>
        <v>425.62127999999996</v>
      </c>
      <c r="O814" s="767"/>
      <c r="P814" s="632" t="s">
        <v>333</v>
      </c>
      <c r="R814" s="742"/>
      <c r="S814" s="742"/>
    </row>
    <row r="815" spans="1:19" s="761" customFormat="1" ht="22.5" hidden="1" outlineLevel="3" x14ac:dyDescent="0.2">
      <c r="A815" s="762" t="e">
        <f ca="1">IF($H815="UNIDADE CONSTRUTIVA",OFFSET(A815,-1,0)+1,LARGE(A$3:A814,1))</f>
        <v>#NUM!</v>
      </c>
      <c r="B815" s="762">
        <f t="shared" ca="1" si="187"/>
        <v>11</v>
      </c>
      <c r="C815" s="762">
        <f t="shared" ca="1" si="188"/>
        <v>7</v>
      </c>
      <c r="D815" s="763">
        <f t="shared" ca="1" si="189"/>
        <v>2</v>
      </c>
      <c r="E815" s="763">
        <f t="shared" ca="1" si="190"/>
        <v>3</v>
      </c>
      <c r="G815" s="628"/>
      <c r="H815" s="766" t="s">
        <v>368</v>
      </c>
      <c r="I815" s="629" t="str">
        <f t="shared" ref="I815:I820" ca="1" si="191">IF(H815="Unidade Construtiva",TEXT(A815,"00"),IF(H815="Célula Construtiva",TEXT(B815,"00"),IF(H815="Etapa",CONCATENATE(TEXT(B815,"00"),".",TEXT(C815,"000")),IF(H815="Subetapa",CONCATENATE(TEXT(B815,"00"),".",TEXT(C815,"000"),".",TEXT(D815,"000")),IF(H815="Serviço",CONCATENATE(TEXT(B815,"00"),".",TEXT(C815,"000"),".",TEXT(D815,"000"),".",TEXT(E815,"000")),"")))))</f>
        <v>11.007.002.003</v>
      </c>
      <c r="J815" s="654" t="s">
        <v>800</v>
      </c>
      <c r="K815" s="630" t="s">
        <v>1</v>
      </c>
      <c r="L815" s="631">
        <f>ARQ.!C2632</f>
        <v>277.58</v>
      </c>
      <c r="M815" s="631">
        <f>VLOOKUP(J815,Preços!$C$7:$F$498,4,FALSE)</f>
        <v>15.9975</v>
      </c>
      <c r="N815" s="646">
        <f>L815*M815</f>
        <v>4440.5860499999999</v>
      </c>
      <c r="O815" s="767"/>
      <c r="P815" s="632" t="s">
        <v>333</v>
      </c>
      <c r="R815" s="742"/>
      <c r="S815" s="742"/>
    </row>
    <row r="816" spans="1:19" s="761" customFormat="1" hidden="1" outlineLevel="2" x14ac:dyDescent="0.2">
      <c r="A816" s="762" t="e">
        <f ca="1">IF($H816="UNIDADE CONSTRUTIVA",OFFSET(A816,-1,0)+1,LARGE(A$3:A815,1))</f>
        <v>#NUM!</v>
      </c>
      <c r="B816" s="762">
        <f t="shared" ca="1" si="187"/>
        <v>11</v>
      </c>
      <c r="C816" s="762">
        <f t="shared" ca="1" si="188"/>
        <v>7</v>
      </c>
      <c r="D816" s="763">
        <f t="shared" ca="1" si="189"/>
        <v>3</v>
      </c>
      <c r="E816" s="763">
        <f t="shared" ca="1" si="190"/>
        <v>0</v>
      </c>
      <c r="G816" s="628"/>
      <c r="H816" s="766" t="s">
        <v>367</v>
      </c>
      <c r="I816" s="629" t="str">
        <f t="shared" ca="1" si="191"/>
        <v>11.007.003</v>
      </c>
      <c r="J816" s="654" t="s">
        <v>1447</v>
      </c>
      <c r="K816" s="630"/>
      <c r="L816" s="631"/>
      <c r="M816" s="631"/>
      <c r="N816" s="646">
        <f>SUM(N817)</f>
        <v>665.07999999999993</v>
      </c>
      <c r="O816" s="767"/>
      <c r="P816" s="632"/>
      <c r="R816" s="742"/>
      <c r="S816" s="742"/>
    </row>
    <row r="817" spans="1:19" s="761" customFormat="1" ht="22.5" hidden="1" outlineLevel="3" x14ac:dyDescent="0.2">
      <c r="A817" s="762" t="e">
        <f ca="1">IF($H817="UNIDADE CONSTRUTIVA",OFFSET(A817,-1,0)+1,LARGE(A$3:A816,1))</f>
        <v>#NUM!</v>
      </c>
      <c r="B817" s="762">
        <f t="shared" ca="1" si="187"/>
        <v>11</v>
      </c>
      <c r="C817" s="762">
        <f t="shared" ca="1" si="188"/>
        <v>7</v>
      </c>
      <c r="D817" s="763">
        <f t="shared" ca="1" si="189"/>
        <v>3</v>
      </c>
      <c r="E817" s="763">
        <f t="shared" ca="1" si="190"/>
        <v>1</v>
      </c>
      <c r="G817" s="628"/>
      <c r="H817" s="766" t="s">
        <v>368</v>
      </c>
      <c r="I817" s="629" t="str">
        <f t="shared" ca="1" si="191"/>
        <v>11.007.003.001</v>
      </c>
      <c r="J817" s="654" t="s">
        <v>974</v>
      </c>
      <c r="K817" s="630" t="s">
        <v>1</v>
      </c>
      <c r="L817" s="631">
        <f>SUM(L810:L811)</f>
        <v>25.58</v>
      </c>
      <c r="M817" s="631">
        <f>VLOOKUP(J817,Preços!$C$7:$F$498,4,FALSE)</f>
        <v>26</v>
      </c>
      <c r="N817" s="646">
        <f>L817*M817</f>
        <v>665.07999999999993</v>
      </c>
      <c r="O817" s="767"/>
      <c r="P817" s="632" t="s">
        <v>333</v>
      </c>
      <c r="R817" s="742"/>
      <c r="S817" s="742"/>
    </row>
    <row r="818" spans="1:19" s="761" customFormat="1" hidden="1" outlineLevel="2" collapsed="1" x14ac:dyDescent="0.2">
      <c r="A818" s="762" t="e">
        <f ca="1">IF($H818="UNIDADE CONSTRUTIVA",OFFSET(A818,-1,0)+1,LARGE(A$3:A817,1))</f>
        <v>#NUM!</v>
      </c>
      <c r="B818" s="762">
        <f t="shared" ca="1" si="187"/>
        <v>11</v>
      </c>
      <c r="C818" s="762">
        <f t="shared" ca="1" si="188"/>
        <v>7</v>
      </c>
      <c r="D818" s="763">
        <f t="shared" ca="1" si="189"/>
        <v>4</v>
      </c>
      <c r="E818" s="763">
        <f t="shared" ca="1" si="190"/>
        <v>0</v>
      </c>
      <c r="G818" s="628"/>
      <c r="H818" s="766" t="s">
        <v>367</v>
      </c>
      <c r="I818" s="629" t="str">
        <f t="shared" ca="1" si="191"/>
        <v>11.007.004</v>
      </c>
      <c r="J818" s="654" t="s">
        <v>782</v>
      </c>
      <c r="K818" s="630"/>
      <c r="L818" s="631"/>
      <c r="M818" s="631"/>
      <c r="N818" s="646">
        <f>SUM(N819)</f>
        <v>8882.56</v>
      </c>
      <c r="O818" s="767"/>
      <c r="P818" s="632"/>
      <c r="R818" s="742"/>
      <c r="S818" s="742"/>
    </row>
    <row r="819" spans="1:19" s="761" customFormat="1" ht="22.5" hidden="1" outlineLevel="2" x14ac:dyDescent="0.2">
      <c r="A819" s="762" t="e">
        <f ca="1">IF($H819="UNIDADE CONSTRUTIVA",OFFSET(A819,-1,0)+1,LARGE(A$3:A818,1))</f>
        <v>#NUM!</v>
      </c>
      <c r="B819" s="762">
        <f t="shared" ca="1" si="187"/>
        <v>11</v>
      </c>
      <c r="C819" s="762">
        <f t="shared" ca="1" si="188"/>
        <v>7</v>
      </c>
      <c r="D819" s="763">
        <f t="shared" ca="1" si="189"/>
        <v>4</v>
      </c>
      <c r="E819" s="763">
        <f t="shared" ca="1" si="190"/>
        <v>1</v>
      </c>
      <c r="G819" s="628"/>
      <c r="H819" s="766" t="s">
        <v>368</v>
      </c>
      <c r="I819" s="629" t="str">
        <f t="shared" ca="1" si="191"/>
        <v>11.007.004.001</v>
      </c>
      <c r="J819" s="654" t="s">
        <v>1446</v>
      </c>
      <c r="K819" s="630" t="s">
        <v>1</v>
      </c>
      <c r="L819" s="631">
        <f>SUM(L815)</f>
        <v>277.58</v>
      </c>
      <c r="M819" s="631">
        <f>VLOOKUP(J819,Preços!$C$7:$F$498,4,FALSE)</f>
        <v>32</v>
      </c>
      <c r="N819" s="646">
        <f>L819*M819</f>
        <v>8882.56</v>
      </c>
      <c r="O819" s="767"/>
      <c r="P819" s="632" t="s">
        <v>333</v>
      </c>
      <c r="R819" s="742"/>
      <c r="S819" s="742"/>
    </row>
    <row r="820" spans="1:19" s="761" customFormat="1" ht="22.5" hidden="1" outlineLevel="1" collapsed="1" x14ac:dyDescent="0.2">
      <c r="A820" s="762" t="e">
        <f ca="1">IF($H820="UNIDADE CONSTRUTIVA",OFFSET(A820,-1,0)+1,LARGE(A$3:A742,1))</f>
        <v>#NUM!</v>
      </c>
      <c r="B820" s="762">
        <f t="shared" ca="1" si="187"/>
        <v>11</v>
      </c>
      <c r="C820" s="762">
        <f t="shared" ca="1" si="188"/>
        <v>8</v>
      </c>
      <c r="D820" s="763">
        <f t="shared" ca="1" si="189"/>
        <v>0</v>
      </c>
      <c r="E820" s="763">
        <f t="shared" ca="1" si="190"/>
        <v>1</v>
      </c>
      <c r="G820" s="628"/>
      <c r="H820" s="766" t="s">
        <v>366</v>
      </c>
      <c r="I820" s="629" t="str">
        <f t="shared" ca="1" si="191"/>
        <v>11.008</v>
      </c>
      <c r="J820" s="654" t="s">
        <v>1659</v>
      </c>
      <c r="K820" s="630"/>
      <c r="L820" s="631"/>
      <c r="M820" s="631"/>
      <c r="N820" s="646">
        <f>SUM(N821,N823,N828,N830)</f>
        <v>4865.8512270000001</v>
      </c>
      <c r="O820" s="767"/>
      <c r="P820" s="632"/>
      <c r="R820" s="742"/>
      <c r="S820" s="742"/>
    </row>
    <row r="821" spans="1:19" s="761" customFormat="1" hidden="1" outlineLevel="2" x14ac:dyDescent="0.2">
      <c r="A821" s="762" t="e">
        <f ca="1">IF($H821="UNIDADE CONSTRUTIVA",OFFSET(A821,-1,0)+1,LARGE(A$3:A1012,1))</f>
        <v>#NUM!</v>
      </c>
      <c r="B821" s="762">
        <f ca="1">IF(H821="UNIDADE CONSTRUTIVA",0,IF(H821="CÉLULA CONSTRUTIVA",OFFSET(B821,-1,0)+1,OFFSET(B821,-1,0)))</f>
        <v>11</v>
      </c>
      <c r="C821" s="762">
        <f ca="1">IF(H821="CÉLULA CONSTRUTIVA",0,IF(H821="ETAPA",OFFSET(C821,-1,0)+1,OFFSET(C821,-1,0)))</f>
        <v>8</v>
      </c>
      <c r="D821" s="763">
        <f ca="1">IF(H821="ETAPA",0,IF(H821="SUBETAPA",OFFSET(D821,-1,0)+1,OFFSET(D821,-1,0)))</f>
        <v>1</v>
      </c>
      <c r="E821" s="763">
        <f ca="1">IF(H821="Subetapa",0,IF(H821="serviço",OFFSET(E821,-1,0)+1,OFFSET(E821,-1,0)))</f>
        <v>0</v>
      </c>
      <c r="G821" s="628"/>
      <c r="H821" s="766" t="s">
        <v>367</v>
      </c>
      <c r="I821" s="629" t="str">
        <f ca="1">IF(H821="Unidade Construtiva",TEXT(A821,"00"),IF(H821="Célula Construtiva",TEXT(B821,"00"),IF(H821="Etapa",CONCATENATE(TEXT(B821,"00"),".",TEXT(C821,"000")),IF(H821="Subetapa",CONCATENATE(TEXT(B821,"00"),".",TEXT(C821,"000"),".",TEXT(D821,"000")),IF(H821="Serviço",CONCATENATE(TEXT(B821,"00"),".",TEXT(C821,"000"),".",TEXT(D821,"000"),".",TEXT(E821,"000")),"")))))</f>
        <v>11.008.001</v>
      </c>
      <c r="J821" s="654" t="s">
        <v>792</v>
      </c>
      <c r="K821" s="630"/>
      <c r="L821" s="631"/>
      <c r="M821" s="631"/>
      <c r="N821" s="646">
        <f>SUM(N822)</f>
        <v>301.87079999999997</v>
      </c>
      <c r="O821" s="767"/>
      <c r="P821" s="632"/>
      <c r="R821" s="742"/>
      <c r="S821" s="742"/>
    </row>
    <row r="822" spans="1:19" s="761" customFormat="1" ht="22.5" hidden="1" outlineLevel="3" x14ac:dyDescent="0.2">
      <c r="A822" s="762" t="e">
        <f ca="1">IF($H822="UNIDADE CONSTRUTIVA",OFFSET(A822,-1,0)+1,LARGE(A$3:A821,1))</f>
        <v>#NUM!</v>
      </c>
      <c r="B822" s="762">
        <f ca="1">IF(H822="UNIDADE CONSTRUTIVA",0,IF(H822="CÉLULA CONSTRUTIVA",OFFSET(B822,-1,0)+1,OFFSET(B822,-1,0)))</f>
        <v>11</v>
      </c>
      <c r="C822" s="762">
        <f ca="1">IF(H822="CÉLULA CONSTRUTIVA",0,IF(H822="ETAPA",OFFSET(C822,-1,0)+1,OFFSET(C822,-1,0)))</f>
        <v>8</v>
      </c>
      <c r="D822" s="763">
        <f ca="1">IF(H822="ETAPA",0,IF(H822="SUBETAPA",OFFSET(D822,-1,0)+1,OFFSET(D822,-1,0)))</f>
        <v>1</v>
      </c>
      <c r="E822" s="763">
        <f ca="1">IF(H822="Subetapa",0,IF(H822="serviço",OFFSET(E822,-1,0)+1,OFFSET(E822,-1,0)))</f>
        <v>1</v>
      </c>
      <c r="G822" s="628"/>
      <c r="H822" s="766" t="s">
        <v>368</v>
      </c>
      <c r="I822" s="629" t="str">
        <f ca="1">IF(H822="Unidade Construtiva",TEXT(A822,"00"),IF(H822="Célula Construtiva",TEXT(B822,"00"),IF(H822="Etapa",CONCATENATE(TEXT(B822,"00"),".",TEXT(C822,"000")),IF(H822="Subetapa",CONCATENATE(TEXT(B822,"00"),".",TEXT(C822,"000"),".",TEXT(D822,"000")),IF(H822="Serviço",CONCATENATE(TEXT(B822,"00"),".",TEXT(C822,"000"),".",TEXT(D822,"000"),".",TEXT(E822,"000")),"")))))</f>
        <v>11.008.001.001</v>
      </c>
      <c r="J822" s="654" t="s">
        <v>805</v>
      </c>
      <c r="K822" s="630" t="s">
        <v>1</v>
      </c>
      <c r="L822" s="631">
        <f>ARQ.!F2681</f>
        <v>9.68</v>
      </c>
      <c r="M822" s="631">
        <f>VLOOKUP(J822,Preços!$C$7:$F$498,4,FALSE)</f>
        <v>31.184999999999999</v>
      </c>
      <c r="N822" s="646">
        <f>L822*M822</f>
        <v>301.87079999999997</v>
      </c>
      <c r="O822" s="767"/>
      <c r="P822" s="632" t="s">
        <v>333</v>
      </c>
      <c r="R822" s="742"/>
      <c r="S822" s="742"/>
    </row>
    <row r="823" spans="1:19" s="761" customFormat="1" hidden="1" outlineLevel="2" x14ac:dyDescent="0.2">
      <c r="A823" s="762" t="e">
        <f ca="1">IF($H823="UNIDADE CONSTRUTIVA",OFFSET(A823,-1,0)+1,LARGE(A$3:A820,1))</f>
        <v>#NUM!</v>
      </c>
      <c r="B823" s="762">
        <f t="shared" ref="B823:B831" ca="1" si="192">IF(H823="UNIDADE CONSTRUTIVA",0,IF(H823="CÉLULA CONSTRUTIVA",OFFSET(B823,-1,0)+1,OFFSET(B823,-1,0)))</f>
        <v>11</v>
      </c>
      <c r="C823" s="762">
        <f t="shared" ref="C823:C831" ca="1" si="193">IF(H823="CÉLULA CONSTRUTIVA",0,IF(H823="ETAPA",OFFSET(C823,-1,0)+1,OFFSET(C823,-1,0)))</f>
        <v>8</v>
      </c>
      <c r="D823" s="763">
        <f t="shared" ref="D823:D831" ca="1" si="194">IF(H823="ETAPA",0,IF(H823="SUBETAPA",OFFSET(D823,-1,0)+1,OFFSET(D823,-1,0)))</f>
        <v>2</v>
      </c>
      <c r="E823" s="763">
        <f t="shared" ref="E823:E831" ca="1" si="195">IF(H823="Subetapa",0,IF(H823="serviço",OFFSET(E823,-1,0)+1,OFFSET(E823,-1,0)))</f>
        <v>0</v>
      </c>
      <c r="G823" s="628"/>
      <c r="H823" s="766" t="s">
        <v>367</v>
      </c>
      <c r="I823" s="629" t="str">
        <f ca="1">IF(H823="Unidade Construtiva",TEXT(A823,"00"),IF(H823="Célula Construtiva",TEXT(B823,"00"),IF(H823="Etapa",CONCATENATE(TEXT(B823,"00"),".",TEXT(C823,"000")),IF(H823="Subetapa",CONCATENATE(TEXT(B823,"00"),".",TEXT(C823,"000"),".",TEXT(D823,"000")),IF(H823="Serviço",CONCATENATE(TEXT(B823,"00"),".",TEXT(C823,"000"),".",TEXT(D823,"000"),".",TEXT(E823,"000")),"")))))</f>
        <v>11.008.002</v>
      </c>
      <c r="J823" s="654" t="s">
        <v>781</v>
      </c>
      <c r="K823" s="630"/>
      <c r="L823" s="631"/>
      <c r="M823" s="631"/>
      <c r="N823" s="646">
        <f>SUM(N824:N827)</f>
        <v>1288.7604270000002</v>
      </c>
      <c r="O823" s="767"/>
      <c r="P823" s="632"/>
      <c r="R823" s="742"/>
      <c r="S823" s="742"/>
    </row>
    <row r="824" spans="1:19" s="761" customFormat="1" ht="22.5" hidden="1" outlineLevel="4" x14ac:dyDescent="0.2">
      <c r="A824" s="762" t="e">
        <f ca="1">IF($H824="UNIDADE CONSTRUTIVA",OFFSET(A824,-1,0)+1,LARGE(A$3:A823,1))</f>
        <v>#NUM!</v>
      </c>
      <c r="B824" s="762">
        <f t="shared" ca="1" si="192"/>
        <v>11</v>
      </c>
      <c r="C824" s="762">
        <f t="shared" ca="1" si="193"/>
        <v>8</v>
      </c>
      <c r="D824" s="763">
        <f t="shared" ca="1" si="194"/>
        <v>2</v>
      </c>
      <c r="E824" s="763">
        <f t="shared" ca="1" si="195"/>
        <v>1</v>
      </c>
      <c r="G824" s="628"/>
      <c r="H824" s="766" t="s">
        <v>368</v>
      </c>
      <c r="I824" s="629" t="str">
        <f ca="1">IF(H824="Unidade Construtiva",TEXT(A824,"00"),IF(H824="Célula Construtiva",TEXT(B824,"00"),IF(H824="Etapa",CONCATENATE(TEXT(B824,"00"),".",TEXT(C824,"000")),IF(H824="Subetapa",CONCATENATE(TEXT(B824,"00"),".",TEXT(C824,"000"),".",TEXT(D824,"000")),IF(H824="Serviço",CONCATENATE(TEXT(B824,"00"),".",TEXT(C824,"000"),".",TEXT(D824,"000"),".",TEXT(E824,"000")),"")))))</f>
        <v>11.008.002.001</v>
      </c>
      <c r="J824" s="654" t="s">
        <v>799</v>
      </c>
      <c r="K824" s="630" t="s">
        <v>1</v>
      </c>
      <c r="L824" s="631">
        <f>ARQ.!F2683</f>
        <v>26.32</v>
      </c>
      <c r="M824" s="631">
        <f>VLOOKUP(J824,Preços!$C$7:$F$498,4,FALSE)</f>
        <v>2.5165999999999999</v>
      </c>
      <c r="N824" s="646">
        <f>L824*M824</f>
        <v>66.236912000000004</v>
      </c>
      <c r="O824" s="767"/>
      <c r="P824" s="632" t="s">
        <v>333</v>
      </c>
      <c r="R824" s="742"/>
      <c r="S824" s="742"/>
    </row>
    <row r="825" spans="1:19" s="761" customFormat="1" ht="33.75" hidden="1" outlineLevel="4" x14ac:dyDescent="0.2">
      <c r="A825" s="762" t="e">
        <f ca="1">IF($H825="UNIDADE CONSTRUTIVA",OFFSET(A825,-1,0)+1,LARGE(A$3:A824,1))</f>
        <v>#NUM!</v>
      </c>
      <c r="B825" s="762">
        <f t="shared" ca="1" si="192"/>
        <v>11</v>
      </c>
      <c r="C825" s="762">
        <f t="shared" ca="1" si="193"/>
        <v>8</v>
      </c>
      <c r="D825" s="763">
        <f t="shared" ca="1" si="194"/>
        <v>2</v>
      </c>
      <c r="E825" s="763">
        <f t="shared" ca="1" si="195"/>
        <v>2</v>
      </c>
      <c r="G825" s="628"/>
      <c r="H825" s="766" t="s">
        <v>368</v>
      </c>
      <c r="I825" s="629" t="str">
        <f ca="1">IF(H825="Unidade Construtiva",TEXT(A825,"00"),IF(H825="Célula Construtiva",TEXT(B825,"00"),IF(H825="Etapa",CONCATENATE(TEXT(B825,"00"),".",TEXT(C825,"000")),IF(H825="Subetapa",CONCATENATE(TEXT(B825,"00"),".",TEXT(C825,"000"),".",TEXT(D825,"000")),IF(H825="Serviço",CONCATENATE(TEXT(B825,"00"),".",TEXT(C825,"000"),".",TEXT(D825,"000"),".",TEXT(E825,"000")),"")))))</f>
        <v>11.008.002.002</v>
      </c>
      <c r="J825" s="654" t="s">
        <v>798</v>
      </c>
      <c r="K825" s="630" t="s">
        <v>1</v>
      </c>
      <c r="L825" s="631">
        <f>ARQ.!F2684</f>
        <v>19.03</v>
      </c>
      <c r="M825" s="631">
        <f>VLOOKUP(J825,Preços!$C$7:$F$498,4,FALSE)</f>
        <v>6.6079999999999997</v>
      </c>
      <c r="N825" s="646">
        <f>L825*M825</f>
        <v>125.75024000000001</v>
      </c>
      <c r="O825" s="767"/>
      <c r="P825" s="632" t="s">
        <v>333</v>
      </c>
      <c r="R825" s="742"/>
      <c r="S825" s="742"/>
    </row>
    <row r="826" spans="1:19" s="761" customFormat="1" ht="22.5" hidden="1" outlineLevel="4" x14ac:dyDescent="0.2">
      <c r="A826" s="762" t="e">
        <f ca="1">IF($H826="UNIDADE CONSTRUTIVA",OFFSET(A826,-1,0)+1,LARGE(A$3:A825,1))</f>
        <v>#NUM!</v>
      </c>
      <c r="B826" s="762">
        <f t="shared" ca="1" si="192"/>
        <v>11</v>
      </c>
      <c r="C826" s="762">
        <f t="shared" ca="1" si="193"/>
        <v>8</v>
      </c>
      <c r="D826" s="763">
        <f t="shared" ca="1" si="194"/>
        <v>2</v>
      </c>
      <c r="E826" s="763">
        <f t="shared" ca="1" si="195"/>
        <v>3</v>
      </c>
      <c r="G826" s="628"/>
      <c r="H826" s="766" t="s">
        <v>368</v>
      </c>
      <c r="I826" s="629" t="str">
        <f t="shared" ref="I826:I831" ca="1" si="196">IF(H826="Unidade Construtiva",TEXT(A826,"00"),IF(H826="Célula Construtiva",TEXT(B826,"00"),IF(H826="Etapa",CONCATENATE(TEXT(B826,"00"),".",TEXT(C826,"000")),IF(H826="Subetapa",CONCATENATE(TEXT(B826,"00"),".",TEXT(C826,"000"),".",TEXT(D826,"000")),IF(H826="Serviço",CONCATENATE(TEXT(B826,"00"),".",TEXT(C826,"000"),".",TEXT(D826,"000"),".",TEXT(E826,"000")),"")))))</f>
        <v>11.008.002.003</v>
      </c>
      <c r="J826" s="654" t="s">
        <v>800</v>
      </c>
      <c r="K826" s="630" t="s">
        <v>1</v>
      </c>
      <c r="L826" s="631">
        <f>ARQ.!F2686</f>
        <v>45.35</v>
      </c>
      <c r="M826" s="631">
        <f>VLOOKUP(J826,Preços!$C$7:$F$498,4,FALSE)</f>
        <v>15.9975</v>
      </c>
      <c r="N826" s="646">
        <f>L826*M826</f>
        <v>725.486625</v>
      </c>
      <c r="O826" s="767"/>
      <c r="P826" s="632" t="s">
        <v>333</v>
      </c>
      <c r="R826" s="742"/>
      <c r="S826" s="742"/>
    </row>
    <row r="827" spans="1:19" s="761" customFormat="1" ht="22.5" hidden="1" outlineLevel="4" x14ac:dyDescent="0.2">
      <c r="A827" s="762" t="e">
        <f ca="1">IF($H827="UNIDADE CONSTRUTIVA",OFFSET(A827,-1,0)+1,LARGE(A$3:A826,1))</f>
        <v>#NUM!</v>
      </c>
      <c r="B827" s="762">
        <f t="shared" ca="1" si="192"/>
        <v>11</v>
      </c>
      <c r="C827" s="762">
        <f t="shared" ca="1" si="193"/>
        <v>8</v>
      </c>
      <c r="D827" s="763">
        <f t="shared" ca="1" si="194"/>
        <v>2</v>
      </c>
      <c r="E827" s="763">
        <f t="shared" ca="1" si="195"/>
        <v>4</v>
      </c>
      <c r="G827" s="628"/>
      <c r="H827" s="766" t="s">
        <v>368</v>
      </c>
      <c r="I827" s="629" t="str">
        <f t="shared" ca="1" si="196"/>
        <v>11.008.002.004</v>
      </c>
      <c r="J827" s="654" t="s">
        <v>214</v>
      </c>
      <c r="K827" s="630" t="s">
        <v>1</v>
      </c>
      <c r="L827" s="631">
        <f>ARQ.!F2688</f>
        <v>71.47</v>
      </c>
      <c r="M827" s="631">
        <f>VLOOKUP(J827,Preços!$C$7:$F$498,4,FALSE)</f>
        <v>5.1950000000000003</v>
      </c>
      <c r="N827" s="646">
        <f>L827*M827</f>
        <v>371.28665000000001</v>
      </c>
      <c r="O827" s="767"/>
      <c r="P827" s="632" t="s">
        <v>333</v>
      </c>
      <c r="R827" s="742"/>
      <c r="S827" s="742"/>
    </row>
    <row r="828" spans="1:19" s="761" customFormat="1" hidden="1" outlineLevel="2" x14ac:dyDescent="0.2">
      <c r="A828" s="762" t="e">
        <f ca="1">IF($H828="UNIDADE CONSTRUTIVA",OFFSET(A828,-1,0)+1,LARGE(A$3:A827,1))</f>
        <v>#NUM!</v>
      </c>
      <c r="B828" s="762">
        <f t="shared" ca="1" si="192"/>
        <v>11</v>
      </c>
      <c r="C828" s="762">
        <f t="shared" ca="1" si="193"/>
        <v>8</v>
      </c>
      <c r="D828" s="763">
        <f t="shared" ca="1" si="194"/>
        <v>3</v>
      </c>
      <c r="E828" s="763">
        <f t="shared" ca="1" si="195"/>
        <v>0</v>
      </c>
      <c r="G828" s="628"/>
      <c r="H828" s="766" t="s">
        <v>367</v>
      </c>
      <c r="I828" s="629" t="str">
        <f t="shared" ca="1" si="196"/>
        <v>11.008.003</v>
      </c>
      <c r="J828" s="654" t="s">
        <v>1447</v>
      </c>
      <c r="K828" s="630"/>
      <c r="L828" s="631"/>
      <c r="M828" s="631"/>
      <c r="N828" s="646">
        <f>SUM(N829)</f>
        <v>251.68</v>
      </c>
      <c r="O828" s="767"/>
      <c r="P828" s="632"/>
      <c r="R828" s="742"/>
      <c r="S828" s="742"/>
    </row>
    <row r="829" spans="1:19" s="761" customFormat="1" ht="22.5" hidden="1" outlineLevel="3" x14ac:dyDescent="0.2">
      <c r="A829" s="762" t="e">
        <f ca="1">IF($H829="UNIDADE CONSTRUTIVA",OFFSET(A829,-1,0)+1,LARGE(A$3:A828,1))</f>
        <v>#NUM!</v>
      </c>
      <c r="B829" s="762">
        <f t="shared" ca="1" si="192"/>
        <v>11</v>
      </c>
      <c r="C829" s="762">
        <f t="shared" ca="1" si="193"/>
        <v>8</v>
      </c>
      <c r="D829" s="763">
        <f t="shared" ca="1" si="194"/>
        <v>3</v>
      </c>
      <c r="E829" s="763">
        <f t="shared" ca="1" si="195"/>
        <v>1</v>
      </c>
      <c r="G829" s="628"/>
      <c r="H829" s="766" t="s">
        <v>368</v>
      </c>
      <c r="I829" s="629" t="str">
        <f t="shared" ca="1" si="196"/>
        <v>11.008.003.001</v>
      </c>
      <c r="J829" s="654" t="s">
        <v>974</v>
      </c>
      <c r="K829" s="630" t="s">
        <v>1</v>
      </c>
      <c r="L829" s="631">
        <f>SUM(L822:L823)</f>
        <v>9.68</v>
      </c>
      <c r="M829" s="631">
        <f>VLOOKUP(J829,Preços!$C$7:$F$498,4,FALSE)</f>
        <v>26</v>
      </c>
      <c r="N829" s="646">
        <f>L829*M829</f>
        <v>251.68</v>
      </c>
      <c r="O829" s="767"/>
      <c r="P829" s="632" t="s">
        <v>333</v>
      </c>
      <c r="R829" s="742"/>
      <c r="S829" s="742"/>
    </row>
    <row r="830" spans="1:19" s="761" customFormat="1" hidden="1" outlineLevel="2" collapsed="1" x14ac:dyDescent="0.2">
      <c r="A830" s="762" t="e">
        <f ca="1">IF($H830="UNIDADE CONSTRUTIVA",OFFSET(A830,-1,0)+1,LARGE(A$3:A827,1))</f>
        <v>#NUM!</v>
      </c>
      <c r="B830" s="762">
        <f t="shared" ca="1" si="192"/>
        <v>11</v>
      </c>
      <c r="C830" s="762">
        <f t="shared" ca="1" si="193"/>
        <v>8</v>
      </c>
      <c r="D830" s="763">
        <f t="shared" ca="1" si="194"/>
        <v>4</v>
      </c>
      <c r="E830" s="763">
        <f t="shared" ca="1" si="195"/>
        <v>0</v>
      </c>
      <c r="G830" s="628"/>
      <c r="H830" s="766" t="s">
        <v>367</v>
      </c>
      <c r="I830" s="629" t="str">
        <f t="shared" ca="1" si="196"/>
        <v>11.008.004</v>
      </c>
      <c r="J830" s="654" t="s">
        <v>782</v>
      </c>
      <c r="K830" s="630"/>
      <c r="L830" s="631"/>
      <c r="M830" s="631"/>
      <c r="N830" s="646">
        <f>SUM(N831:N832)</f>
        <v>3023.54</v>
      </c>
      <c r="O830" s="767"/>
      <c r="P830" s="632"/>
      <c r="R830" s="742"/>
      <c r="S830" s="742"/>
    </row>
    <row r="831" spans="1:19" s="761" customFormat="1" ht="22.5" hidden="1" outlineLevel="2" x14ac:dyDescent="0.2">
      <c r="A831" s="762" t="e">
        <f ca="1">IF($H831="UNIDADE CONSTRUTIVA",OFFSET(A831,-1,0)+1,LARGE(A$3:A830,1))</f>
        <v>#NUM!</v>
      </c>
      <c r="B831" s="762">
        <f t="shared" ca="1" si="192"/>
        <v>11</v>
      </c>
      <c r="C831" s="762">
        <f t="shared" ca="1" si="193"/>
        <v>8</v>
      </c>
      <c r="D831" s="763">
        <f t="shared" ca="1" si="194"/>
        <v>4</v>
      </c>
      <c r="E831" s="763">
        <f t="shared" ca="1" si="195"/>
        <v>1</v>
      </c>
      <c r="G831" s="628"/>
      <c r="H831" s="766" t="s">
        <v>368</v>
      </c>
      <c r="I831" s="629" t="str">
        <f t="shared" ca="1" si="196"/>
        <v>11.008.004.001</v>
      </c>
      <c r="J831" s="654" t="s">
        <v>1446</v>
      </c>
      <c r="K831" s="630" t="s">
        <v>1</v>
      </c>
      <c r="L831" s="631">
        <f>SUM(L826)</f>
        <v>45.35</v>
      </c>
      <c r="M831" s="631">
        <f>VLOOKUP(J831,Preços!$C$7:$F$498,4,FALSE)</f>
        <v>32</v>
      </c>
      <c r="N831" s="646">
        <f>L831*M831</f>
        <v>1451.2</v>
      </c>
      <c r="O831" s="767"/>
      <c r="P831" s="632" t="s">
        <v>333</v>
      </c>
      <c r="R831" s="742"/>
      <c r="S831" s="742"/>
    </row>
    <row r="832" spans="1:19" s="761" customFormat="1" ht="22.5" hidden="1" outlineLevel="2" x14ac:dyDescent="0.2">
      <c r="A832" s="762" t="e">
        <f ca="1">IF($H832="UNIDADE CONSTRUTIVA",OFFSET(A832,-1,0)+1,LARGE(A$3:A831,1))</f>
        <v>#NUM!</v>
      </c>
      <c r="B832" s="762">
        <f ca="1">IF(H832="UNIDADE CONSTRUTIVA",0,IF(H832="CÉLULA CONSTRUTIVA",OFFSET(B832,-1,0)+1,OFFSET(B832,-1,0)))</f>
        <v>11</v>
      </c>
      <c r="C832" s="762">
        <f ca="1">IF(H832="CÉLULA CONSTRUTIVA",0,IF(H832="ETAPA",OFFSET(C832,-1,0)+1,OFFSET(C832,-1,0)))</f>
        <v>8</v>
      </c>
      <c r="D832" s="763">
        <f ca="1">IF(H832="ETAPA",0,IF(H832="SUBETAPA",OFFSET(D832,-1,0)+1,OFFSET(D832,-1,0)))</f>
        <v>4</v>
      </c>
      <c r="E832" s="763">
        <f ca="1">IF(H832="Subetapa",0,IF(H832="serviço",OFFSET(E832,-1,0)+1,OFFSET(E832,-1,0)))</f>
        <v>2</v>
      </c>
      <c r="G832" s="628"/>
      <c r="H832" s="766" t="s">
        <v>368</v>
      </c>
      <c r="I832" s="629" t="str">
        <f ca="1">IF(H832="Unidade Construtiva",TEXT(A832,"00"),IF(H832="Célula Construtiva",TEXT(B832,"00"),IF(H832="Etapa",CONCATENATE(TEXT(B832,"00"),".",TEXT(C832,"000")),IF(H832="Subetapa",CONCATENATE(TEXT(B832,"00"),".",TEXT(C832,"000"),".",TEXT(D832,"000")),IF(H832="Serviço",CONCATENATE(TEXT(B832,"00"),".",TEXT(C832,"000"),".",TEXT(D832,"000"),".",TEXT(E832,"000")),"")))))</f>
        <v>11.008.004.002</v>
      </c>
      <c r="J832" s="654" t="s">
        <v>1662</v>
      </c>
      <c r="K832" s="630" t="s">
        <v>1</v>
      </c>
      <c r="L832" s="631">
        <f>SUM(L827)</f>
        <v>71.47</v>
      </c>
      <c r="M832" s="631">
        <f>VLOOKUP(J832,Preços!$C$7:$F$498,4,FALSE)</f>
        <v>22</v>
      </c>
      <c r="N832" s="646">
        <f>L832*M832</f>
        <v>1572.34</v>
      </c>
      <c r="O832" s="767"/>
      <c r="P832" s="632" t="s">
        <v>333</v>
      </c>
      <c r="R832" s="742"/>
      <c r="S832" s="742"/>
    </row>
    <row r="833" spans="1:19" s="761" customFormat="1" collapsed="1" x14ac:dyDescent="0.2">
      <c r="A833" s="762" t="e">
        <f ca="1">IF($H833="UNIDADE CONSTRUTIVA",OFFSET(A833,-1,0)+1,LARGE(A$3:A919,1))</f>
        <v>#NUM!</v>
      </c>
      <c r="B833" s="762">
        <f t="shared" ref="B833:B861" ca="1" si="197">IF(H833="UNIDADE CONSTRUTIVA",0,IF(H833="CÉLULA CONSTRUTIVA",OFFSET(B833,-1,0)+1,OFFSET(B833,-1,0)))</f>
        <v>12</v>
      </c>
      <c r="C833" s="762">
        <f t="shared" ref="C833:C861" ca="1" si="198">IF(H833="CÉLULA CONSTRUTIVA",0,IF(H833="ETAPA",OFFSET(C833,-1,0)+1,OFFSET(C833,-1,0)))</f>
        <v>0</v>
      </c>
      <c r="D833" s="763">
        <f t="shared" ref="D833:D861" ca="1" si="199">IF(H833="ETAPA",0,IF(H833="SUBETAPA",OFFSET(D833,-1,0)+1,OFFSET(D833,-1,0)))</f>
        <v>4</v>
      </c>
      <c r="E833" s="763">
        <f t="shared" ref="E833:E861" ca="1" si="200">IF(H833="Subetapa",0,IF(H833="serviço",OFFSET(E833,-1,0)+1,OFFSET(E833,-1,0)))</f>
        <v>2</v>
      </c>
      <c r="G833" s="628"/>
      <c r="H833" s="766" t="s">
        <v>365</v>
      </c>
      <c r="I833" s="629" t="str">
        <f t="shared" ref="I833:I861" ca="1" si="201">IF(H833="Unidade Construtiva",TEXT(A833,"00"),IF(H833="Célula Construtiva",TEXT(B833,"00"),IF(H833="Etapa",CONCATENATE(TEXT(B833,"00"),".",TEXT(C833,"000")),IF(H833="Subetapa",CONCATENATE(TEXT(B833,"00"),".",TEXT(C833,"000"),".",TEXT(D833,"000")),IF(H833="Serviço",CONCATENATE(TEXT(B833,"00"),".",TEXT(C833,"000"),".",TEXT(D833,"000"),".",TEXT(E833,"000")),"")))))</f>
        <v>12</v>
      </c>
      <c r="J833" s="654" t="s">
        <v>384</v>
      </c>
      <c r="K833" s="630"/>
      <c r="L833" s="631"/>
      <c r="M833" s="631"/>
      <c r="N833" s="646">
        <f ca="1">SUM(N834,N842,N850,N858,N866,N874,N882,N887)</f>
        <v>557343.61770000018</v>
      </c>
      <c r="O833" s="767"/>
      <c r="P833" s="632"/>
      <c r="R833" s="742"/>
      <c r="S833" s="742"/>
    </row>
    <row r="834" spans="1:19" s="761" customFormat="1" ht="22.5" hidden="1" outlineLevel="1" collapsed="1" x14ac:dyDescent="0.2">
      <c r="A834" s="762" t="e">
        <f ca="1">IF($H834="UNIDADE CONSTRUTIVA",OFFSET(A834,-1,0)+1,LARGE(A$3:A833,1))</f>
        <v>#NUM!</v>
      </c>
      <c r="B834" s="762">
        <f t="shared" ca="1" si="197"/>
        <v>12</v>
      </c>
      <c r="C834" s="762">
        <f t="shared" ca="1" si="198"/>
        <v>1</v>
      </c>
      <c r="D834" s="763">
        <f t="shared" ca="1" si="199"/>
        <v>0</v>
      </c>
      <c r="E834" s="763">
        <f t="shared" ca="1" si="200"/>
        <v>2</v>
      </c>
      <c r="G834" s="628"/>
      <c r="H834" s="766" t="s">
        <v>366</v>
      </c>
      <c r="I834" s="629" t="str">
        <f t="shared" ca="1" si="201"/>
        <v>12.001</v>
      </c>
      <c r="J834" s="654" t="s">
        <v>808</v>
      </c>
      <c r="K834" s="630"/>
      <c r="L834" s="631"/>
      <c r="M834" s="631"/>
      <c r="N834" s="646">
        <f>SUM(N835,N837,N840)</f>
        <v>39045.173649999997</v>
      </c>
      <c r="O834" s="767"/>
      <c r="P834" s="632"/>
      <c r="R834" s="742"/>
      <c r="S834" s="742"/>
    </row>
    <row r="835" spans="1:19" s="761" customFormat="1" hidden="1" outlineLevel="2" collapsed="1" x14ac:dyDescent="0.2">
      <c r="A835" s="762" t="e">
        <f ca="1">IF($H835="UNIDADE CONSTRUTIVA",OFFSET(A835,-1,0)+1,LARGE(A$3:A834,1))</f>
        <v>#NUM!</v>
      </c>
      <c r="B835" s="762">
        <f t="shared" ca="1" si="197"/>
        <v>12</v>
      </c>
      <c r="C835" s="762">
        <f t="shared" ca="1" si="198"/>
        <v>1</v>
      </c>
      <c r="D835" s="763">
        <f t="shared" ca="1" si="199"/>
        <v>1</v>
      </c>
      <c r="E835" s="763">
        <f t="shared" ca="1" si="200"/>
        <v>0</v>
      </c>
      <c r="G835" s="628"/>
      <c r="H835" s="766" t="s">
        <v>367</v>
      </c>
      <c r="I835" s="629" t="str">
        <f t="shared" ca="1" si="201"/>
        <v>12.001.001</v>
      </c>
      <c r="J835" s="654" t="s">
        <v>218</v>
      </c>
      <c r="K835" s="630"/>
      <c r="L835" s="631"/>
      <c r="M835" s="631"/>
      <c r="N835" s="646">
        <f>SUM(N836)</f>
        <v>2254.9936499999999</v>
      </c>
      <c r="O835" s="767"/>
      <c r="P835" s="632"/>
      <c r="R835" s="742"/>
      <c r="S835" s="742"/>
    </row>
    <row r="836" spans="1:19" s="761" customFormat="1" ht="22.5" hidden="1" outlineLevel="3" x14ac:dyDescent="0.2">
      <c r="A836" s="762" t="e">
        <f ca="1">IF($H836="UNIDADE CONSTRUTIVA",OFFSET(A836,-1,0)+1,LARGE(A$3:A835,1))</f>
        <v>#NUM!</v>
      </c>
      <c r="B836" s="762">
        <f t="shared" ca="1" si="197"/>
        <v>12</v>
      </c>
      <c r="C836" s="762">
        <f t="shared" ca="1" si="198"/>
        <v>1</v>
      </c>
      <c r="D836" s="763">
        <f t="shared" ca="1" si="199"/>
        <v>1</v>
      </c>
      <c r="E836" s="763">
        <f t="shared" ca="1" si="200"/>
        <v>1</v>
      </c>
      <c r="G836" s="628"/>
      <c r="H836" s="766" t="s">
        <v>368</v>
      </c>
      <c r="I836" s="629" t="str">
        <f t="shared" ca="1" si="201"/>
        <v>12.001.001.001</v>
      </c>
      <c r="J836" s="654" t="s">
        <v>276</v>
      </c>
      <c r="K836" s="630" t="s">
        <v>1</v>
      </c>
      <c r="L836" s="631">
        <f>ARQ.!C50</f>
        <v>434.07</v>
      </c>
      <c r="M836" s="631">
        <f>VLOOKUP(J836,Preços!$C$7:$F$498,4,FALSE)</f>
        <v>5.1950000000000003</v>
      </c>
      <c r="N836" s="646">
        <f>L836*M836</f>
        <v>2254.9936499999999</v>
      </c>
      <c r="O836" s="767"/>
      <c r="P836" s="632" t="s">
        <v>333</v>
      </c>
      <c r="R836" s="742"/>
      <c r="S836" s="742"/>
    </row>
    <row r="837" spans="1:19" s="761" customFormat="1" hidden="1" outlineLevel="2" collapsed="1" x14ac:dyDescent="0.2">
      <c r="A837" s="762" t="e">
        <f ca="1">IF($H837="UNIDADE CONSTRUTIVA",OFFSET(A837,-1,0)+1,LARGE(A$3:A836,1))</f>
        <v>#NUM!</v>
      </c>
      <c r="B837" s="762">
        <f t="shared" ca="1" si="197"/>
        <v>12</v>
      </c>
      <c r="C837" s="762">
        <f t="shared" ca="1" si="198"/>
        <v>1</v>
      </c>
      <c r="D837" s="763">
        <f t="shared" ca="1" si="199"/>
        <v>2</v>
      </c>
      <c r="E837" s="763">
        <f t="shared" ca="1" si="200"/>
        <v>0</v>
      </c>
      <c r="G837" s="628"/>
      <c r="H837" s="766" t="s">
        <v>367</v>
      </c>
      <c r="I837" s="629" t="str">
        <f t="shared" ca="1" si="201"/>
        <v>12.001.002</v>
      </c>
      <c r="J837" s="654" t="s">
        <v>219</v>
      </c>
      <c r="K837" s="630"/>
      <c r="L837" s="631"/>
      <c r="M837" s="631"/>
      <c r="N837" s="646">
        <f>SUM(N838:N839)</f>
        <v>27240.639999999999</v>
      </c>
      <c r="O837" s="767"/>
      <c r="P837" s="632"/>
      <c r="R837" s="742"/>
      <c r="S837" s="742"/>
    </row>
    <row r="838" spans="1:19" s="761" customFormat="1" ht="22.5" hidden="1" outlineLevel="3" x14ac:dyDescent="0.2">
      <c r="A838" s="762" t="e">
        <f ca="1">IF($H838="UNIDADE CONSTRUTIVA",OFFSET(A838,-1,0)+1,LARGE(A$3:A837,1))</f>
        <v>#NUM!</v>
      </c>
      <c r="B838" s="762">
        <f t="shared" ca="1" si="197"/>
        <v>12</v>
      </c>
      <c r="C838" s="762">
        <f t="shared" ca="1" si="198"/>
        <v>1</v>
      </c>
      <c r="D838" s="763">
        <f t="shared" ca="1" si="199"/>
        <v>2</v>
      </c>
      <c r="E838" s="763">
        <f t="shared" ca="1" si="200"/>
        <v>1</v>
      </c>
      <c r="G838" s="628"/>
      <c r="H838" s="766" t="s">
        <v>368</v>
      </c>
      <c r="I838" s="629" t="str">
        <f t="shared" ca="1" si="201"/>
        <v>12.001.002.001</v>
      </c>
      <c r="J838" s="654" t="s">
        <v>951</v>
      </c>
      <c r="K838" s="630" t="s">
        <v>1</v>
      </c>
      <c r="L838" s="631">
        <f>ARQ.!C52</f>
        <v>181.51</v>
      </c>
      <c r="M838" s="631">
        <f>VLOOKUP(J838,Preços!$C$7:$F$498,4,FALSE)</f>
        <v>64</v>
      </c>
      <c r="N838" s="646">
        <f>L838*M838</f>
        <v>11616.64</v>
      </c>
      <c r="O838" s="767"/>
      <c r="P838" s="632" t="s">
        <v>333</v>
      </c>
      <c r="R838" s="742"/>
      <c r="S838" s="742"/>
    </row>
    <row r="839" spans="1:19" s="761" customFormat="1" ht="22.5" hidden="1" outlineLevel="3" x14ac:dyDescent="0.2">
      <c r="A839" s="762" t="e">
        <f ca="1">IF($H839="UNIDADE CONSTRUTIVA",OFFSET(A839,-1,0)+1,LARGE(A$3:A838,1))</f>
        <v>#NUM!</v>
      </c>
      <c r="B839" s="762">
        <f t="shared" ca="1" si="197"/>
        <v>12</v>
      </c>
      <c r="C839" s="762">
        <f t="shared" ca="1" si="198"/>
        <v>1</v>
      </c>
      <c r="D839" s="763">
        <f t="shared" ca="1" si="199"/>
        <v>2</v>
      </c>
      <c r="E839" s="763">
        <f t="shared" ca="1" si="200"/>
        <v>2</v>
      </c>
      <c r="G839" s="628"/>
      <c r="H839" s="766" t="s">
        <v>368</v>
      </c>
      <c r="I839" s="629" t="str">
        <f t="shared" ca="1" si="201"/>
        <v>12.001.002.002</v>
      </c>
      <c r="J839" s="654" t="s">
        <v>311</v>
      </c>
      <c r="K839" s="630" t="s">
        <v>3</v>
      </c>
      <c r="L839" s="631">
        <v>434</v>
      </c>
      <c r="M839" s="631">
        <f>VLOOKUP(J839,Preços!$C$7:$F$498,4,FALSE)</f>
        <v>36</v>
      </c>
      <c r="N839" s="646">
        <f>L839*M839</f>
        <v>15624</v>
      </c>
      <c r="O839" s="767"/>
      <c r="P839" s="632" t="s">
        <v>333</v>
      </c>
      <c r="R839" s="742"/>
      <c r="S839" s="742"/>
    </row>
    <row r="840" spans="1:19" s="761" customFormat="1" hidden="1" outlineLevel="2" collapsed="1" x14ac:dyDescent="0.2">
      <c r="A840" s="762" t="e">
        <f ca="1">IF($H840="UNIDADE CONSTRUTIVA",OFFSET(A840,-1,0)+1,LARGE(A$3:A839,1))</f>
        <v>#NUM!</v>
      </c>
      <c r="B840" s="762">
        <f t="shared" ca="1" si="197"/>
        <v>12</v>
      </c>
      <c r="C840" s="762">
        <f t="shared" ca="1" si="198"/>
        <v>1</v>
      </c>
      <c r="D840" s="763">
        <f t="shared" ca="1" si="199"/>
        <v>3</v>
      </c>
      <c r="E840" s="763">
        <f t="shared" ca="1" si="200"/>
        <v>0</v>
      </c>
      <c r="G840" s="628"/>
      <c r="H840" s="766" t="s">
        <v>367</v>
      </c>
      <c r="I840" s="629" t="str">
        <f t="shared" ca="1" si="201"/>
        <v>12.001.003</v>
      </c>
      <c r="J840" s="654" t="s">
        <v>807</v>
      </c>
      <c r="K840" s="630"/>
      <c r="L840" s="631"/>
      <c r="M840" s="631"/>
      <c r="N840" s="646">
        <f>SUM(N841)</f>
        <v>9549.5399999999991</v>
      </c>
      <c r="O840" s="767"/>
      <c r="P840" s="632"/>
      <c r="R840" s="742"/>
      <c r="S840" s="742"/>
    </row>
    <row r="841" spans="1:19" s="761" customFormat="1" ht="22.5" hidden="1" outlineLevel="3" x14ac:dyDescent="0.2">
      <c r="A841" s="762" t="e">
        <f ca="1">IF($H841="UNIDADE CONSTRUTIVA",OFFSET(A841,-1,0)+1,LARGE(A$3:A840,1))</f>
        <v>#NUM!</v>
      </c>
      <c r="B841" s="762">
        <f t="shared" ca="1" si="197"/>
        <v>12</v>
      </c>
      <c r="C841" s="762">
        <f t="shared" ca="1" si="198"/>
        <v>1</v>
      </c>
      <c r="D841" s="763">
        <f t="shared" ca="1" si="199"/>
        <v>3</v>
      </c>
      <c r="E841" s="763">
        <f t="shared" ca="1" si="200"/>
        <v>1</v>
      </c>
      <c r="G841" s="628"/>
      <c r="H841" s="766" t="s">
        <v>368</v>
      </c>
      <c r="I841" s="629" t="str">
        <f t="shared" ca="1" si="201"/>
        <v>12.001.003.001</v>
      </c>
      <c r="J841" s="654" t="s">
        <v>950</v>
      </c>
      <c r="K841" s="630" t="s">
        <v>1</v>
      </c>
      <c r="L841" s="631">
        <f>L836</f>
        <v>434.07</v>
      </c>
      <c r="M841" s="631">
        <f>VLOOKUP(J841,Preços!$C$7:$F$498,4,FALSE)</f>
        <v>22</v>
      </c>
      <c r="N841" s="646">
        <f>L841*M841</f>
        <v>9549.5399999999991</v>
      </c>
      <c r="O841" s="767"/>
      <c r="P841" s="632" t="s">
        <v>333</v>
      </c>
      <c r="R841" s="742"/>
      <c r="S841" s="742"/>
    </row>
    <row r="842" spans="1:19" s="761" customFormat="1" ht="22.5" hidden="1" outlineLevel="1" collapsed="1" x14ac:dyDescent="0.2">
      <c r="A842" s="762" t="e">
        <f ca="1">IF($H842="UNIDADE CONSTRUTIVA",OFFSET(A842,-1,0)+1,LARGE(A$3:A785,1))</f>
        <v>#NUM!</v>
      </c>
      <c r="B842" s="762">
        <f t="shared" ca="1" si="197"/>
        <v>12</v>
      </c>
      <c r="C842" s="762">
        <f t="shared" ca="1" si="198"/>
        <v>2</v>
      </c>
      <c r="D842" s="763">
        <f t="shared" ca="1" si="199"/>
        <v>0</v>
      </c>
      <c r="E842" s="763">
        <f t="shared" ca="1" si="200"/>
        <v>1</v>
      </c>
      <c r="G842" s="628"/>
      <c r="H842" s="766" t="s">
        <v>366</v>
      </c>
      <c r="I842" s="629" t="str">
        <f t="shared" ca="1" si="201"/>
        <v>12.002</v>
      </c>
      <c r="J842" s="654" t="s">
        <v>809</v>
      </c>
      <c r="K842" s="630"/>
      <c r="L842" s="631"/>
      <c r="M842" s="631"/>
      <c r="N842" s="646">
        <f>SUM(N843,N845,N848)</f>
        <v>17511.253000000001</v>
      </c>
      <c r="O842" s="767"/>
      <c r="P842" s="632"/>
      <c r="R842" s="742"/>
      <c r="S842" s="742"/>
    </row>
    <row r="843" spans="1:19" s="761" customFormat="1" hidden="1" outlineLevel="2" collapsed="1" x14ac:dyDescent="0.2">
      <c r="A843" s="762" t="e">
        <f ca="1">IF($H843="UNIDADE CONSTRUTIVA",OFFSET(A843,-1,0)+1,LARGE(A$3:A842,1))</f>
        <v>#NUM!</v>
      </c>
      <c r="B843" s="762">
        <f t="shared" ca="1" si="197"/>
        <v>12</v>
      </c>
      <c r="C843" s="762">
        <f t="shared" ca="1" si="198"/>
        <v>2</v>
      </c>
      <c r="D843" s="763">
        <f t="shared" ca="1" si="199"/>
        <v>1</v>
      </c>
      <c r="E843" s="763">
        <f t="shared" ca="1" si="200"/>
        <v>0</v>
      </c>
      <c r="G843" s="628"/>
      <c r="H843" s="766" t="s">
        <v>367</v>
      </c>
      <c r="I843" s="629" t="str">
        <f t="shared" ca="1" si="201"/>
        <v>12.002.001</v>
      </c>
      <c r="J843" s="654" t="s">
        <v>218</v>
      </c>
      <c r="K843" s="630"/>
      <c r="L843" s="631"/>
      <c r="M843" s="631"/>
      <c r="N843" s="646">
        <f>SUM(N844)</f>
        <v>3186.6129999999998</v>
      </c>
      <c r="O843" s="767"/>
      <c r="P843" s="632"/>
      <c r="R843" s="742"/>
      <c r="S843" s="742"/>
    </row>
    <row r="844" spans="1:19" s="761" customFormat="1" ht="22.5" hidden="1" outlineLevel="3" x14ac:dyDescent="0.2">
      <c r="A844" s="762" t="e">
        <f ca="1">IF($H844="UNIDADE CONSTRUTIVA",OFFSET(A844,-1,0)+1,LARGE(A$3:A843,1))</f>
        <v>#NUM!</v>
      </c>
      <c r="B844" s="762">
        <f t="shared" ca="1" si="197"/>
        <v>12</v>
      </c>
      <c r="C844" s="762">
        <f t="shared" ca="1" si="198"/>
        <v>2</v>
      </c>
      <c r="D844" s="763">
        <f t="shared" ca="1" si="199"/>
        <v>1</v>
      </c>
      <c r="E844" s="763">
        <f t="shared" ca="1" si="200"/>
        <v>1</v>
      </c>
      <c r="G844" s="628"/>
      <c r="H844" s="766" t="s">
        <v>368</v>
      </c>
      <c r="I844" s="629" t="str">
        <f t="shared" ca="1" si="201"/>
        <v>12.002.001.001</v>
      </c>
      <c r="J844" s="654" t="s">
        <v>276</v>
      </c>
      <c r="K844" s="630" t="s">
        <v>1</v>
      </c>
      <c r="L844" s="631">
        <f>ARQ.!C149</f>
        <v>613.4</v>
      </c>
      <c r="M844" s="631">
        <f>VLOOKUP(J844,Preços!$C$7:$F$498,4,FALSE)</f>
        <v>5.1950000000000003</v>
      </c>
      <c r="N844" s="646">
        <f>L844*M844</f>
        <v>3186.6129999999998</v>
      </c>
      <c r="O844" s="767"/>
      <c r="P844" s="632" t="s">
        <v>333</v>
      </c>
      <c r="R844" s="742"/>
      <c r="S844" s="742"/>
    </row>
    <row r="845" spans="1:19" s="761" customFormat="1" hidden="1" outlineLevel="2" collapsed="1" x14ac:dyDescent="0.2">
      <c r="A845" s="762" t="e">
        <f ca="1">IF($H845="UNIDADE CONSTRUTIVA",OFFSET(A845,-1,0)+1,LARGE(A$3:A844,1))</f>
        <v>#NUM!</v>
      </c>
      <c r="B845" s="762">
        <f t="shared" ca="1" si="197"/>
        <v>12</v>
      </c>
      <c r="C845" s="762">
        <f t="shared" ca="1" si="198"/>
        <v>2</v>
      </c>
      <c r="D845" s="763">
        <f t="shared" ca="1" si="199"/>
        <v>2</v>
      </c>
      <c r="E845" s="763">
        <f t="shared" ca="1" si="200"/>
        <v>0</v>
      </c>
      <c r="G845" s="628"/>
      <c r="H845" s="766" t="s">
        <v>367</v>
      </c>
      <c r="I845" s="629" t="str">
        <f t="shared" ca="1" si="201"/>
        <v>12.002.002</v>
      </c>
      <c r="J845" s="654" t="s">
        <v>219</v>
      </c>
      <c r="K845" s="630"/>
      <c r="L845" s="631"/>
      <c r="M845" s="631"/>
      <c r="N845" s="646">
        <f>SUM(N846:N847)</f>
        <v>829.84</v>
      </c>
      <c r="O845" s="767"/>
      <c r="P845" s="632"/>
      <c r="R845" s="742"/>
      <c r="S845" s="742"/>
    </row>
    <row r="846" spans="1:19" s="761" customFormat="1" ht="22.5" hidden="1" outlineLevel="3" x14ac:dyDescent="0.2">
      <c r="A846" s="762" t="e">
        <f ca="1">IF($H846="UNIDADE CONSTRUTIVA",OFFSET(A846,-1,0)+1,LARGE(A$3:A845,1))</f>
        <v>#NUM!</v>
      </c>
      <c r="B846" s="762">
        <f t="shared" ca="1" si="197"/>
        <v>12</v>
      </c>
      <c r="C846" s="762">
        <f t="shared" ca="1" si="198"/>
        <v>2</v>
      </c>
      <c r="D846" s="763">
        <f t="shared" ca="1" si="199"/>
        <v>2</v>
      </c>
      <c r="E846" s="763">
        <f t="shared" ca="1" si="200"/>
        <v>1</v>
      </c>
      <c r="G846" s="628"/>
      <c r="H846" s="766" t="s">
        <v>368</v>
      </c>
      <c r="I846" s="629" t="str">
        <f t="shared" ca="1" si="201"/>
        <v>12.002.002.001</v>
      </c>
      <c r="J846" s="654" t="s">
        <v>951</v>
      </c>
      <c r="K846" s="630" t="s">
        <v>1</v>
      </c>
      <c r="L846" s="631">
        <f>ARQ.!C151</f>
        <v>5.44</v>
      </c>
      <c r="M846" s="631">
        <f>VLOOKUP(J846,Preços!$C$7:$F$498,4,FALSE)</f>
        <v>64</v>
      </c>
      <c r="N846" s="646">
        <f>L846*M846</f>
        <v>348.16</v>
      </c>
      <c r="O846" s="767"/>
      <c r="P846" s="632" t="s">
        <v>333</v>
      </c>
      <c r="R846" s="742"/>
      <c r="S846" s="742"/>
    </row>
    <row r="847" spans="1:19" s="761" customFormat="1" ht="22.5" hidden="1" outlineLevel="3" x14ac:dyDescent="0.2">
      <c r="A847" s="762" t="e">
        <f ca="1">IF($H847="UNIDADE CONSTRUTIVA",OFFSET(A847,-1,0)+1,LARGE(A$3:A846,1))</f>
        <v>#NUM!</v>
      </c>
      <c r="B847" s="762">
        <f t="shared" ca="1" si="197"/>
        <v>12</v>
      </c>
      <c r="C847" s="762">
        <f t="shared" ca="1" si="198"/>
        <v>2</v>
      </c>
      <c r="D847" s="763">
        <f t="shared" ca="1" si="199"/>
        <v>2</v>
      </c>
      <c r="E847" s="763">
        <f t="shared" ca="1" si="200"/>
        <v>2</v>
      </c>
      <c r="G847" s="628"/>
      <c r="H847" s="766" t="s">
        <v>368</v>
      </c>
      <c r="I847" s="629" t="str">
        <f t="shared" ca="1" si="201"/>
        <v>12.002.002.002</v>
      </c>
      <c r="J847" s="654" t="s">
        <v>311</v>
      </c>
      <c r="K847" s="630" t="s">
        <v>3</v>
      </c>
      <c r="L847" s="631">
        <v>13.38</v>
      </c>
      <c r="M847" s="631">
        <f>VLOOKUP(J847,Preços!$C$7:$F$498,4,FALSE)</f>
        <v>36</v>
      </c>
      <c r="N847" s="646">
        <f>L847*M847</f>
        <v>481.68</v>
      </c>
      <c r="O847" s="767"/>
      <c r="P847" s="632" t="s">
        <v>333</v>
      </c>
      <c r="R847" s="742"/>
      <c r="S847" s="742"/>
    </row>
    <row r="848" spans="1:19" s="761" customFormat="1" hidden="1" outlineLevel="2" collapsed="1" x14ac:dyDescent="0.2">
      <c r="A848" s="762" t="e">
        <f ca="1">IF($H848="UNIDADE CONSTRUTIVA",OFFSET(A848,-1,0)+1,LARGE(A$3:A847,1))</f>
        <v>#NUM!</v>
      </c>
      <c r="B848" s="762">
        <f t="shared" ca="1" si="197"/>
        <v>12</v>
      </c>
      <c r="C848" s="762">
        <f t="shared" ca="1" si="198"/>
        <v>2</v>
      </c>
      <c r="D848" s="763">
        <f t="shared" ca="1" si="199"/>
        <v>3</v>
      </c>
      <c r="E848" s="763">
        <f t="shared" ca="1" si="200"/>
        <v>0</v>
      </c>
      <c r="G848" s="628"/>
      <c r="H848" s="766" t="s">
        <v>367</v>
      </c>
      <c r="I848" s="629" t="str">
        <f t="shared" ca="1" si="201"/>
        <v>12.002.003</v>
      </c>
      <c r="J848" s="654" t="s">
        <v>807</v>
      </c>
      <c r="K848" s="630"/>
      <c r="L848" s="631"/>
      <c r="M848" s="631"/>
      <c r="N848" s="646">
        <f>SUM(N849)</f>
        <v>13494.8</v>
      </c>
      <c r="O848" s="767"/>
      <c r="P848" s="632"/>
      <c r="R848" s="742"/>
      <c r="S848" s="742"/>
    </row>
    <row r="849" spans="1:19" s="761" customFormat="1" ht="22.5" hidden="1" outlineLevel="3" x14ac:dyDescent="0.2">
      <c r="A849" s="762" t="e">
        <f ca="1">IF($H849="UNIDADE CONSTRUTIVA",OFFSET(A849,-1,0)+1,LARGE(A$3:A848,1))</f>
        <v>#NUM!</v>
      </c>
      <c r="B849" s="762">
        <f t="shared" ca="1" si="197"/>
        <v>12</v>
      </c>
      <c r="C849" s="762">
        <f t="shared" ca="1" si="198"/>
        <v>2</v>
      </c>
      <c r="D849" s="763">
        <f t="shared" ca="1" si="199"/>
        <v>3</v>
      </c>
      <c r="E849" s="763">
        <f t="shared" ca="1" si="200"/>
        <v>1</v>
      </c>
      <c r="G849" s="628"/>
      <c r="H849" s="766" t="s">
        <v>368</v>
      </c>
      <c r="I849" s="629" t="str">
        <f t="shared" ca="1" si="201"/>
        <v>12.002.003.001</v>
      </c>
      <c r="J849" s="654" t="s">
        <v>950</v>
      </c>
      <c r="K849" s="630" t="s">
        <v>1</v>
      </c>
      <c r="L849" s="631">
        <f>L844</f>
        <v>613.4</v>
      </c>
      <c r="M849" s="631">
        <f>VLOOKUP(J849,Preços!$C$7:$F$498,4,FALSE)</f>
        <v>22</v>
      </c>
      <c r="N849" s="646">
        <f>L849*M849</f>
        <v>13494.8</v>
      </c>
      <c r="O849" s="767"/>
      <c r="P849" s="632" t="s">
        <v>333</v>
      </c>
      <c r="R849" s="742"/>
      <c r="S849" s="742"/>
    </row>
    <row r="850" spans="1:19" s="761" customFormat="1" ht="22.5" hidden="1" outlineLevel="1" collapsed="1" x14ac:dyDescent="0.2">
      <c r="A850" s="762" t="e">
        <f ca="1">IF($H850="UNIDADE CONSTRUTIVA",OFFSET(A850,-1,0)+1,LARGE(A$3:A795,1))</f>
        <v>#NUM!</v>
      </c>
      <c r="B850" s="762">
        <f t="shared" ca="1" si="197"/>
        <v>12</v>
      </c>
      <c r="C850" s="762">
        <f t="shared" ca="1" si="198"/>
        <v>3</v>
      </c>
      <c r="D850" s="763">
        <f t="shared" ca="1" si="199"/>
        <v>0</v>
      </c>
      <c r="E850" s="763">
        <f t="shared" ca="1" si="200"/>
        <v>1</v>
      </c>
      <c r="G850" s="628"/>
      <c r="H850" s="766" t="s">
        <v>366</v>
      </c>
      <c r="I850" s="629" t="str">
        <f t="shared" ca="1" si="201"/>
        <v>12.003</v>
      </c>
      <c r="J850" s="654" t="s">
        <v>810</v>
      </c>
      <c r="K850" s="630"/>
      <c r="L850" s="631"/>
      <c r="M850" s="631"/>
      <c r="N850" s="646">
        <f>SUM(N851,N853,N856)</f>
        <v>14170.0753</v>
      </c>
      <c r="O850" s="767"/>
      <c r="P850" s="632"/>
      <c r="R850" s="742"/>
      <c r="S850" s="742"/>
    </row>
    <row r="851" spans="1:19" s="761" customFormat="1" hidden="1" outlineLevel="2" collapsed="1" x14ac:dyDescent="0.2">
      <c r="A851" s="762" t="e">
        <f ca="1">IF($H851="UNIDADE CONSTRUTIVA",OFFSET(A851,-1,0)+1,LARGE(A$3:A850,1))</f>
        <v>#NUM!</v>
      </c>
      <c r="B851" s="762">
        <f t="shared" ca="1" si="197"/>
        <v>12</v>
      </c>
      <c r="C851" s="762">
        <f t="shared" ca="1" si="198"/>
        <v>3</v>
      </c>
      <c r="D851" s="763">
        <f t="shared" ca="1" si="199"/>
        <v>1</v>
      </c>
      <c r="E851" s="763">
        <f t="shared" ca="1" si="200"/>
        <v>0</v>
      </c>
      <c r="G851" s="628"/>
      <c r="H851" s="766" t="s">
        <v>367</v>
      </c>
      <c r="I851" s="629" t="str">
        <f t="shared" ca="1" si="201"/>
        <v>12.003.001</v>
      </c>
      <c r="J851" s="654" t="s">
        <v>218</v>
      </c>
      <c r="K851" s="630"/>
      <c r="L851" s="631"/>
      <c r="M851" s="631"/>
      <c r="N851" s="646">
        <f>SUM(N852)</f>
        <v>2548.3553000000002</v>
      </c>
      <c r="O851" s="767"/>
      <c r="P851" s="632"/>
      <c r="R851" s="742"/>
      <c r="S851" s="742"/>
    </row>
    <row r="852" spans="1:19" s="761" customFormat="1" ht="22.5" hidden="1" outlineLevel="3" x14ac:dyDescent="0.2">
      <c r="A852" s="762" t="e">
        <f ca="1">IF($H852="UNIDADE CONSTRUTIVA",OFFSET(A852,-1,0)+1,LARGE(A$3:A851,1))</f>
        <v>#NUM!</v>
      </c>
      <c r="B852" s="762">
        <f t="shared" ca="1" si="197"/>
        <v>12</v>
      </c>
      <c r="C852" s="762">
        <f t="shared" ca="1" si="198"/>
        <v>3</v>
      </c>
      <c r="D852" s="763">
        <f t="shared" ca="1" si="199"/>
        <v>1</v>
      </c>
      <c r="E852" s="763">
        <f t="shared" ca="1" si="200"/>
        <v>1</v>
      </c>
      <c r="G852" s="628"/>
      <c r="H852" s="766" t="s">
        <v>368</v>
      </c>
      <c r="I852" s="629" t="str">
        <f t="shared" ca="1" si="201"/>
        <v>12.003.001.001</v>
      </c>
      <c r="J852" s="654" t="s">
        <v>276</v>
      </c>
      <c r="K852" s="630" t="s">
        <v>1</v>
      </c>
      <c r="L852" s="631">
        <f>ARQ.!C223</f>
        <v>490.54</v>
      </c>
      <c r="M852" s="631">
        <f>VLOOKUP(J852,Preços!$C$7:$F$498,4,FALSE)</f>
        <v>5.1950000000000003</v>
      </c>
      <c r="N852" s="646">
        <f>L852*M852</f>
        <v>2548.3553000000002</v>
      </c>
      <c r="O852" s="767"/>
      <c r="P852" s="632" t="s">
        <v>333</v>
      </c>
      <c r="R852" s="742"/>
      <c r="S852" s="742"/>
    </row>
    <row r="853" spans="1:19" s="761" customFormat="1" hidden="1" outlineLevel="2" collapsed="1" x14ac:dyDescent="0.2">
      <c r="A853" s="762" t="e">
        <f ca="1">IF($H853="UNIDADE CONSTRUTIVA",OFFSET(A853,-1,0)+1,LARGE(A$3:A852,1))</f>
        <v>#NUM!</v>
      </c>
      <c r="B853" s="762">
        <f t="shared" ca="1" si="197"/>
        <v>12</v>
      </c>
      <c r="C853" s="762">
        <f t="shared" ca="1" si="198"/>
        <v>3</v>
      </c>
      <c r="D853" s="763">
        <f t="shared" ca="1" si="199"/>
        <v>2</v>
      </c>
      <c r="E853" s="763">
        <f t="shared" ca="1" si="200"/>
        <v>0</v>
      </c>
      <c r="G853" s="628"/>
      <c r="H853" s="766" t="s">
        <v>367</v>
      </c>
      <c r="I853" s="629" t="str">
        <f t="shared" ca="1" si="201"/>
        <v>12.003.002</v>
      </c>
      <c r="J853" s="654" t="s">
        <v>219</v>
      </c>
      <c r="K853" s="630"/>
      <c r="L853" s="631"/>
      <c r="M853" s="631"/>
      <c r="N853" s="646">
        <f>SUM(N854:N855)</f>
        <v>829.84</v>
      </c>
      <c r="O853" s="767"/>
      <c r="P853" s="632"/>
      <c r="R853" s="742"/>
      <c r="S853" s="742"/>
    </row>
    <row r="854" spans="1:19" s="761" customFormat="1" ht="22.5" hidden="1" outlineLevel="3" x14ac:dyDescent="0.2">
      <c r="A854" s="762" t="e">
        <f ca="1">IF($H854="UNIDADE CONSTRUTIVA",OFFSET(A854,-1,0)+1,LARGE(A$3:A853,1))</f>
        <v>#NUM!</v>
      </c>
      <c r="B854" s="762">
        <f t="shared" ca="1" si="197"/>
        <v>12</v>
      </c>
      <c r="C854" s="762">
        <f t="shared" ca="1" si="198"/>
        <v>3</v>
      </c>
      <c r="D854" s="763">
        <f t="shared" ca="1" si="199"/>
        <v>2</v>
      </c>
      <c r="E854" s="763">
        <f t="shared" ca="1" si="200"/>
        <v>1</v>
      </c>
      <c r="G854" s="628"/>
      <c r="H854" s="766" t="s">
        <v>368</v>
      </c>
      <c r="I854" s="629" t="str">
        <f t="shared" ca="1" si="201"/>
        <v>12.003.002.001</v>
      </c>
      <c r="J854" s="654" t="s">
        <v>951</v>
      </c>
      <c r="K854" s="630" t="s">
        <v>1</v>
      </c>
      <c r="L854" s="631">
        <f>ARQ.!C225</f>
        <v>5.44</v>
      </c>
      <c r="M854" s="631">
        <f>VLOOKUP(J854,Preços!$C$7:$F$498,4,FALSE)</f>
        <v>64</v>
      </c>
      <c r="N854" s="646">
        <f>L854*M854</f>
        <v>348.16</v>
      </c>
      <c r="O854" s="767"/>
      <c r="P854" s="632" t="s">
        <v>333</v>
      </c>
      <c r="R854" s="742"/>
      <c r="S854" s="742"/>
    </row>
    <row r="855" spans="1:19" s="761" customFormat="1" ht="22.5" hidden="1" outlineLevel="3" x14ac:dyDescent="0.2">
      <c r="A855" s="762" t="e">
        <f ca="1">IF($H855="UNIDADE CONSTRUTIVA",OFFSET(A855,-1,0)+1,LARGE(A$3:A854,1))</f>
        <v>#NUM!</v>
      </c>
      <c r="B855" s="762">
        <f t="shared" ca="1" si="197"/>
        <v>12</v>
      </c>
      <c r="C855" s="762">
        <f t="shared" ca="1" si="198"/>
        <v>3</v>
      </c>
      <c r="D855" s="763">
        <f t="shared" ca="1" si="199"/>
        <v>2</v>
      </c>
      <c r="E855" s="763">
        <f t="shared" ca="1" si="200"/>
        <v>2</v>
      </c>
      <c r="G855" s="628"/>
      <c r="H855" s="766" t="s">
        <v>368</v>
      </c>
      <c r="I855" s="629" t="str">
        <f t="shared" ca="1" si="201"/>
        <v>12.003.002.002</v>
      </c>
      <c r="J855" s="654" t="s">
        <v>311</v>
      </c>
      <c r="K855" s="630" t="s">
        <v>3</v>
      </c>
      <c r="L855" s="631">
        <v>13.38</v>
      </c>
      <c r="M855" s="631">
        <f>VLOOKUP(J855,Preços!$C$7:$F$498,4,FALSE)</f>
        <v>36</v>
      </c>
      <c r="N855" s="646">
        <f>L855*M855</f>
        <v>481.68</v>
      </c>
      <c r="O855" s="767"/>
      <c r="P855" s="632" t="s">
        <v>333</v>
      </c>
      <c r="R855" s="742"/>
      <c r="S855" s="742"/>
    </row>
    <row r="856" spans="1:19" s="761" customFormat="1" hidden="1" outlineLevel="2" collapsed="1" x14ac:dyDescent="0.2">
      <c r="A856" s="762" t="e">
        <f ca="1">IF($H856="UNIDADE CONSTRUTIVA",OFFSET(A856,-1,0)+1,LARGE(A$3:A855,1))</f>
        <v>#NUM!</v>
      </c>
      <c r="B856" s="762">
        <f t="shared" ca="1" si="197"/>
        <v>12</v>
      </c>
      <c r="C856" s="762">
        <f t="shared" ca="1" si="198"/>
        <v>3</v>
      </c>
      <c r="D856" s="763">
        <f t="shared" ca="1" si="199"/>
        <v>3</v>
      </c>
      <c r="E856" s="763">
        <f t="shared" ca="1" si="200"/>
        <v>0</v>
      </c>
      <c r="G856" s="628"/>
      <c r="H856" s="766" t="s">
        <v>367</v>
      </c>
      <c r="I856" s="629" t="str">
        <f t="shared" ca="1" si="201"/>
        <v>12.003.003</v>
      </c>
      <c r="J856" s="654" t="s">
        <v>807</v>
      </c>
      <c r="K856" s="630"/>
      <c r="L856" s="631"/>
      <c r="M856" s="631"/>
      <c r="N856" s="646">
        <f>SUM(N857)</f>
        <v>10791.880000000001</v>
      </c>
      <c r="O856" s="767"/>
      <c r="P856" s="632"/>
      <c r="R856" s="742"/>
      <c r="S856" s="742"/>
    </row>
    <row r="857" spans="1:19" s="761" customFormat="1" ht="22.5" hidden="1" outlineLevel="3" x14ac:dyDescent="0.2">
      <c r="A857" s="762" t="e">
        <f ca="1">IF($H857="UNIDADE CONSTRUTIVA",OFFSET(A857,-1,0)+1,LARGE(A$3:A856,1))</f>
        <v>#NUM!</v>
      </c>
      <c r="B857" s="762">
        <f t="shared" ca="1" si="197"/>
        <v>12</v>
      </c>
      <c r="C857" s="762">
        <f t="shared" ca="1" si="198"/>
        <v>3</v>
      </c>
      <c r="D857" s="763">
        <f t="shared" ca="1" si="199"/>
        <v>3</v>
      </c>
      <c r="E857" s="763">
        <f t="shared" ca="1" si="200"/>
        <v>1</v>
      </c>
      <c r="G857" s="628"/>
      <c r="H857" s="766" t="s">
        <v>368</v>
      </c>
      <c r="I857" s="629" t="str">
        <f t="shared" ca="1" si="201"/>
        <v>12.003.003.001</v>
      </c>
      <c r="J857" s="654" t="s">
        <v>950</v>
      </c>
      <c r="K857" s="630" t="s">
        <v>1</v>
      </c>
      <c r="L857" s="631">
        <f>L852</f>
        <v>490.54</v>
      </c>
      <c r="M857" s="631">
        <f>VLOOKUP(J857,Preços!$C$7:$F$498,4,FALSE)</f>
        <v>22</v>
      </c>
      <c r="N857" s="646">
        <f>L857*M857</f>
        <v>10791.880000000001</v>
      </c>
      <c r="O857" s="767"/>
      <c r="P857" s="632" t="s">
        <v>333</v>
      </c>
      <c r="R857" s="742"/>
      <c r="S857" s="742"/>
    </row>
    <row r="858" spans="1:19" s="761" customFormat="1" ht="22.5" hidden="1" outlineLevel="1" collapsed="1" x14ac:dyDescent="0.2">
      <c r="A858" s="762" t="e">
        <f ca="1">IF($H858="UNIDADE CONSTRUTIVA",OFFSET(A858,-1,0)+1,LARGE(A$3:A804,1))</f>
        <v>#NUM!</v>
      </c>
      <c r="B858" s="762">
        <f t="shared" ca="1" si="197"/>
        <v>12</v>
      </c>
      <c r="C858" s="762">
        <f t="shared" ca="1" si="198"/>
        <v>4</v>
      </c>
      <c r="D858" s="763">
        <f t="shared" ca="1" si="199"/>
        <v>0</v>
      </c>
      <c r="E858" s="763">
        <f t="shared" ca="1" si="200"/>
        <v>1</v>
      </c>
      <c r="G858" s="628"/>
      <c r="H858" s="766" t="s">
        <v>366</v>
      </c>
      <c r="I858" s="629" t="str">
        <f t="shared" ca="1" si="201"/>
        <v>12.004</v>
      </c>
      <c r="J858" s="654" t="s">
        <v>811</v>
      </c>
      <c r="K858" s="630"/>
      <c r="L858" s="631"/>
      <c r="M858" s="631"/>
      <c r="N858" s="646">
        <f>SUM(N859,N861,N864)</f>
        <v>17872.67455</v>
      </c>
      <c r="O858" s="767"/>
      <c r="P858" s="632"/>
      <c r="R858" s="742"/>
      <c r="S858" s="742"/>
    </row>
    <row r="859" spans="1:19" s="761" customFormat="1" hidden="1" outlineLevel="2" collapsed="1" x14ac:dyDescent="0.2">
      <c r="A859" s="762" t="e">
        <f ca="1">IF($H859="UNIDADE CONSTRUTIVA",OFFSET(A859,-1,0)+1,LARGE(A$3:A858,1))</f>
        <v>#NUM!</v>
      </c>
      <c r="B859" s="762">
        <f t="shared" ca="1" si="197"/>
        <v>12</v>
      </c>
      <c r="C859" s="762">
        <f t="shared" ca="1" si="198"/>
        <v>4</v>
      </c>
      <c r="D859" s="763">
        <f t="shared" ca="1" si="199"/>
        <v>1</v>
      </c>
      <c r="E859" s="763">
        <f t="shared" ca="1" si="200"/>
        <v>0</v>
      </c>
      <c r="G859" s="628"/>
      <c r="H859" s="766" t="s">
        <v>367</v>
      </c>
      <c r="I859" s="629" t="str">
        <f t="shared" ca="1" si="201"/>
        <v>12.004.001</v>
      </c>
      <c r="J859" s="654" t="s">
        <v>218</v>
      </c>
      <c r="K859" s="630"/>
      <c r="L859" s="631"/>
      <c r="M859" s="631"/>
      <c r="N859" s="646">
        <f>SUM(N860)</f>
        <v>3255.6545500000007</v>
      </c>
      <c r="O859" s="767"/>
      <c r="P859" s="632"/>
      <c r="R859" s="742"/>
      <c r="S859" s="742"/>
    </row>
    <row r="860" spans="1:19" s="761" customFormat="1" ht="22.5" hidden="1" outlineLevel="3" x14ac:dyDescent="0.2">
      <c r="A860" s="762" t="e">
        <f ca="1">IF($H860="UNIDADE CONSTRUTIVA",OFFSET(A860,-1,0)+1,LARGE(A$3:A859,1))</f>
        <v>#NUM!</v>
      </c>
      <c r="B860" s="762">
        <f t="shared" ca="1" si="197"/>
        <v>12</v>
      </c>
      <c r="C860" s="762">
        <f t="shared" ca="1" si="198"/>
        <v>4</v>
      </c>
      <c r="D860" s="763">
        <f t="shared" ca="1" si="199"/>
        <v>1</v>
      </c>
      <c r="E860" s="763">
        <f t="shared" ca="1" si="200"/>
        <v>1</v>
      </c>
      <c r="G860" s="628"/>
      <c r="H860" s="766" t="s">
        <v>368</v>
      </c>
      <c r="I860" s="629" t="str">
        <f t="shared" ca="1" si="201"/>
        <v>12.004.001.001</v>
      </c>
      <c r="J860" s="654" t="s">
        <v>276</v>
      </c>
      <c r="K860" s="630" t="s">
        <v>1</v>
      </c>
      <c r="L860" s="631">
        <f>ARQ.!C299</f>
        <v>626.69000000000005</v>
      </c>
      <c r="M860" s="631">
        <f>VLOOKUP(J860,Preços!$C$7:$F$498,4,FALSE)</f>
        <v>5.1950000000000003</v>
      </c>
      <c r="N860" s="646">
        <f>L860*M860</f>
        <v>3255.6545500000007</v>
      </c>
      <c r="O860" s="767"/>
      <c r="P860" s="632" t="s">
        <v>333</v>
      </c>
      <c r="R860" s="742"/>
      <c r="S860" s="742"/>
    </row>
    <row r="861" spans="1:19" s="761" customFormat="1" hidden="1" outlineLevel="2" collapsed="1" x14ac:dyDescent="0.2">
      <c r="A861" s="762" t="e">
        <f ca="1">IF($H861="UNIDADE CONSTRUTIVA",OFFSET(A861,-1,0)+1,LARGE(A$3:A860,1))</f>
        <v>#NUM!</v>
      </c>
      <c r="B861" s="762">
        <f t="shared" ca="1" si="197"/>
        <v>12</v>
      </c>
      <c r="C861" s="762">
        <f t="shared" ca="1" si="198"/>
        <v>4</v>
      </c>
      <c r="D861" s="763">
        <f t="shared" ca="1" si="199"/>
        <v>2</v>
      </c>
      <c r="E861" s="763">
        <f t="shared" ca="1" si="200"/>
        <v>0</v>
      </c>
      <c r="G861" s="628"/>
      <c r="H861" s="766" t="s">
        <v>367</v>
      </c>
      <c r="I861" s="629" t="str">
        <f t="shared" ca="1" si="201"/>
        <v>12.004.002</v>
      </c>
      <c r="J861" s="654" t="s">
        <v>219</v>
      </c>
      <c r="K861" s="630"/>
      <c r="L861" s="631"/>
      <c r="M861" s="631"/>
      <c r="N861" s="646">
        <f>SUM(N862:N863)</f>
        <v>829.84</v>
      </c>
      <c r="O861" s="767"/>
      <c r="P861" s="632"/>
      <c r="R861" s="742"/>
      <c r="S861" s="742"/>
    </row>
    <row r="862" spans="1:19" s="761" customFormat="1" ht="22.5" hidden="1" outlineLevel="3" x14ac:dyDescent="0.2">
      <c r="A862" s="762" t="e">
        <f ca="1">IF($H862="UNIDADE CONSTRUTIVA",OFFSET(A862,-1,0)+1,LARGE(A$3:A861,1))</f>
        <v>#NUM!</v>
      </c>
      <c r="B862" s="762">
        <f t="shared" ref="B862:B890" ca="1" si="202">IF(H862="UNIDADE CONSTRUTIVA",0,IF(H862="CÉLULA CONSTRUTIVA",OFFSET(B862,-1,0)+1,OFFSET(B862,-1,0)))</f>
        <v>12</v>
      </c>
      <c r="C862" s="762">
        <f t="shared" ref="C862:C890" ca="1" si="203">IF(H862="CÉLULA CONSTRUTIVA",0,IF(H862="ETAPA",OFFSET(C862,-1,0)+1,OFFSET(C862,-1,0)))</f>
        <v>4</v>
      </c>
      <c r="D862" s="763">
        <f t="shared" ref="D862:D890" ca="1" si="204">IF(H862="ETAPA",0,IF(H862="SUBETAPA",OFFSET(D862,-1,0)+1,OFFSET(D862,-1,0)))</f>
        <v>2</v>
      </c>
      <c r="E862" s="763">
        <f t="shared" ref="E862:E890" ca="1" si="205">IF(H862="Subetapa",0,IF(H862="serviço",OFFSET(E862,-1,0)+1,OFFSET(E862,-1,0)))</f>
        <v>1</v>
      </c>
      <c r="G862" s="628"/>
      <c r="H862" s="766" t="s">
        <v>368</v>
      </c>
      <c r="I862" s="629" t="str">
        <f t="shared" ref="I862:I890" ca="1" si="206">IF(H862="Unidade Construtiva",TEXT(A862,"00"),IF(H862="Célula Construtiva",TEXT(B862,"00"),IF(H862="Etapa",CONCATENATE(TEXT(B862,"00"),".",TEXT(C862,"000")),IF(H862="Subetapa",CONCATENATE(TEXT(B862,"00"),".",TEXT(C862,"000"),".",TEXT(D862,"000")),IF(H862="Serviço",CONCATENATE(TEXT(B862,"00"),".",TEXT(C862,"000"),".",TEXT(D862,"000"),".",TEXT(E862,"000")),"")))))</f>
        <v>12.004.002.001</v>
      </c>
      <c r="J862" s="654" t="s">
        <v>951</v>
      </c>
      <c r="K862" s="630" t="s">
        <v>1</v>
      </c>
      <c r="L862" s="631">
        <f>ARQ.!C301</f>
        <v>5.44</v>
      </c>
      <c r="M862" s="631">
        <f>VLOOKUP(J862,Preços!$C$7:$F$498,4,FALSE)</f>
        <v>64</v>
      </c>
      <c r="N862" s="646">
        <f>L862*M862</f>
        <v>348.16</v>
      </c>
      <c r="O862" s="767"/>
      <c r="P862" s="632" t="s">
        <v>333</v>
      </c>
      <c r="R862" s="742"/>
      <c r="S862" s="742"/>
    </row>
    <row r="863" spans="1:19" s="761" customFormat="1" ht="22.5" hidden="1" outlineLevel="3" x14ac:dyDescent="0.2">
      <c r="A863" s="762" t="e">
        <f ca="1">IF($H863="UNIDADE CONSTRUTIVA",OFFSET(A863,-1,0)+1,LARGE(A$3:A862,1))</f>
        <v>#NUM!</v>
      </c>
      <c r="B863" s="762">
        <f t="shared" ca="1" si="202"/>
        <v>12</v>
      </c>
      <c r="C863" s="762">
        <f t="shared" ca="1" si="203"/>
        <v>4</v>
      </c>
      <c r="D863" s="763">
        <f t="shared" ca="1" si="204"/>
        <v>2</v>
      </c>
      <c r="E863" s="763">
        <f t="shared" ca="1" si="205"/>
        <v>2</v>
      </c>
      <c r="G863" s="628"/>
      <c r="H863" s="766" t="s">
        <v>368</v>
      </c>
      <c r="I863" s="629" t="str">
        <f t="shared" ca="1" si="206"/>
        <v>12.004.002.002</v>
      </c>
      <c r="J863" s="654" t="s">
        <v>311</v>
      </c>
      <c r="K863" s="630" t="s">
        <v>3</v>
      </c>
      <c r="L863" s="631">
        <v>13.38</v>
      </c>
      <c r="M863" s="631">
        <f>VLOOKUP(J863,Preços!$C$7:$F$498,4,FALSE)</f>
        <v>36</v>
      </c>
      <c r="N863" s="646">
        <f>L863*M863</f>
        <v>481.68</v>
      </c>
      <c r="O863" s="767"/>
      <c r="P863" s="632" t="s">
        <v>333</v>
      </c>
      <c r="R863" s="742"/>
      <c r="S863" s="742"/>
    </row>
    <row r="864" spans="1:19" s="761" customFormat="1" hidden="1" outlineLevel="2" collapsed="1" x14ac:dyDescent="0.2">
      <c r="A864" s="762" t="e">
        <f ca="1">IF($H864="UNIDADE CONSTRUTIVA",OFFSET(A864,-1,0)+1,LARGE(A$3:A863,1))</f>
        <v>#NUM!</v>
      </c>
      <c r="B864" s="762">
        <f t="shared" ca="1" si="202"/>
        <v>12</v>
      </c>
      <c r="C864" s="762">
        <f t="shared" ca="1" si="203"/>
        <v>4</v>
      </c>
      <c r="D864" s="763">
        <f t="shared" ca="1" si="204"/>
        <v>3</v>
      </c>
      <c r="E864" s="763">
        <f t="shared" ca="1" si="205"/>
        <v>0</v>
      </c>
      <c r="G864" s="628"/>
      <c r="H864" s="766" t="s">
        <v>367</v>
      </c>
      <c r="I864" s="629" t="str">
        <f t="shared" ca="1" si="206"/>
        <v>12.004.003</v>
      </c>
      <c r="J864" s="654" t="s">
        <v>807</v>
      </c>
      <c r="K864" s="630"/>
      <c r="L864" s="631"/>
      <c r="M864" s="631"/>
      <c r="N864" s="646">
        <f>SUM(N865)</f>
        <v>13787.18</v>
      </c>
      <c r="O864" s="767"/>
      <c r="P864" s="632"/>
      <c r="R864" s="742"/>
      <c r="S864" s="742"/>
    </row>
    <row r="865" spans="1:19" s="761" customFormat="1" ht="22.5" hidden="1" outlineLevel="3" x14ac:dyDescent="0.2">
      <c r="A865" s="762" t="e">
        <f ca="1">IF($H865="UNIDADE CONSTRUTIVA",OFFSET(A865,-1,0)+1,LARGE(A$3:A864,1))</f>
        <v>#NUM!</v>
      </c>
      <c r="B865" s="762">
        <f t="shared" ca="1" si="202"/>
        <v>12</v>
      </c>
      <c r="C865" s="762">
        <f t="shared" ca="1" si="203"/>
        <v>4</v>
      </c>
      <c r="D865" s="763">
        <f t="shared" ca="1" si="204"/>
        <v>3</v>
      </c>
      <c r="E865" s="763">
        <f t="shared" ca="1" si="205"/>
        <v>1</v>
      </c>
      <c r="G865" s="628"/>
      <c r="H865" s="766" t="s">
        <v>368</v>
      </c>
      <c r="I865" s="629" t="str">
        <f t="shared" ca="1" si="206"/>
        <v>12.004.003.001</v>
      </c>
      <c r="J865" s="654" t="s">
        <v>950</v>
      </c>
      <c r="K865" s="630" t="s">
        <v>1</v>
      </c>
      <c r="L865" s="631">
        <f>L860</f>
        <v>626.69000000000005</v>
      </c>
      <c r="M865" s="631">
        <f>VLOOKUP(J865,Preços!$C$7:$F$498,4,FALSE)</f>
        <v>22</v>
      </c>
      <c r="N865" s="646">
        <f>L865*M865</f>
        <v>13787.18</v>
      </c>
      <c r="O865" s="767"/>
      <c r="P865" s="632" t="s">
        <v>333</v>
      </c>
      <c r="R865" s="742"/>
      <c r="S865" s="742"/>
    </row>
    <row r="866" spans="1:19" s="761" customFormat="1" ht="22.5" hidden="1" outlineLevel="1" collapsed="1" x14ac:dyDescent="0.2">
      <c r="A866" s="762" t="e">
        <f ca="1">IF($H866="UNIDADE CONSTRUTIVA",OFFSET(A866,-1,0)+1,LARGE(A$3:A814,1))</f>
        <v>#NUM!</v>
      </c>
      <c r="B866" s="762">
        <f t="shared" ca="1" si="202"/>
        <v>12</v>
      </c>
      <c r="C866" s="762">
        <f t="shared" ca="1" si="203"/>
        <v>5</v>
      </c>
      <c r="D866" s="763">
        <f t="shared" ca="1" si="204"/>
        <v>0</v>
      </c>
      <c r="E866" s="763">
        <f t="shared" ca="1" si="205"/>
        <v>1</v>
      </c>
      <c r="G866" s="628"/>
      <c r="H866" s="766" t="s">
        <v>366</v>
      </c>
      <c r="I866" s="629" t="str">
        <f t="shared" ca="1" si="206"/>
        <v>12.005</v>
      </c>
      <c r="J866" s="654" t="s">
        <v>812</v>
      </c>
      <c r="K866" s="630"/>
      <c r="L866" s="631"/>
      <c r="M866" s="631"/>
      <c r="N866" s="646">
        <f>SUM(N867,N869,N872)</f>
        <v>20285.8295</v>
      </c>
      <c r="O866" s="767"/>
      <c r="P866" s="632"/>
      <c r="R866" s="742"/>
      <c r="S866" s="742"/>
    </row>
    <row r="867" spans="1:19" s="761" customFormat="1" hidden="1" outlineLevel="2" collapsed="1" x14ac:dyDescent="0.2">
      <c r="A867" s="762" t="e">
        <f ca="1">IF($H867="UNIDADE CONSTRUTIVA",OFFSET(A867,-1,0)+1,LARGE(A$3:A866,1))</f>
        <v>#NUM!</v>
      </c>
      <c r="B867" s="762">
        <f t="shared" ca="1" si="202"/>
        <v>12</v>
      </c>
      <c r="C867" s="762">
        <f t="shared" ca="1" si="203"/>
        <v>5</v>
      </c>
      <c r="D867" s="763">
        <f t="shared" ca="1" si="204"/>
        <v>1</v>
      </c>
      <c r="E867" s="763">
        <f t="shared" ca="1" si="205"/>
        <v>0</v>
      </c>
      <c r="G867" s="628"/>
      <c r="H867" s="766" t="s">
        <v>367</v>
      </c>
      <c r="I867" s="629" t="str">
        <f t="shared" ca="1" si="206"/>
        <v>12.005.001</v>
      </c>
      <c r="J867" s="654" t="s">
        <v>218</v>
      </c>
      <c r="K867" s="630"/>
      <c r="L867" s="631"/>
      <c r="M867" s="631"/>
      <c r="N867" s="646">
        <f>SUM(N868)</f>
        <v>218.70950000000002</v>
      </c>
      <c r="O867" s="767"/>
      <c r="P867" s="632"/>
      <c r="R867" s="742"/>
      <c r="S867" s="742"/>
    </row>
    <row r="868" spans="1:19" s="761" customFormat="1" ht="22.5" hidden="1" outlineLevel="3" x14ac:dyDescent="0.2">
      <c r="A868" s="762" t="e">
        <f ca="1">IF($H868="UNIDADE CONSTRUTIVA",OFFSET(A868,-1,0)+1,LARGE(A$3:A867,1))</f>
        <v>#NUM!</v>
      </c>
      <c r="B868" s="762">
        <f t="shared" ca="1" si="202"/>
        <v>12</v>
      </c>
      <c r="C868" s="762">
        <f t="shared" ca="1" si="203"/>
        <v>5</v>
      </c>
      <c r="D868" s="763">
        <f t="shared" ca="1" si="204"/>
        <v>1</v>
      </c>
      <c r="E868" s="763">
        <f t="shared" ca="1" si="205"/>
        <v>1</v>
      </c>
      <c r="G868" s="628"/>
      <c r="H868" s="766" t="s">
        <v>368</v>
      </c>
      <c r="I868" s="629" t="str">
        <f t="shared" ca="1" si="206"/>
        <v>12.005.001.001</v>
      </c>
      <c r="J868" s="654" t="s">
        <v>276</v>
      </c>
      <c r="K868" s="630" t="s">
        <v>1</v>
      </c>
      <c r="L868" s="631">
        <f>ARQ.!C388</f>
        <v>42.1</v>
      </c>
      <c r="M868" s="631">
        <f>VLOOKUP(J868,Preços!$C$7:$F$498,4,FALSE)</f>
        <v>5.1950000000000003</v>
      </c>
      <c r="N868" s="646">
        <f>L868*M868</f>
        <v>218.70950000000002</v>
      </c>
      <c r="O868" s="767"/>
      <c r="P868" s="632" t="s">
        <v>333</v>
      </c>
      <c r="R868" s="742"/>
      <c r="S868" s="742"/>
    </row>
    <row r="869" spans="1:19" s="761" customFormat="1" hidden="1" outlineLevel="2" collapsed="1" x14ac:dyDescent="0.2">
      <c r="A869" s="762" t="e">
        <f ca="1">IF($H869="UNIDADE CONSTRUTIVA",OFFSET(A869,-1,0)+1,LARGE(A$3:A868,1))</f>
        <v>#NUM!</v>
      </c>
      <c r="B869" s="762">
        <f t="shared" ca="1" si="202"/>
        <v>12</v>
      </c>
      <c r="C869" s="762">
        <f t="shared" ca="1" si="203"/>
        <v>5</v>
      </c>
      <c r="D869" s="763">
        <f t="shared" ca="1" si="204"/>
        <v>2</v>
      </c>
      <c r="E869" s="763">
        <f t="shared" ca="1" si="205"/>
        <v>0</v>
      </c>
      <c r="G869" s="628"/>
      <c r="H869" s="766" t="s">
        <v>367</v>
      </c>
      <c r="I869" s="629" t="str">
        <f t="shared" ca="1" si="206"/>
        <v>12.005.002</v>
      </c>
      <c r="J869" s="654" t="s">
        <v>219</v>
      </c>
      <c r="K869" s="630"/>
      <c r="L869" s="631"/>
      <c r="M869" s="631"/>
      <c r="N869" s="646">
        <f>SUM(N870:N871)</f>
        <v>19140.919999999998</v>
      </c>
      <c r="O869" s="767"/>
      <c r="P869" s="632"/>
      <c r="R869" s="742"/>
      <c r="S869" s="742"/>
    </row>
    <row r="870" spans="1:19" s="761" customFormat="1" ht="22.5" hidden="1" outlineLevel="3" x14ac:dyDescent="0.2">
      <c r="A870" s="762" t="e">
        <f ca="1">IF($H870="UNIDADE CONSTRUTIVA",OFFSET(A870,-1,0)+1,LARGE(A$3:A869,1))</f>
        <v>#NUM!</v>
      </c>
      <c r="B870" s="762">
        <f t="shared" ca="1" si="202"/>
        <v>12</v>
      </c>
      <c r="C870" s="762">
        <f t="shared" ca="1" si="203"/>
        <v>5</v>
      </c>
      <c r="D870" s="763">
        <f t="shared" ca="1" si="204"/>
        <v>2</v>
      </c>
      <c r="E870" s="763">
        <f t="shared" ca="1" si="205"/>
        <v>1</v>
      </c>
      <c r="G870" s="628"/>
      <c r="H870" s="766" t="s">
        <v>368</v>
      </c>
      <c r="I870" s="629" t="str">
        <f t="shared" ca="1" si="206"/>
        <v>12.005.002.001</v>
      </c>
      <c r="J870" s="654" t="s">
        <v>951</v>
      </c>
      <c r="K870" s="630" t="s">
        <v>1</v>
      </c>
      <c r="L870" s="631">
        <f>ARQ.!C390</f>
        <v>193.76</v>
      </c>
      <c r="M870" s="631">
        <f>VLOOKUP(J870,Preços!$C$7:$F$498,4,FALSE)</f>
        <v>64</v>
      </c>
      <c r="N870" s="646">
        <f>L870*M870</f>
        <v>12400.64</v>
      </c>
      <c r="O870" s="767"/>
      <c r="P870" s="632" t="s">
        <v>333</v>
      </c>
      <c r="R870" s="742"/>
      <c r="S870" s="742"/>
    </row>
    <row r="871" spans="1:19" s="761" customFormat="1" ht="22.5" hidden="1" outlineLevel="3" x14ac:dyDescent="0.2">
      <c r="A871" s="762" t="e">
        <f ca="1">IF($H871="UNIDADE CONSTRUTIVA",OFFSET(A871,-1,0)+1,LARGE(A$3:A870,1))</f>
        <v>#NUM!</v>
      </c>
      <c r="B871" s="762">
        <f t="shared" ca="1" si="202"/>
        <v>12</v>
      </c>
      <c r="C871" s="762">
        <f t="shared" ca="1" si="203"/>
        <v>5</v>
      </c>
      <c r="D871" s="763">
        <f t="shared" ca="1" si="204"/>
        <v>2</v>
      </c>
      <c r="E871" s="763">
        <f t="shared" ca="1" si="205"/>
        <v>2</v>
      </c>
      <c r="G871" s="628"/>
      <c r="H871" s="766" t="s">
        <v>368</v>
      </c>
      <c r="I871" s="629" t="str">
        <f t="shared" ca="1" si="206"/>
        <v>12.005.002.002</v>
      </c>
      <c r="J871" s="654" t="s">
        <v>311</v>
      </c>
      <c r="K871" s="630" t="s">
        <v>3</v>
      </c>
      <c r="L871" s="631">
        <v>187.23</v>
      </c>
      <c r="M871" s="631">
        <f>VLOOKUP(J871,Preços!$C$7:$F$498,4,FALSE)</f>
        <v>36</v>
      </c>
      <c r="N871" s="646">
        <f>L871*M871</f>
        <v>6740.28</v>
      </c>
      <c r="O871" s="767"/>
      <c r="P871" s="632" t="s">
        <v>333</v>
      </c>
      <c r="R871" s="742"/>
      <c r="S871" s="742"/>
    </row>
    <row r="872" spans="1:19" s="761" customFormat="1" hidden="1" outlineLevel="2" collapsed="1" x14ac:dyDescent="0.2">
      <c r="A872" s="762" t="e">
        <f ca="1">IF($H872="UNIDADE CONSTRUTIVA",OFFSET(A872,-1,0)+1,LARGE(A$3:A871,1))</f>
        <v>#NUM!</v>
      </c>
      <c r="B872" s="762">
        <f t="shared" ca="1" si="202"/>
        <v>12</v>
      </c>
      <c r="C872" s="762">
        <f t="shared" ca="1" si="203"/>
        <v>5</v>
      </c>
      <c r="D872" s="763">
        <f t="shared" ca="1" si="204"/>
        <v>3</v>
      </c>
      <c r="E872" s="763">
        <f t="shared" ca="1" si="205"/>
        <v>0</v>
      </c>
      <c r="G872" s="628"/>
      <c r="H872" s="766" t="s">
        <v>367</v>
      </c>
      <c r="I872" s="629" t="str">
        <f t="shared" ca="1" si="206"/>
        <v>12.005.003</v>
      </c>
      <c r="J872" s="654" t="s">
        <v>807</v>
      </c>
      <c r="K872" s="630"/>
      <c r="L872" s="631"/>
      <c r="M872" s="631"/>
      <c r="N872" s="646">
        <f>SUM(N873)</f>
        <v>926.2</v>
      </c>
      <c r="O872" s="767"/>
      <c r="P872" s="632"/>
      <c r="R872" s="742"/>
      <c r="S872" s="742"/>
    </row>
    <row r="873" spans="1:19" s="761" customFormat="1" ht="22.5" hidden="1" outlineLevel="3" x14ac:dyDescent="0.2">
      <c r="A873" s="762" t="e">
        <f ca="1">IF($H873="UNIDADE CONSTRUTIVA",OFFSET(A873,-1,0)+1,LARGE(A$3:A872,1))</f>
        <v>#NUM!</v>
      </c>
      <c r="B873" s="762">
        <f t="shared" ca="1" si="202"/>
        <v>12</v>
      </c>
      <c r="C873" s="762">
        <f t="shared" ca="1" si="203"/>
        <v>5</v>
      </c>
      <c r="D873" s="763">
        <f t="shared" ca="1" si="204"/>
        <v>3</v>
      </c>
      <c r="E873" s="763">
        <f t="shared" ca="1" si="205"/>
        <v>1</v>
      </c>
      <c r="G873" s="628"/>
      <c r="H873" s="766" t="s">
        <v>368</v>
      </c>
      <c r="I873" s="629" t="str">
        <f t="shared" ca="1" si="206"/>
        <v>12.005.003.001</v>
      </c>
      <c r="J873" s="654" t="s">
        <v>950</v>
      </c>
      <c r="K873" s="630" t="s">
        <v>1</v>
      </c>
      <c r="L873" s="631">
        <f>L868</f>
        <v>42.1</v>
      </c>
      <c r="M873" s="631">
        <f>VLOOKUP(J873,Preços!$C$7:$F$498,4,FALSE)</f>
        <v>22</v>
      </c>
      <c r="N873" s="646">
        <f>L873*M873</f>
        <v>926.2</v>
      </c>
      <c r="O873" s="767"/>
      <c r="P873" s="632" t="s">
        <v>333</v>
      </c>
      <c r="R873" s="742"/>
      <c r="S873" s="742"/>
    </row>
    <row r="874" spans="1:19" s="761" customFormat="1" ht="22.5" hidden="1" outlineLevel="1" collapsed="1" x14ac:dyDescent="0.2">
      <c r="A874" s="762" t="e">
        <f ca="1">IF($H874="UNIDADE CONSTRUTIVA",OFFSET(A874,-1,0)+1,LARGE(A$3:A823,1))</f>
        <v>#NUM!</v>
      </c>
      <c r="B874" s="762">
        <f t="shared" ca="1" si="202"/>
        <v>12</v>
      </c>
      <c r="C874" s="762">
        <f t="shared" ca="1" si="203"/>
        <v>6</v>
      </c>
      <c r="D874" s="763">
        <f t="shared" ca="1" si="204"/>
        <v>0</v>
      </c>
      <c r="E874" s="763">
        <f t="shared" ca="1" si="205"/>
        <v>1</v>
      </c>
      <c r="G874" s="628"/>
      <c r="H874" s="766" t="s">
        <v>366</v>
      </c>
      <c r="I874" s="629" t="str">
        <f t="shared" ca="1" si="206"/>
        <v>12.006</v>
      </c>
      <c r="J874" s="654" t="s">
        <v>813</v>
      </c>
      <c r="K874" s="630"/>
      <c r="L874" s="631"/>
      <c r="M874" s="631"/>
      <c r="N874" s="646">
        <f ca="1">SUM(N875,N877,N880)</f>
        <v>446254.18500000006</v>
      </c>
      <c r="O874" s="767"/>
      <c r="P874" s="632"/>
      <c r="R874" s="742"/>
      <c r="S874" s="742"/>
    </row>
    <row r="875" spans="1:19" s="761" customFormat="1" hidden="1" outlineLevel="2" collapsed="1" x14ac:dyDescent="0.2">
      <c r="A875" s="762" t="e">
        <f ca="1">IF($H875="UNIDADE CONSTRUTIVA",OFFSET(A875,-1,0)+1,LARGE(A$3:A874,1))</f>
        <v>#NUM!</v>
      </c>
      <c r="B875" s="762">
        <f t="shared" ca="1" si="202"/>
        <v>12</v>
      </c>
      <c r="C875" s="762">
        <f t="shared" ca="1" si="203"/>
        <v>6</v>
      </c>
      <c r="D875" s="763">
        <f t="shared" ca="1" si="204"/>
        <v>1</v>
      </c>
      <c r="E875" s="763">
        <f t="shared" ca="1" si="205"/>
        <v>0</v>
      </c>
      <c r="G875" s="628"/>
      <c r="H875" s="766" t="s">
        <v>367</v>
      </c>
      <c r="I875" s="629" t="str">
        <f t="shared" ca="1" si="206"/>
        <v>12.006.001</v>
      </c>
      <c r="J875" s="654" t="s">
        <v>218</v>
      </c>
      <c r="K875" s="630"/>
      <c r="L875" s="631"/>
      <c r="M875" s="631"/>
      <c r="N875" s="646">
        <f ca="1">SUM(N876)</f>
        <v>3880.6650000000013</v>
      </c>
      <c r="O875" s="767"/>
      <c r="P875" s="632"/>
      <c r="R875" s="742"/>
      <c r="S875" s="742"/>
    </row>
    <row r="876" spans="1:19" s="761" customFormat="1" ht="22.5" hidden="1" outlineLevel="3" x14ac:dyDescent="0.2">
      <c r="A876" s="762" t="e">
        <f ca="1">IF($H876="UNIDADE CONSTRUTIVA",OFFSET(A876,-1,0)+1,LARGE(A$3:A875,1))</f>
        <v>#NUM!</v>
      </c>
      <c r="B876" s="762">
        <f t="shared" ca="1" si="202"/>
        <v>12</v>
      </c>
      <c r="C876" s="762">
        <f t="shared" ca="1" si="203"/>
        <v>6</v>
      </c>
      <c r="D876" s="763">
        <f t="shared" ca="1" si="204"/>
        <v>1</v>
      </c>
      <c r="E876" s="763">
        <f t="shared" ca="1" si="205"/>
        <v>1</v>
      </c>
      <c r="G876" s="628"/>
      <c r="H876" s="766" t="s">
        <v>368</v>
      </c>
      <c r="I876" s="629" t="str">
        <f t="shared" ca="1" si="206"/>
        <v>12.006.001.001</v>
      </c>
      <c r="J876" s="654" t="s">
        <v>276</v>
      </c>
      <c r="K876" s="630" t="s">
        <v>1</v>
      </c>
      <c r="L876" s="631">
        <f ca="1">ARQ.!D511</f>
        <v>747.00000000000023</v>
      </c>
      <c r="M876" s="631">
        <f>VLOOKUP(J876,Preços!$C$7:$F$498,4,FALSE)</f>
        <v>5.1950000000000003</v>
      </c>
      <c r="N876" s="646">
        <f ca="1">L876*M876</f>
        <v>3880.6650000000013</v>
      </c>
      <c r="O876" s="767"/>
      <c r="P876" s="632" t="s">
        <v>333</v>
      </c>
      <c r="R876" s="742"/>
      <c r="S876" s="742"/>
    </row>
    <row r="877" spans="1:19" s="761" customFormat="1" hidden="1" outlineLevel="2" collapsed="1" x14ac:dyDescent="0.2">
      <c r="A877" s="762" t="e">
        <f ca="1">IF($H877="UNIDADE CONSTRUTIVA",OFFSET(A877,-1,0)+1,LARGE(A$3:A876,1))</f>
        <v>#NUM!</v>
      </c>
      <c r="B877" s="762">
        <f t="shared" ca="1" si="202"/>
        <v>12</v>
      </c>
      <c r="C877" s="762">
        <f t="shared" ca="1" si="203"/>
        <v>6</v>
      </c>
      <c r="D877" s="763">
        <f t="shared" ca="1" si="204"/>
        <v>2</v>
      </c>
      <c r="E877" s="763">
        <f t="shared" ca="1" si="205"/>
        <v>0</v>
      </c>
      <c r="G877" s="628"/>
      <c r="H877" s="766" t="s">
        <v>367</v>
      </c>
      <c r="I877" s="629" t="str">
        <f t="shared" ca="1" si="206"/>
        <v>12.006.002</v>
      </c>
      <c r="J877" s="654" t="s">
        <v>219</v>
      </c>
      <c r="K877" s="630"/>
      <c r="L877" s="631"/>
      <c r="M877" s="631"/>
      <c r="N877" s="646">
        <f ca="1">SUM(N878:N879)</f>
        <v>425939.52000000008</v>
      </c>
      <c r="O877" s="767"/>
      <c r="P877" s="632"/>
      <c r="R877" s="742"/>
      <c r="S877" s="742"/>
    </row>
    <row r="878" spans="1:19" s="761" customFormat="1" ht="22.5" hidden="1" outlineLevel="3" x14ac:dyDescent="0.2">
      <c r="A878" s="762" t="e">
        <f ca="1">IF($H878="UNIDADE CONSTRUTIVA",OFFSET(A878,-1,0)+1,LARGE(A$3:A877,1))</f>
        <v>#NUM!</v>
      </c>
      <c r="B878" s="762">
        <f t="shared" ca="1" si="202"/>
        <v>12</v>
      </c>
      <c r="C878" s="762">
        <f t="shared" ca="1" si="203"/>
        <v>6</v>
      </c>
      <c r="D878" s="763">
        <f t="shared" ca="1" si="204"/>
        <v>2</v>
      </c>
      <c r="E878" s="763">
        <f t="shared" ca="1" si="205"/>
        <v>1</v>
      </c>
      <c r="G878" s="628"/>
      <c r="H878" s="766" t="s">
        <v>368</v>
      </c>
      <c r="I878" s="629" t="str">
        <f t="shared" ca="1" si="206"/>
        <v>12.006.002.001</v>
      </c>
      <c r="J878" s="654" t="s">
        <v>951</v>
      </c>
      <c r="K878" s="630" t="s">
        <v>1</v>
      </c>
      <c r="L878" s="631">
        <f ca="1">ARQ.!D513</f>
        <v>3757.5300000000016</v>
      </c>
      <c r="M878" s="631">
        <f>VLOOKUP(J878,Preços!$C$7:$F$498,4,FALSE)</f>
        <v>64</v>
      </c>
      <c r="N878" s="646">
        <f ca="1">L878*M878</f>
        <v>240481.9200000001</v>
      </c>
      <c r="O878" s="767"/>
      <c r="P878" s="632" t="s">
        <v>333</v>
      </c>
      <c r="R878" s="742"/>
      <c r="S878" s="742"/>
    </row>
    <row r="879" spans="1:19" s="761" customFormat="1" ht="22.5" hidden="1" outlineLevel="3" x14ac:dyDescent="0.2">
      <c r="A879" s="762" t="e">
        <f ca="1">IF($H879="UNIDADE CONSTRUTIVA",OFFSET(A879,-1,0)+1,LARGE(A$3:A878,1))</f>
        <v>#NUM!</v>
      </c>
      <c r="B879" s="762">
        <f t="shared" ca="1" si="202"/>
        <v>12</v>
      </c>
      <c r="C879" s="762">
        <f t="shared" ca="1" si="203"/>
        <v>6</v>
      </c>
      <c r="D879" s="763">
        <f t="shared" ca="1" si="204"/>
        <v>2</v>
      </c>
      <c r="E879" s="763">
        <f t="shared" ca="1" si="205"/>
        <v>2</v>
      </c>
      <c r="G879" s="628"/>
      <c r="H879" s="766" t="s">
        <v>368</v>
      </c>
      <c r="I879" s="629" t="str">
        <f t="shared" ca="1" si="206"/>
        <v>12.006.002.002</v>
      </c>
      <c r="J879" s="654" t="s">
        <v>311</v>
      </c>
      <c r="K879" s="630" t="s">
        <v>3</v>
      </c>
      <c r="L879" s="631">
        <f>20*257.58</f>
        <v>5151.5999999999995</v>
      </c>
      <c r="M879" s="631">
        <f>VLOOKUP(J879,Preços!$C$7:$F$498,4,FALSE)</f>
        <v>36</v>
      </c>
      <c r="N879" s="646">
        <f>L879*M879</f>
        <v>185457.59999999998</v>
      </c>
      <c r="O879" s="767"/>
      <c r="P879" s="632" t="s">
        <v>333</v>
      </c>
      <c r="R879" s="742"/>
      <c r="S879" s="742"/>
    </row>
    <row r="880" spans="1:19" s="761" customFormat="1" hidden="1" outlineLevel="2" collapsed="1" x14ac:dyDescent="0.2">
      <c r="A880" s="762" t="e">
        <f ca="1">IF($H880="UNIDADE CONSTRUTIVA",OFFSET(A880,-1,0)+1,LARGE(A$3:A879,1))</f>
        <v>#NUM!</v>
      </c>
      <c r="B880" s="762">
        <f t="shared" ca="1" si="202"/>
        <v>12</v>
      </c>
      <c r="C880" s="762">
        <f t="shared" ca="1" si="203"/>
        <v>6</v>
      </c>
      <c r="D880" s="763">
        <f t="shared" ca="1" si="204"/>
        <v>3</v>
      </c>
      <c r="E880" s="763">
        <f t="shared" ca="1" si="205"/>
        <v>0</v>
      </c>
      <c r="G880" s="628"/>
      <c r="H880" s="766" t="s">
        <v>367</v>
      </c>
      <c r="I880" s="629" t="str">
        <f t="shared" ca="1" si="206"/>
        <v>12.006.003</v>
      </c>
      <c r="J880" s="654" t="s">
        <v>807</v>
      </c>
      <c r="K880" s="630"/>
      <c r="L880" s="631"/>
      <c r="M880" s="631"/>
      <c r="N880" s="646">
        <f ca="1">SUM(N881)</f>
        <v>16434.000000000004</v>
      </c>
      <c r="O880" s="767"/>
      <c r="P880" s="632"/>
      <c r="R880" s="742"/>
      <c r="S880" s="742"/>
    </row>
    <row r="881" spans="1:19" s="761" customFormat="1" ht="22.5" hidden="1" outlineLevel="3" x14ac:dyDescent="0.2">
      <c r="A881" s="762" t="e">
        <f ca="1">IF($H881="UNIDADE CONSTRUTIVA",OFFSET(A881,-1,0)+1,LARGE(A$3:A880,1))</f>
        <v>#NUM!</v>
      </c>
      <c r="B881" s="762">
        <f t="shared" ca="1" si="202"/>
        <v>12</v>
      </c>
      <c r="C881" s="762">
        <f t="shared" ca="1" si="203"/>
        <v>6</v>
      </c>
      <c r="D881" s="763">
        <f t="shared" ca="1" si="204"/>
        <v>3</v>
      </c>
      <c r="E881" s="763">
        <f t="shared" ca="1" si="205"/>
        <v>1</v>
      </c>
      <c r="G881" s="628"/>
      <c r="H881" s="766" t="s">
        <v>368</v>
      </c>
      <c r="I881" s="629" t="str">
        <f t="shared" ca="1" si="206"/>
        <v>12.006.003.001</v>
      </c>
      <c r="J881" s="654" t="s">
        <v>950</v>
      </c>
      <c r="K881" s="630" t="s">
        <v>1</v>
      </c>
      <c r="L881" s="631">
        <f ca="1">L876</f>
        <v>747.00000000000023</v>
      </c>
      <c r="M881" s="631">
        <f>VLOOKUP(J881,Preços!$C$7:$F$498,4,FALSE)</f>
        <v>22</v>
      </c>
      <c r="N881" s="646">
        <f ca="1">L881*M881</f>
        <v>16434.000000000004</v>
      </c>
      <c r="O881" s="767"/>
      <c r="P881" s="632" t="s">
        <v>333</v>
      </c>
      <c r="R881" s="742"/>
      <c r="S881" s="742"/>
    </row>
    <row r="882" spans="1:19" s="761" customFormat="1" ht="22.5" hidden="1" outlineLevel="1" collapsed="1" x14ac:dyDescent="0.2">
      <c r="A882" s="762" t="e">
        <f ca="1">IF($H882="UNIDADE CONSTRUTIVA",OFFSET(A882,-1,0)+1,LARGE(A$3:A833,1))</f>
        <v>#NUM!</v>
      </c>
      <c r="B882" s="762">
        <f t="shared" ca="1" si="202"/>
        <v>12</v>
      </c>
      <c r="C882" s="762">
        <f t="shared" ca="1" si="203"/>
        <v>7</v>
      </c>
      <c r="D882" s="763">
        <f t="shared" ca="1" si="204"/>
        <v>0</v>
      </c>
      <c r="E882" s="763">
        <f t="shared" ca="1" si="205"/>
        <v>1</v>
      </c>
      <c r="G882" s="628"/>
      <c r="H882" s="766" t="s">
        <v>366</v>
      </c>
      <c r="I882" s="629" t="str">
        <f t="shared" ca="1" si="206"/>
        <v>12.007</v>
      </c>
      <c r="J882" s="654" t="s">
        <v>814</v>
      </c>
      <c r="K882" s="630"/>
      <c r="L882" s="631"/>
      <c r="M882" s="631"/>
      <c r="N882" s="646">
        <f>SUM(N883,N885)</f>
        <v>900.42644999999993</v>
      </c>
      <c r="O882" s="767"/>
      <c r="P882" s="632"/>
      <c r="R882" s="742"/>
      <c r="S882" s="742"/>
    </row>
    <row r="883" spans="1:19" s="761" customFormat="1" hidden="1" outlineLevel="2" collapsed="1" x14ac:dyDescent="0.2">
      <c r="A883" s="762" t="e">
        <f ca="1">IF($H883="UNIDADE CONSTRUTIVA",OFFSET(A883,-1,0)+1,LARGE(A$3:A882,1))</f>
        <v>#NUM!</v>
      </c>
      <c r="B883" s="762">
        <f t="shared" ca="1" si="202"/>
        <v>12</v>
      </c>
      <c r="C883" s="762">
        <f t="shared" ca="1" si="203"/>
        <v>7</v>
      </c>
      <c r="D883" s="763">
        <f t="shared" ca="1" si="204"/>
        <v>1</v>
      </c>
      <c r="E883" s="763">
        <f t="shared" ca="1" si="205"/>
        <v>0</v>
      </c>
      <c r="G883" s="628"/>
      <c r="H883" s="766" t="s">
        <v>367</v>
      </c>
      <c r="I883" s="629" t="str">
        <f t="shared" ca="1" si="206"/>
        <v>12.007.001</v>
      </c>
      <c r="J883" s="654" t="s">
        <v>218</v>
      </c>
      <c r="K883" s="630"/>
      <c r="L883" s="631"/>
      <c r="M883" s="631"/>
      <c r="N883" s="646">
        <f>SUM(N884)</f>
        <v>172.00645</v>
      </c>
      <c r="O883" s="767"/>
      <c r="P883" s="632"/>
      <c r="R883" s="742"/>
      <c r="S883" s="742"/>
    </row>
    <row r="884" spans="1:19" s="761" customFormat="1" ht="22.5" hidden="1" outlineLevel="3" x14ac:dyDescent="0.2">
      <c r="A884" s="762" t="e">
        <f ca="1">IF($H884="UNIDADE CONSTRUTIVA",OFFSET(A884,-1,0)+1,LARGE(A$3:A883,1))</f>
        <v>#NUM!</v>
      </c>
      <c r="B884" s="762">
        <f t="shared" ca="1" si="202"/>
        <v>12</v>
      </c>
      <c r="C884" s="762">
        <f t="shared" ca="1" si="203"/>
        <v>7</v>
      </c>
      <c r="D884" s="763">
        <f t="shared" ca="1" si="204"/>
        <v>1</v>
      </c>
      <c r="E884" s="763">
        <f t="shared" ca="1" si="205"/>
        <v>1</v>
      </c>
      <c r="G884" s="628"/>
      <c r="H884" s="766" t="s">
        <v>368</v>
      </c>
      <c r="I884" s="629" t="str">
        <f t="shared" ca="1" si="206"/>
        <v>12.007.001.001</v>
      </c>
      <c r="J884" s="654" t="s">
        <v>276</v>
      </c>
      <c r="K884" s="630" t="s">
        <v>1</v>
      </c>
      <c r="L884" s="631">
        <f>ARQ.!C2634</f>
        <v>33.11</v>
      </c>
      <c r="M884" s="631">
        <f>VLOOKUP(J884,Preços!$C$7:$F$498,4,FALSE)</f>
        <v>5.1950000000000003</v>
      </c>
      <c r="N884" s="646">
        <f>L884*M884</f>
        <v>172.00645</v>
      </c>
      <c r="O884" s="767"/>
      <c r="P884" s="632" t="s">
        <v>333</v>
      </c>
      <c r="R884" s="742"/>
      <c r="S884" s="742"/>
    </row>
    <row r="885" spans="1:19" s="761" customFormat="1" hidden="1" outlineLevel="2" collapsed="1" x14ac:dyDescent="0.2">
      <c r="A885" s="762" t="e">
        <f ca="1">IF($H885="UNIDADE CONSTRUTIVA",OFFSET(A885,-1,0)+1,LARGE(A$3:A884,1))</f>
        <v>#NUM!</v>
      </c>
      <c r="B885" s="762">
        <f t="shared" ca="1" si="202"/>
        <v>12</v>
      </c>
      <c r="C885" s="762">
        <f t="shared" ca="1" si="203"/>
        <v>7</v>
      </c>
      <c r="D885" s="763">
        <f t="shared" ca="1" si="204"/>
        <v>2</v>
      </c>
      <c r="E885" s="763">
        <f t="shared" ca="1" si="205"/>
        <v>0</v>
      </c>
      <c r="G885" s="628"/>
      <c r="H885" s="766" t="s">
        <v>367</v>
      </c>
      <c r="I885" s="629" t="str">
        <f t="shared" ca="1" si="206"/>
        <v>12.007.002</v>
      </c>
      <c r="J885" s="654" t="s">
        <v>807</v>
      </c>
      <c r="K885" s="630"/>
      <c r="L885" s="631"/>
      <c r="M885" s="631"/>
      <c r="N885" s="646">
        <f>SUM(N886)</f>
        <v>728.42</v>
      </c>
      <c r="O885" s="767"/>
      <c r="P885" s="632"/>
      <c r="R885" s="742"/>
      <c r="S885" s="742"/>
    </row>
    <row r="886" spans="1:19" s="761" customFormat="1" ht="22.5" hidden="1" outlineLevel="3" x14ac:dyDescent="0.2">
      <c r="A886" s="762" t="e">
        <f ca="1">IF($H886="UNIDADE CONSTRUTIVA",OFFSET(A886,-1,0)+1,LARGE(A$3:A885,1))</f>
        <v>#NUM!</v>
      </c>
      <c r="B886" s="762">
        <f t="shared" ca="1" si="202"/>
        <v>12</v>
      </c>
      <c r="C886" s="762">
        <f t="shared" ca="1" si="203"/>
        <v>7</v>
      </c>
      <c r="D886" s="763">
        <f t="shared" ca="1" si="204"/>
        <v>2</v>
      </c>
      <c r="E886" s="763">
        <f t="shared" ca="1" si="205"/>
        <v>1</v>
      </c>
      <c r="G886" s="628"/>
      <c r="H886" s="766" t="s">
        <v>368</v>
      </c>
      <c r="I886" s="629" t="str">
        <f t="shared" ca="1" si="206"/>
        <v>12.007.002.001</v>
      </c>
      <c r="J886" s="654" t="s">
        <v>950</v>
      </c>
      <c r="K886" s="630" t="s">
        <v>1</v>
      </c>
      <c r="L886" s="631">
        <f>L884</f>
        <v>33.11</v>
      </c>
      <c r="M886" s="631">
        <f>VLOOKUP(J886,Preços!$C$7:$F$498,4,FALSE)</f>
        <v>22</v>
      </c>
      <c r="N886" s="646">
        <f>L886*M886</f>
        <v>728.42</v>
      </c>
      <c r="O886" s="767"/>
      <c r="P886" s="632" t="s">
        <v>333</v>
      </c>
      <c r="R886" s="742"/>
      <c r="S886" s="742"/>
    </row>
    <row r="887" spans="1:19" s="761" customFormat="1" ht="22.5" hidden="1" outlineLevel="1" collapsed="1" x14ac:dyDescent="0.2">
      <c r="A887" s="762" t="e">
        <f ca="1">IF($H887="UNIDADE CONSTRUTIVA",OFFSET(A887,-1,0)+1,LARGE(A$3:A841,1))</f>
        <v>#NUM!</v>
      </c>
      <c r="B887" s="762">
        <f t="shared" ca="1" si="202"/>
        <v>12</v>
      </c>
      <c r="C887" s="762">
        <f t="shared" ca="1" si="203"/>
        <v>8</v>
      </c>
      <c r="D887" s="763">
        <f t="shared" ca="1" si="204"/>
        <v>0</v>
      </c>
      <c r="E887" s="763">
        <f t="shared" ca="1" si="205"/>
        <v>1</v>
      </c>
      <c r="G887" s="628"/>
      <c r="H887" s="766" t="s">
        <v>366</v>
      </c>
      <c r="I887" s="629" t="str">
        <f t="shared" ca="1" si="206"/>
        <v>12.008</v>
      </c>
      <c r="J887" s="654" t="s">
        <v>815</v>
      </c>
      <c r="K887" s="630"/>
      <c r="L887" s="631"/>
      <c r="M887" s="631"/>
      <c r="N887" s="646">
        <f>SUM(N888,N890)</f>
        <v>1304.0002500000001</v>
      </c>
      <c r="O887" s="767"/>
      <c r="P887" s="632"/>
      <c r="R887" s="742"/>
      <c r="S887" s="742"/>
    </row>
    <row r="888" spans="1:19" s="761" customFormat="1" hidden="1" outlineLevel="2" x14ac:dyDescent="0.2">
      <c r="A888" s="762" t="e">
        <f ca="1">IF($H888="UNIDADE CONSTRUTIVA",OFFSET(A888,-1,0)+1,LARGE(A$3:A887,1))</f>
        <v>#NUM!</v>
      </c>
      <c r="B888" s="762">
        <f t="shared" ca="1" si="202"/>
        <v>12</v>
      </c>
      <c r="C888" s="762">
        <f t="shared" ca="1" si="203"/>
        <v>8</v>
      </c>
      <c r="D888" s="763">
        <f t="shared" ca="1" si="204"/>
        <v>1</v>
      </c>
      <c r="E888" s="763">
        <f t="shared" ca="1" si="205"/>
        <v>0</v>
      </c>
      <c r="G888" s="628"/>
      <c r="H888" s="766" t="s">
        <v>367</v>
      </c>
      <c r="I888" s="629" t="str">
        <f t="shared" ca="1" si="206"/>
        <v>12.008.001</v>
      </c>
      <c r="J888" s="654" t="s">
        <v>218</v>
      </c>
      <c r="K888" s="630"/>
      <c r="L888" s="631"/>
      <c r="M888" s="631"/>
      <c r="N888" s="646">
        <f>SUM(N889)</f>
        <v>249.10025000000002</v>
      </c>
      <c r="O888" s="767"/>
      <c r="P888" s="632"/>
      <c r="R888" s="742"/>
      <c r="S888" s="742"/>
    </row>
    <row r="889" spans="1:19" s="761" customFormat="1" ht="22.5" hidden="1" outlineLevel="3" x14ac:dyDescent="0.2">
      <c r="A889" s="762" t="e">
        <f ca="1">IF($H889="UNIDADE CONSTRUTIVA",OFFSET(A889,-1,0)+1,LARGE(A$3:A888,1))</f>
        <v>#NUM!</v>
      </c>
      <c r="B889" s="762">
        <f t="shared" ca="1" si="202"/>
        <v>12</v>
      </c>
      <c r="C889" s="762">
        <f t="shared" ca="1" si="203"/>
        <v>8</v>
      </c>
      <c r="D889" s="763">
        <f t="shared" ca="1" si="204"/>
        <v>1</v>
      </c>
      <c r="E889" s="763">
        <f t="shared" ca="1" si="205"/>
        <v>1</v>
      </c>
      <c r="G889" s="628"/>
      <c r="H889" s="766" t="s">
        <v>368</v>
      </c>
      <c r="I889" s="629" t="str">
        <f t="shared" ca="1" si="206"/>
        <v>12.008.001.001</v>
      </c>
      <c r="J889" s="654" t="s">
        <v>276</v>
      </c>
      <c r="K889" s="630" t="s">
        <v>1</v>
      </c>
      <c r="L889" s="631">
        <f>ARQ.!F2690</f>
        <v>47.95</v>
      </c>
      <c r="M889" s="631">
        <f>VLOOKUP(J889,Preços!$C$7:$F$498,4,FALSE)</f>
        <v>5.1950000000000003</v>
      </c>
      <c r="N889" s="646">
        <f>L889*M889</f>
        <v>249.10025000000002</v>
      </c>
      <c r="O889" s="767"/>
      <c r="P889" s="632" t="s">
        <v>333</v>
      </c>
      <c r="R889" s="742"/>
      <c r="S889" s="742"/>
    </row>
    <row r="890" spans="1:19" s="761" customFormat="1" hidden="1" outlineLevel="2" collapsed="1" x14ac:dyDescent="0.2">
      <c r="A890" s="762" t="e">
        <f ca="1">IF($H890="UNIDADE CONSTRUTIVA",OFFSET(A890,-1,0)+1,LARGE(A$3:A889,1))</f>
        <v>#NUM!</v>
      </c>
      <c r="B890" s="762">
        <f t="shared" ca="1" si="202"/>
        <v>12</v>
      </c>
      <c r="C890" s="762">
        <f t="shared" ca="1" si="203"/>
        <v>8</v>
      </c>
      <c r="D890" s="763">
        <f t="shared" ca="1" si="204"/>
        <v>2</v>
      </c>
      <c r="E890" s="763">
        <f t="shared" ca="1" si="205"/>
        <v>0</v>
      </c>
      <c r="G890" s="628"/>
      <c r="H890" s="766" t="s">
        <v>367</v>
      </c>
      <c r="I890" s="629" t="str">
        <f t="shared" ca="1" si="206"/>
        <v>12.008.002</v>
      </c>
      <c r="J890" s="654" t="s">
        <v>807</v>
      </c>
      <c r="K890" s="630"/>
      <c r="L890" s="631"/>
      <c r="M890" s="631"/>
      <c r="N890" s="646">
        <f>SUM(N891)</f>
        <v>1054.9000000000001</v>
      </c>
      <c r="O890" s="767"/>
      <c r="P890" s="632"/>
      <c r="R890" s="742"/>
      <c r="S890" s="742"/>
    </row>
    <row r="891" spans="1:19" s="761" customFormat="1" ht="22.5" hidden="1" outlineLevel="2" x14ac:dyDescent="0.2">
      <c r="A891" s="762" t="e">
        <f ca="1">IF($H891="UNIDADE CONSTRUTIVA",OFFSET(A891,-1,0)+1,LARGE(A$3:A890,1))</f>
        <v>#NUM!</v>
      </c>
      <c r="B891" s="762">
        <f t="shared" ref="B891:B910" ca="1" si="207">IF(H891="UNIDADE CONSTRUTIVA",0,IF(H891="CÉLULA CONSTRUTIVA",OFFSET(B891,-1,0)+1,OFFSET(B891,-1,0)))</f>
        <v>12</v>
      </c>
      <c r="C891" s="762">
        <f t="shared" ref="C891:C910" ca="1" si="208">IF(H891="CÉLULA CONSTRUTIVA",0,IF(H891="ETAPA",OFFSET(C891,-1,0)+1,OFFSET(C891,-1,0)))</f>
        <v>8</v>
      </c>
      <c r="D891" s="763">
        <f t="shared" ref="D891:D910" ca="1" si="209">IF(H891="ETAPA",0,IF(H891="SUBETAPA",OFFSET(D891,-1,0)+1,OFFSET(D891,-1,0)))</f>
        <v>2</v>
      </c>
      <c r="E891" s="763">
        <f t="shared" ref="E891:E910" ca="1" si="210">IF(H891="Subetapa",0,IF(H891="serviço",OFFSET(E891,-1,0)+1,OFFSET(E891,-1,0)))</f>
        <v>1</v>
      </c>
      <c r="G891" s="628"/>
      <c r="H891" s="766" t="s">
        <v>368</v>
      </c>
      <c r="I891" s="629" t="str">
        <f t="shared" ref="I891:I910" ca="1" si="211">IF(H891="Unidade Construtiva",TEXT(A891,"00"),IF(H891="Célula Construtiva",TEXT(B891,"00"),IF(H891="Etapa",CONCATENATE(TEXT(B891,"00"),".",TEXT(C891,"000")),IF(H891="Subetapa",CONCATENATE(TEXT(B891,"00"),".",TEXT(C891,"000"),".",TEXT(D891,"000")),IF(H891="Serviço",CONCATENATE(TEXT(B891,"00"),".",TEXT(C891,"000"),".",TEXT(D891,"000"),".",TEXT(E891,"000")),"")))))</f>
        <v>12.008.002.001</v>
      </c>
      <c r="J891" s="654" t="s">
        <v>950</v>
      </c>
      <c r="K891" s="630" t="s">
        <v>1</v>
      </c>
      <c r="L891" s="631">
        <f>L889</f>
        <v>47.95</v>
      </c>
      <c r="M891" s="631">
        <f>VLOOKUP(J891,Preços!$C$7:$F$498,4,FALSE)</f>
        <v>22</v>
      </c>
      <c r="N891" s="646">
        <f>L891*M891</f>
        <v>1054.9000000000001</v>
      </c>
      <c r="O891" s="767"/>
      <c r="P891" s="632" t="s">
        <v>333</v>
      </c>
      <c r="R891" s="742"/>
      <c r="S891" s="742"/>
    </row>
    <row r="892" spans="1:19" s="761" customFormat="1" collapsed="1" x14ac:dyDescent="0.2">
      <c r="A892" s="762" t="e">
        <f ca="1">IF($H892="UNIDADE CONSTRUTIVA",OFFSET(A892,-1,0)+1,LARGE(A$3:A723,1))</f>
        <v>#NUM!</v>
      </c>
      <c r="B892" s="762">
        <f t="shared" ca="1" si="207"/>
        <v>13</v>
      </c>
      <c r="C892" s="762">
        <f t="shared" ca="1" si="208"/>
        <v>0</v>
      </c>
      <c r="D892" s="763">
        <f t="shared" ca="1" si="209"/>
        <v>2</v>
      </c>
      <c r="E892" s="763">
        <f t="shared" ca="1" si="210"/>
        <v>1</v>
      </c>
      <c r="G892" s="628"/>
      <c r="H892" s="766" t="s">
        <v>365</v>
      </c>
      <c r="I892" s="629" t="str">
        <f t="shared" ca="1" si="211"/>
        <v>13</v>
      </c>
      <c r="J892" s="654" t="s">
        <v>783</v>
      </c>
      <c r="K892" s="630"/>
      <c r="L892" s="631"/>
      <c r="M892" s="631"/>
      <c r="N892" s="646">
        <f ca="1">SUM(N893,N921,N932,N943,N952,N985)</f>
        <v>1576198.2593370001</v>
      </c>
      <c r="O892" s="767"/>
      <c r="P892" s="632"/>
      <c r="R892" s="742"/>
      <c r="S892" s="742"/>
    </row>
    <row r="893" spans="1:19" s="761" customFormat="1" hidden="1" outlineLevel="1" collapsed="1" x14ac:dyDescent="0.2">
      <c r="A893" s="762" t="e">
        <f ca="1">IF($H893="UNIDADE CONSTRUTIVA",OFFSET(A893,-1,0)+1,LARGE(A$3:A892,1))</f>
        <v>#NUM!</v>
      </c>
      <c r="B893" s="762">
        <f t="shared" ca="1" si="207"/>
        <v>13</v>
      </c>
      <c r="C893" s="762">
        <f t="shared" ca="1" si="208"/>
        <v>1</v>
      </c>
      <c r="D893" s="763">
        <f t="shared" ca="1" si="209"/>
        <v>0</v>
      </c>
      <c r="E893" s="763">
        <f t="shared" ca="1" si="210"/>
        <v>1</v>
      </c>
      <c r="G893" s="628"/>
      <c r="H893" s="766" t="s">
        <v>366</v>
      </c>
      <c r="I893" s="629" t="str">
        <f t="shared" ca="1" si="211"/>
        <v>13.001</v>
      </c>
      <c r="J893" s="654" t="s">
        <v>841</v>
      </c>
      <c r="K893" s="630"/>
      <c r="L893" s="631"/>
      <c r="M893" s="631"/>
      <c r="N893" s="646">
        <f>SUM(N894,N900,N906,N908,N910,N913,N917,N919)</f>
        <v>74031.920763999995</v>
      </c>
      <c r="O893" s="767"/>
      <c r="P893" s="632"/>
      <c r="R893" s="742"/>
      <c r="S893" s="742"/>
    </row>
    <row r="894" spans="1:19" s="761" customFormat="1" hidden="1" outlineLevel="2" collapsed="1" x14ac:dyDescent="0.2">
      <c r="A894" s="762" t="e">
        <f ca="1">IF($H894="UNIDADE CONSTRUTIVA",OFFSET(A894,-1,0)+1,LARGE(A$3:A717,1))</f>
        <v>#NUM!</v>
      </c>
      <c r="B894" s="762">
        <f t="shared" ca="1" si="207"/>
        <v>13</v>
      </c>
      <c r="C894" s="762">
        <f t="shared" ca="1" si="208"/>
        <v>1</v>
      </c>
      <c r="D894" s="763">
        <f t="shared" ca="1" si="209"/>
        <v>1</v>
      </c>
      <c r="E894" s="763">
        <f t="shared" ca="1" si="210"/>
        <v>0</v>
      </c>
      <c r="G894" s="628"/>
      <c r="H894" s="766" t="s">
        <v>367</v>
      </c>
      <c r="I894" s="629" t="str">
        <f t="shared" ca="1" si="211"/>
        <v>13.001.001</v>
      </c>
      <c r="J894" s="654" t="s">
        <v>784</v>
      </c>
      <c r="K894" s="630"/>
      <c r="L894" s="631"/>
      <c r="M894" s="631"/>
      <c r="N894" s="646">
        <f>SUM(N895:N899)</f>
        <v>35825.297859999999</v>
      </c>
      <c r="O894" s="767"/>
      <c r="P894" s="632"/>
      <c r="R894" s="742"/>
      <c r="S894" s="742"/>
    </row>
    <row r="895" spans="1:19" s="761" customFormat="1" ht="22.5" hidden="1" outlineLevel="3" x14ac:dyDescent="0.2">
      <c r="A895" s="762" t="e">
        <f ca="1">IF($H895="UNIDADE CONSTRUTIVA",OFFSET(A895,-1,0)+1,LARGE(A$3:A890,1))</f>
        <v>#NUM!</v>
      </c>
      <c r="B895" s="762">
        <f t="shared" ca="1" si="207"/>
        <v>13</v>
      </c>
      <c r="C895" s="762">
        <f t="shared" ca="1" si="208"/>
        <v>1</v>
      </c>
      <c r="D895" s="763">
        <f t="shared" ca="1" si="209"/>
        <v>1</v>
      </c>
      <c r="E895" s="763">
        <f t="shared" ca="1" si="210"/>
        <v>1</v>
      </c>
      <c r="G895" s="628"/>
      <c r="H895" s="766" t="s">
        <v>368</v>
      </c>
      <c r="I895" s="629" t="str">
        <f t="shared" ca="1" si="211"/>
        <v>13.001.001.001</v>
      </c>
      <c r="J895" s="654" t="s">
        <v>848</v>
      </c>
      <c r="K895" s="630" t="s">
        <v>1</v>
      </c>
      <c r="L895" s="631">
        <f>ARQ.!C54</f>
        <v>8.39</v>
      </c>
      <c r="M895" s="631">
        <f>VLOOKUP(J895,Preços!$C$7:$F$498,4,FALSE)</f>
        <v>77.066000000000003</v>
      </c>
      <c r="N895" s="646">
        <f>L895*M895</f>
        <v>646.58374000000003</v>
      </c>
      <c r="O895" s="767"/>
      <c r="P895" s="632" t="s">
        <v>333</v>
      </c>
      <c r="R895" s="742"/>
      <c r="S895" s="742"/>
    </row>
    <row r="896" spans="1:19" s="761" customFormat="1" ht="22.5" hidden="1" outlineLevel="3" x14ac:dyDescent="0.2">
      <c r="A896" s="762" t="e">
        <f ca="1">IF($H896="UNIDADE CONSTRUTIVA",OFFSET(A896,-1,0)+1,LARGE(A$3:A895,1))</f>
        <v>#NUM!</v>
      </c>
      <c r="B896" s="762">
        <f t="shared" ca="1" si="207"/>
        <v>13</v>
      </c>
      <c r="C896" s="762">
        <f t="shared" ca="1" si="208"/>
        <v>1</v>
      </c>
      <c r="D896" s="763">
        <f t="shared" ca="1" si="209"/>
        <v>1</v>
      </c>
      <c r="E896" s="763">
        <f t="shared" ca="1" si="210"/>
        <v>2</v>
      </c>
      <c r="G896" s="628"/>
      <c r="H896" s="766" t="s">
        <v>368</v>
      </c>
      <c r="I896" s="629" t="str">
        <f t="shared" ca="1" si="211"/>
        <v>13.001.001.002</v>
      </c>
      <c r="J896" s="654" t="s">
        <v>817</v>
      </c>
      <c r="K896" s="630" t="s">
        <v>1</v>
      </c>
      <c r="L896" s="631">
        <f>ARQ.!C55</f>
        <v>14.03</v>
      </c>
      <c r="M896" s="631">
        <f>VLOOKUP(J896,Preços!$C$7:$F$498,4,FALSE)</f>
        <v>77.066000000000003</v>
      </c>
      <c r="N896" s="646">
        <f>L896*M896</f>
        <v>1081.2359799999999</v>
      </c>
      <c r="O896" s="767"/>
      <c r="P896" s="632" t="s">
        <v>333</v>
      </c>
      <c r="R896" s="742"/>
      <c r="S896" s="742"/>
    </row>
    <row r="897" spans="1:19" s="761" customFormat="1" ht="22.5" hidden="1" outlineLevel="3" x14ac:dyDescent="0.2">
      <c r="A897" s="762" t="e">
        <f ca="1">IF($H897="UNIDADE CONSTRUTIVA",OFFSET(A897,-1,0)+1,LARGE(A$3:A892,1))</f>
        <v>#NUM!</v>
      </c>
      <c r="B897" s="762">
        <f t="shared" ca="1" si="207"/>
        <v>13</v>
      </c>
      <c r="C897" s="762">
        <f t="shared" ca="1" si="208"/>
        <v>1</v>
      </c>
      <c r="D897" s="763">
        <f t="shared" ca="1" si="209"/>
        <v>1</v>
      </c>
      <c r="E897" s="763">
        <f t="shared" ca="1" si="210"/>
        <v>3</v>
      </c>
      <c r="G897" s="628"/>
      <c r="H897" s="766" t="s">
        <v>368</v>
      </c>
      <c r="I897" s="629" t="str">
        <f t="shared" ca="1" si="211"/>
        <v>13.001.001.003</v>
      </c>
      <c r="J897" s="654" t="s">
        <v>853</v>
      </c>
      <c r="K897" s="630" t="s">
        <v>1</v>
      </c>
      <c r="L897" s="631">
        <f>ARQ.!C56</f>
        <v>143.9</v>
      </c>
      <c r="M897" s="631">
        <f>VLOOKUP(J897,Preços!$C$7:$F$498,4,FALSE)</f>
        <v>88.066000000000003</v>
      </c>
      <c r="N897" s="646">
        <f>L897*M897</f>
        <v>12672.697400000001</v>
      </c>
      <c r="O897" s="767"/>
      <c r="P897" s="632" t="s">
        <v>333</v>
      </c>
      <c r="R897" s="742"/>
      <c r="S897" s="742"/>
    </row>
    <row r="898" spans="1:19" s="761" customFormat="1" ht="22.5" hidden="1" outlineLevel="3" x14ac:dyDescent="0.2">
      <c r="A898" s="762" t="e">
        <f ca="1">IF($H898="UNIDADE CONSTRUTIVA",OFFSET(A898,-1,0)+1,LARGE(A$3:A897,1))</f>
        <v>#NUM!</v>
      </c>
      <c r="B898" s="762">
        <f t="shared" ca="1" si="207"/>
        <v>13</v>
      </c>
      <c r="C898" s="762">
        <f t="shared" ca="1" si="208"/>
        <v>1</v>
      </c>
      <c r="D898" s="763">
        <f t="shared" ca="1" si="209"/>
        <v>1</v>
      </c>
      <c r="E898" s="763">
        <f t="shared" ca="1" si="210"/>
        <v>4</v>
      </c>
      <c r="G898" s="628"/>
      <c r="H898" s="766" t="s">
        <v>368</v>
      </c>
      <c r="I898" s="629" t="str">
        <f t="shared" ca="1" si="211"/>
        <v>13.001.001.004</v>
      </c>
      <c r="J898" s="654" t="s">
        <v>949</v>
      </c>
      <c r="K898" s="630" t="s">
        <v>1</v>
      </c>
      <c r="L898" s="631">
        <f>ARQ.!C57</f>
        <v>143.69999999999999</v>
      </c>
      <c r="M898" s="631">
        <f>VLOOKUP(J898,Preços!$C$7:$F$498,4,FALSE)</f>
        <v>115.566</v>
      </c>
      <c r="N898" s="646">
        <f>L898*M898</f>
        <v>16606.834199999998</v>
      </c>
      <c r="O898" s="767"/>
      <c r="P898" s="632" t="s">
        <v>333</v>
      </c>
      <c r="R898" s="742"/>
      <c r="S898" s="742"/>
    </row>
    <row r="899" spans="1:19" s="761" customFormat="1" ht="22.5" hidden="1" outlineLevel="3" x14ac:dyDescent="0.2">
      <c r="A899" s="762" t="e">
        <f ca="1">IF($H899="UNIDADE CONSTRUTIVA",OFFSET(A899,-1,0)+1,LARGE(A$3:A898,1))</f>
        <v>#NUM!</v>
      </c>
      <c r="B899" s="762">
        <f t="shared" ca="1" si="207"/>
        <v>13</v>
      </c>
      <c r="C899" s="762">
        <f t="shared" ca="1" si="208"/>
        <v>1</v>
      </c>
      <c r="D899" s="763">
        <f t="shared" ca="1" si="209"/>
        <v>1</v>
      </c>
      <c r="E899" s="763">
        <f t="shared" ca="1" si="210"/>
        <v>5</v>
      </c>
      <c r="G899" s="628"/>
      <c r="H899" s="766" t="s">
        <v>368</v>
      </c>
      <c r="I899" s="629" t="str">
        <f t="shared" ca="1" si="211"/>
        <v>13.001.001.005</v>
      </c>
      <c r="J899" s="654" t="s">
        <v>816</v>
      </c>
      <c r="K899" s="630" t="s">
        <v>1</v>
      </c>
      <c r="L899" s="631">
        <f>ARQ.!C58+ARQ.!C59</f>
        <v>41.69</v>
      </c>
      <c r="M899" s="631">
        <f>VLOOKUP(J899,Preços!$C$7:$F$498,4,FALSE)</f>
        <v>115.566</v>
      </c>
      <c r="N899" s="646">
        <f>L899*M899</f>
        <v>4817.9465399999999</v>
      </c>
      <c r="O899" s="767"/>
      <c r="P899" s="632" t="s">
        <v>333</v>
      </c>
      <c r="R899" s="742"/>
      <c r="S899" s="742"/>
    </row>
    <row r="900" spans="1:19" s="761" customFormat="1" hidden="1" outlineLevel="2" collapsed="1" x14ac:dyDescent="0.2">
      <c r="A900" s="762" t="e">
        <f ca="1">IF($H900="UNIDADE CONSTRUTIVA",OFFSET(A900,-1,0)+1,LARGE(A$3:A908,1))</f>
        <v>#NUM!</v>
      </c>
      <c r="B900" s="762">
        <f t="shared" ca="1" si="207"/>
        <v>13</v>
      </c>
      <c r="C900" s="762">
        <f t="shared" ca="1" si="208"/>
        <v>1</v>
      </c>
      <c r="D900" s="763">
        <f t="shared" ca="1" si="209"/>
        <v>2</v>
      </c>
      <c r="E900" s="763">
        <f t="shared" ca="1" si="210"/>
        <v>0</v>
      </c>
      <c r="G900" s="628"/>
      <c r="H900" s="766" t="s">
        <v>367</v>
      </c>
      <c r="I900" s="629" t="str">
        <f t="shared" ca="1" si="211"/>
        <v>13.001.002</v>
      </c>
      <c r="J900" s="654" t="s">
        <v>223</v>
      </c>
      <c r="K900" s="630"/>
      <c r="L900" s="631"/>
      <c r="M900" s="631"/>
      <c r="N900" s="646">
        <f>SUM(N901:N905)</f>
        <v>9166.2078559999991</v>
      </c>
      <c r="O900" s="767"/>
      <c r="P900" s="632"/>
      <c r="R900" s="742"/>
      <c r="S900" s="742"/>
    </row>
    <row r="901" spans="1:19" s="761" customFormat="1" ht="22.5" hidden="1" outlineLevel="3" x14ac:dyDescent="0.2">
      <c r="A901" s="762" t="e">
        <f ca="1">IF($H901="UNIDADE CONSTRUTIVA",OFFSET(A901,-1,0)+1,LARGE(A$3:A900,1))</f>
        <v>#NUM!</v>
      </c>
      <c r="B901" s="762">
        <f t="shared" ca="1" si="207"/>
        <v>13</v>
      </c>
      <c r="C901" s="762">
        <f t="shared" ca="1" si="208"/>
        <v>1</v>
      </c>
      <c r="D901" s="763">
        <f t="shared" ca="1" si="209"/>
        <v>2</v>
      </c>
      <c r="E901" s="763">
        <f t="shared" ca="1" si="210"/>
        <v>1</v>
      </c>
      <c r="G901" s="628"/>
      <c r="H901" s="766" t="s">
        <v>368</v>
      </c>
      <c r="I901" s="629" t="str">
        <f t="shared" ca="1" si="211"/>
        <v>13.001.002.001</v>
      </c>
      <c r="J901" s="654" t="s">
        <v>821</v>
      </c>
      <c r="K901" s="630" t="s">
        <v>3</v>
      </c>
      <c r="L901" s="631">
        <f>ARQ.!C61</f>
        <v>27.73</v>
      </c>
      <c r="M901" s="631">
        <f>VLOOKUP(J901,Preços!$C$7:$F$498,4,FALSE)</f>
        <v>11.8512</v>
      </c>
      <c r="N901" s="646">
        <f>L901*M901</f>
        <v>328.63377600000001</v>
      </c>
      <c r="O901" s="767"/>
      <c r="P901" s="632" t="s">
        <v>333</v>
      </c>
      <c r="R901" s="742"/>
      <c r="S901" s="742"/>
    </row>
    <row r="902" spans="1:19" s="761" customFormat="1" ht="22.5" hidden="1" outlineLevel="3" x14ac:dyDescent="0.2">
      <c r="A902" s="762" t="e">
        <f ca="1">IF($H902="UNIDADE CONSTRUTIVA",OFFSET(A902,-1,0)+1,LARGE(A$3:A901,1))</f>
        <v>#NUM!</v>
      </c>
      <c r="B902" s="762">
        <f t="shared" ca="1" si="207"/>
        <v>13</v>
      </c>
      <c r="C902" s="762">
        <f t="shared" ca="1" si="208"/>
        <v>1</v>
      </c>
      <c r="D902" s="763">
        <f t="shared" ca="1" si="209"/>
        <v>2</v>
      </c>
      <c r="E902" s="763">
        <f t="shared" ca="1" si="210"/>
        <v>2</v>
      </c>
      <c r="G902" s="628"/>
      <c r="H902" s="766" t="s">
        <v>368</v>
      </c>
      <c r="I902" s="629" t="str">
        <f t="shared" ca="1" si="211"/>
        <v>13.001.002.002</v>
      </c>
      <c r="J902" s="654" t="s">
        <v>822</v>
      </c>
      <c r="K902" s="630" t="s">
        <v>3</v>
      </c>
      <c r="L902" s="631">
        <f>ARQ.!C62</f>
        <v>8.52</v>
      </c>
      <c r="M902" s="631">
        <f>VLOOKUP(J902,Preços!$C$7:$F$498,4,FALSE)</f>
        <v>50.904000000000003</v>
      </c>
      <c r="N902" s="646">
        <f>L902*M902</f>
        <v>433.70208000000002</v>
      </c>
      <c r="O902" s="767"/>
      <c r="P902" s="632" t="s">
        <v>333</v>
      </c>
      <c r="R902" s="742"/>
      <c r="S902" s="742"/>
    </row>
    <row r="903" spans="1:19" s="761" customFormat="1" ht="22.5" hidden="1" outlineLevel="3" x14ac:dyDescent="0.2">
      <c r="A903" s="762" t="e">
        <f ca="1">IF($H903="UNIDADE CONSTRUTIVA",OFFSET(A903,-1,0)+1,LARGE(A$3:A900,1))</f>
        <v>#NUM!</v>
      </c>
      <c r="B903" s="762">
        <f t="shared" ca="1" si="207"/>
        <v>13</v>
      </c>
      <c r="C903" s="762">
        <f t="shared" ca="1" si="208"/>
        <v>1</v>
      </c>
      <c r="D903" s="763">
        <f t="shared" ca="1" si="209"/>
        <v>2</v>
      </c>
      <c r="E903" s="763">
        <f t="shared" ca="1" si="210"/>
        <v>3</v>
      </c>
      <c r="G903" s="628"/>
      <c r="H903" s="766" t="s">
        <v>368</v>
      </c>
      <c r="I903" s="629" t="str">
        <f t="shared" ca="1" si="211"/>
        <v>13.001.002.003</v>
      </c>
      <c r="J903" s="654" t="s">
        <v>823</v>
      </c>
      <c r="K903" s="630" t="s">
        <v>3</v>
      </c>
      <c r="L903" s="631">
        <f>ARQ.!C63</f>
        <v>29.86</v>
      </c>
      <c r="M903" s="631">
        <f>VLOOKUP(J903,Preços!$C$7:$F$498,4,FALSE)</f>
        <v>28.404</v>
      </c>
      <c r="N903" s="646">
        <f>L903*M903</f>
        <v>848.14343999999994</v>
      </c>
      <c r="O903" s="767"/>
      <c r="P903" s="632" t="s">
        <v>333</v>
      </c>
      <c r="R903" s="742"/>
      <c r="S903" s="742"/>
    </row>
    <row r="904" spans="1:19" s="761" customFormat="1" ht="22.5" hidden="1" outlineLevel="3" x14ac:dyDescent="0.2">
      <c r="A904" s="762" t="e">
        <f ca="1">IF($H904="UNIDADE CONSTRUTIVA",OFFSET(A904,-1,0)+1,LARGE(A$3:A903,1))</f>
        <v>#NUM!</v>
      </c>
      <c r="B904" s="762">
        <f t="shared" ca="1" si="207"/>
        <v>13</v>
      </c>
      <c r="C904" s="762">
        <f t="shared" ca="1" si="208"/>
        <v>1</v>
      </c>
      <c r="D904" s="763">
        <f t="shared" ca="1" si="209"/>
        <v>2</v>
      </c>
      <c r="E904" s="763">
        <f t="shared" ca="1" si="210"/>
        <v>4</v>
      </c>
      <c r="G904" s="628"/>
      <c r="H904" s="766" t="s">
        <v>368</v>
      </c>
      <c r="I904" s="629" t="str">
        <f t="shared" ca="1" si="211"/>
        <v>13.001.002.004</v>
      </c>
      <c r="J904" s="654" t="s">
        <v>824</v>
      </c>
      <c r="K904" s="630" t="s">
        <v>3</v>
      </c>
      <c r="L904" s="631">
        <f>ARQ.!C64</f>
        <v>100.56</v>
      </c>
      <c r="M904" s="631">
        <f>VLOOKUP(J904,Preços!$C$7:$F$498,4,FALSE)</f>
        <v>55.911999999999999</v>
      </c>
      <c r="N904" s="646">
        <f>L904*M904</f>
        <v>5622.5107200000002</v>
      </c>
      <c r="O904" s="767"/>
      <c r="P904" s="632" t="s">
        <v>333</v>
      </c>
      <c r="R904" s="742"/>
      <c r="S904" s="742"/>
    </row>
    <row r="905" spans="1:19" s="761" customFormat="1" ht="22.5" hidden="1" outlineLevel="3" x14ac:dyDescent="0.2">
      <c r="A905" s="762" t="e">
        <f ca="1">IF($H905="UNIDADE CONSTRUTIVA",OFFSET(A905,-1,0)+1,LARGE(A$3:A902,1))</f>
        <v>#NUM!</v>
      </c>
      <c r="B905" s="762">
        <f t="shared" ca="1" si="207"/>
        <v>13</v>
      </c>
      <c r="C905" s="762">
        <f t="shared" ca="1" si="208"/>
        <v>1</v>
      </c>
      <c r="D905" s="763">
        <f t="shared" ca="1" si="209"/>
        <v>2</v>
      </c>
      <c r="E905" s="763">
        <f t="shared" ca="1" si="210"/>
        <v>5</v>
      </c>
      <c r="G905" s="628"/>
      <c r="H905" s="766" t="s">
        <v>368</v>
      </c>
      <c r="I905" s="629" t="str">
        <f t="shared" ca="1" si="211"/>
        <v>13.001.002.005</v>
      </c>
      <c r="J905" s="654" t="s">
        <v>825</v>
      </c>
      <c r="K905" s="630" t="s">
        <v>3</v>
      </c>
      <c r="L905" s="631">
        <f>ARQ.!C65</f>
        <v>27.32</v>
      </c>
      <c r="M905" s="631">
        <f>VLOOKUP(J905,Preços!$C$7:$F$498,4,FALSE)</f>
        <v>70.762</v>
      </c>
      <c r="N905" s="646">
        <f>L905*M905</f>
        <v>1933.21784</v>
      </c>
      <c r="O905" s="767"/>
      <c r="P905" s="632" t="s">
        <v>333</v>
      </c>
      <c r="R905" s="742"/>
      <c r="S905" s="742"/>
    </row>
    <row r="906" spans="1:19" s="761" customFormat="1" hidden="1" outlineLevel="2" collapsed="1" x14ac:dyDescent="0.2">
      <c r="A906" s="762" t="e">
        <f ca="1">IF($H906="UNIDADE CONSTRUTIVA",OFFSET(A906,-1,0)+1,LARGE(A$3:A909,1))</f>
        <v>#NUM!</v>
      </c>
      <c r="B906" s="762">
        <f t="shared" ca="1" si="207"/>
        <v>13</v>
      </c>
      <c r="C906" s="762">
        <f t="shared" ca="1" si="208"/>
        <v>1</v>
      </c>
      <c r="D906" s="763">
        <f t="shared" ca="1" si="209"/>
        <v>3</v>
      </c>
      <c r="E906" s="763">
        <f t="shared" ca="1" si="210"/>
        <v>0</v>
      </c>
      <c r="G906" s="628"/>
      <c r="H906" s="766" t="s">
        <v>367</v>
      </c>
      <c r="I906" s="629" t="str">
        <f t="shared" ca="1" si="211"/>
        <v>13.001.003</v>
      </c>
      <c r="J906" s="654" t="s">
        <v>346</v>
      </c>
      <c r="K906" s="630"/>
      <c r="L906" s="631"/>
      <c r="M906" s="631"/>
      <c r="N906" s="646">
        <f>SUM(N907)</f>
        <v>186.13764</v>
      </c>
      <c r="O906" s="767"/>
      <c r="P906" s="632"/>
      <c r="R906" s="742"/>
      <c r="S906" s="742"/>
    </row>
    <row r="907" spans="1:19" s="761" customFormat="1" ht="22.5" hidden="1" outlineLevel="3" x14ac:dyDescent="0.2">
      <c r="A907" s="762" t="e">
        <f ca="1">IF($H907="UNIDADE CONSTRUTIVA",OFFSET(A907,-1,0)+1,LARGE(A$3:A906,1))</f>
        <v>#NUM!</v>
      </c>
      <c r="B907" s="762">
        <f t="shared" ca="1" si="207"/>
        <v>13</v>
      </c>
      <c r="C907" s="762">
        <f t="shared" ca="1" si="208"/>
        <v>1</v>
      </c>
      <c r="D907" s="763">
        <f t="shared" ca="1" si="209"/>
        <v>3</v>
      </c>
      <c r="E907" s="763">
        <f t="shared" ca="1" si="210"/>
        <v>1</v>
      </c>
      <c r="G907" s="628"/>
      <c r="H907" s="766" t="s">
        <v>368</v>
      </c>
      <c r="I907" s="629" t="str">
        <f t="shared" ca="1" si="211"/>
        <v>13.001.003.001</v>
      </c>
      <c r="J907" s="654" t="s">
        <v>946</v>
      </c>
      <c r="K907" s="630" t="s">
        <v>3</v>
      </c>
      <c r="L907" s="631">
        <f>ARQ.!C67</f>
        <v>1.86</v>
      </c>
      <c r="M907" s="631">
        <f>VLOOKUP(J907,Preços!$C$7:$F$498,4,FALSE)</f>
        <v>100.074</v>
      </c>
      <c r="N907" s="646">
        <f>L907*M907</f>
        <v>186.13764</v>
      </c>
      <c r="O907" s="854"/>
      <c r="P907" s="632" t="s">
        <v>333</v>
      </c>
      <c r="R907" s="742"/>
      <c r="S907" s="742"/>
    </row>
    <row r="908" spans="1:19" s="761" customFormat="1" hidden="1" outlineLevel="2" collapsed="1" x14ac:dyDescent="0.2">
      <c r="A908" s="762" t="e">
        <f ca="1">IF($H908="UNIDADE CONSTRUTIVA",OFFSET(A908,-1,0)+1,LARGE(A$3:A718,1))</f>
        <v>#NUM!</v>
      </c>
      <c r="B908" s="762">
        <f t="shared" ca="1" si="207"/>
        <v>13</v>
      </c>
      <c r="C908" s="762">
        <f t="shared" ca="1" si="208"/>
        <v>1</v>
      </c>
      <c r="D908" s="763">
        <f t="shared" ca="1" si="209"/>
        <v>4</v>
      </c>
      <c r="E908" s="763">
        <f t="shared" ca="1" si="210"/>
        <v>0</v>
      </c>
      <c r="G908" s="628"/>
      <c r="H908" s="766" t="s">
        <v>367</v>
      </c>
      <c r="I908" s="629" t="str">
        <f t="shared" ca="1" si="211"/>
        <v>13.001.004</v>
      </c>
      <c r="J908" s="654" t="s">
        <v>785</v>
      </c>
      <c r="K908" s="630"/>
      <c r="L908" s="631"/>
      <c r="M908" s="631"/>
      <c r="N908" s="646">
        <f>SUM(N909)</f>
        <v>4864.5190999999995</v>
      </c>
      <c r="O908" s="767"/>
      <c r="P908" s="632"/>
      <c r="R908" s="742"/>
      <c r="S908" s="742"/>
    </row>
    <row r="909" spans="1:19" s="761" customFormat="1" ht="22.5" hidden="1" outlineLevel="3" x14ac:dyDescent="0.2">
      <c r="A909" s="762" t="e">
        <f ca="1">IF($H909="UNIDADE CONSTRUTIVA",OFFSET(A909,-1,0)+1,LARGE(A$3:A908,1))</f>
        <v>#NUM!</v>
      </c>
      <c r="B909" s="762">
        <f t="shared" ca="1" si="207"/>
        <v>13</v>
      </c>
      <c r="C909" s="762">
        <f t="shared" ca="1" si="208"/>
        <v>1</v>
      </c>
      <c r="D909" s="763">
        <f t="shared" ca="1" si="209"/>
        <v>4</v>
      </c>
      <c r="E909" s="763">
        <f t="shared" ca="1" si="210"/>
        <v>1</v>
      </c>
      <c r="G909" s="628"/>
      <c r="H909" s="766" t="s">
        <v>368</v>
      </c>
      <c r="I909" s="629" t="str">
        <f t="shared" ca="1" si="211"/>
        <v>13.001.004.001</v>
      </c>
      <c r="J909" s="654" t="s">
        <v>819</v>
      </c>
      <c r="K909" s="630" t="s">
        <v>1</v>
      </c>
      <c r="L909" s="631">
        <f>ARQ.!C69</f>
        <v>62.23</v>
      </c>
      <c r="M909" s="631">
        <f>VLOOKUP(J909,Preços!$C$7:$F$498,4,FALSE)</f>
        <v>78.17</v>
      </c>
      <c r="N909" s="646">
        <f>L909*M909</f>
        <v>4864.5190999999995</v>
      </c>
      <c r="O909" s="767"/>
      <c r="P909" s="632" t="s">
        <v>333</v>
      </c>
      <c r="R909" s="742"/>
      <c r="S909" s="742"/>
    </row>
    <row r="910" spans="1:19" s="761" customFormat="1" hidden="1" outlineLevel="2" collapsed="1" x14ac:dyDescent="0.2">
      <c r="A910" s="762" t="e">
        <f ca="1">IF($H910="UNIDADE CONSTRUTIVA",OFFSET(A910,-1,0)+1,LARGE(A$3:A908,1))</f>
        <v>#NUM!</v>
      </c>
      <c r="B910" s="762">
        <f t="shared" ca="1" si="207"/>
        <v>13</v>
      </c>
      <c r="C910" s="762">
        <f t="shared" ca="1" si="208"/>
        <v>1</v>
      </c>
      <c r="D910" s="763">
        <f t="shared" ca="1" si="209"/>
        <v>5</v>
      </c>
      <c r="E910" s="763">
        <f t="shared" ca="1" si="210"/>
        <v>0</v>
      </c>
      <c r="G910" s="628"/>
      <c r="H910" s="766" t="s">
        <v>367</v>
      </c>
      <c r="I910" s="629" t="str">
        <f t="shared" ca="1" si="211"/>
        <v>13.001.005</v>
      </c>
      <c r="J910" s="654" t="s">
        <v>787</v>
      </c>
      <c r="K910" s="630"/>
      <c r="L910" s="631"/>
      <c r="M910" s="631"/>
      <c r="N910" s="646">
        <f>SUM(N911:N912)</f>
        <v>14802.025307999998</v>
      </c>
      <c r="O910" s="767"/>
      <c r="P910" s="632"/>
      <c r="R910" s="742"/>
      <c r="S910" s="742"/>
    </row>
    <row r="911" spans="1:19" s="761" customFormat="1" ht="22.5" hidden="1" outlineLevel="3" x14ac:dyDescent="0.2">
      <c r="A911" s="762" t="e">
        <f ca="1">IF($H911="UNIDADE CONSTRUTIVA",OFFSET(A911,-1,0)+1,LARGE(A$3:A908,1))</f>
        <v>#NUM!</v>
      </c>
      <c r="B911" s="762">
        <f t="shared" ref="B911:B919" ca="1" si="212">IF(H911="UNIDADE CONSTRUTIVA",0,IF(H911="CÉLULA CONSTRUTIVA",OFFSET(B911,-1,0)+1,OFFSET(B911,-1,0)))</f>
        <v>13</v>
      </c>
      <c r="C911" s="762">
        <f t="shared" ref="C911:C919" ca="1" si="213">IF(H911="CÉLULA CONSTRUTIVA",0,IF(H911="ETAPA",OFFSET(C911,-1,0)+1,OFFSET(C911,-1,0)))</f>
        <v>1</v>
      </c>
      <c r="D911" s="763">
        <f t="shared" ref="D911:D919" ca="1" si="214">IF(H911="ETAPA",0,IF(H911="SUBETAPA",OFFSET(D911,-1,0)+1,OFFSET(D911,-1,0)))</f>
        <v>5</v>
      </c>
      <c r="E911" s="763">
        <f t="shared" ref="E911:E919" ca="1" si="215">IF(H911="Subetapa",0,IF(H911="serviço",OFFSET(E911,-1,0)+1,OFFSET(E911,-1,0)))</f>
        <v>1</v>
      </c>
      <c r="G911" s="628"/>
      <c r="H911" s="766" t="s">
        <v>368</v>
      </c>
      <c r="I911" s="629" t="str">
        <f ca="1">IF(H911="Unidade Construtiva",TEXT(A911,"00"),IF(H911="Célula Construtiva",TEXT(B911,"00"),IF(H911="Etapa",CONCATENATE(TEXT(B911,"00"),".",TEXT(C911,"000")),IF(H911="Subetapa",CONCATENATE(TEXT(B911,"00"),".",TEXT(C911,"000"),".",TEXT(D911,"000")),IF(H911="Serviço",CONCATENATE(TEXT(B911,"00"),".",TEXT(C911,"000"),".",TEXT(D911,"000"),".",TEXT(E911,"000")),"")))))</f>
        <v>13.001.005.001</v>
      </c>
      <c r="J911" s="654" t="s">
        <v>829</v>
      </c>
      <c r="K911" s="630" t="s">
        <v>1</v>
      </c>
      <c r="L911" s="631">
        <f>L895+L896+L897</f>
        <v>166.32</v>
      </c>
      <c r="M911" s="631">
        <f>VLOOKUP(J911,Preços!$C$7:$F$498,4,FALSE)</f>
        <v>40</v>
      </c>
      <c r="N911" s="646">
        <f>L911*M911</f>
        <v>6652.7999999999993</v>
      </c>
      <c r="O911" s="767"/>
      <c r="P911" s="632" t="s">
        <v>333</v>
      </c>
      <c r="R911" s="742"/>
      <c r="S911" s="742"/>
    </row>
    <row r="912" spans="1:19" s="761" customFormat="1" ht="22.5" hidden="1" outlineLevel="3" x14ac:dyDescent="0.2">
      <c r="A912" s="762" t="e">
        <f ca="1">IF($H912="UNIDADE CONSTRUTIVA",OFFSET(A912,-1,0)+1,LARGE(A$3:A909,1))</f>
        <v>#NUM!</v>
      </c>
      <c r="B912" s="762">
        <f t="shared" ca="1" si="212"/>
        <v>13</v>
      </c>
      <c r="C912" s="762">
        <f t="shared" ca="1" si="213"/>
        <v>1</v>
      </c>
      <c r="D912" s="763">
        <f t="shared" ca="1" si="214"/>
        <v>5</v>
      </c>
      <c r="E912" s="763">
        <f t="shared" ca="1" si="215"/>
        <v>2</v>
      </c>
      <c r="G912" s="628"/>
      <c r="H912" s="766" t="s">
        <v>368</v>
      </c>
      <c r="I912" s="629" t="str">
        <f ca="1">IF(H912="Unidade Construtiva",TEXT(A912,"00"),IF(H912="Célula Construtiva",TEXT(B912,"00"),IF(H912="Etapa",CONCATENATE(TEXT(B912,"00"),".",TEXT(C912,"000")),IF(H912="Subetapa",CONCATENATE(TEXT(B912,"00"),".",TEXT(C912,"000"),".",TEXT(D912,"000")),IF(H912="Serviço",CONCATENATE(TEXT(B912,"00"),".",TEXT(C912,"000"),".",TEXT(D912,"000"),".",TEXT(E912,"000")),"")))))</f>
        <v>13.001.005.002</v>
      </c>
      <c r="J912" s="654" t="s">
        <v>831</v>
      </c>
      <c r="K912" s="630" t="s">
        <v>1</v>
      </c>
      <c r="L912" s="631">
        <f>L899+L898</f>
        <v>185.39</v>
      </c>
      <c r="M912" s="631">
        <f>VLOOKUP(J912,Preços!$C$7:$F$498,4,FALSE)</f>
        <v>43.9572</v>
      </c>
      <c r="N912" s="646">
        <f>L912*M912</f>
        <v>8149.2253079999991</v>
      </c>
      <c r="O912" s="854"/>
      <c r="P912" s="632" t="s">
        <v>333</v>
      </c>
      <c r="R912" s="742"/>
      <c r="S912" s="742"/>
    </row>
    <row r="913" spans="1:19" s="761" customFormat="1" hidden="1" outlineLevel="2" collapsed="1" x14ac:dyDescent="0.2">
      <c r="A913" s="762" t="e">
        <f ca="1">IF($H913="UNIDADE CONSTRUTIVA",OFFSET(A913,-1,0)+1,LARGE(A$3:A912,1))</f>
        <v>#NUM!</v>
      </c>
      <c r="B913" s="762">
        <f t="shared" ca="1" si="212"/>
        <v>13</v>
      </c>
      <c r="C913" s="762">
        <f t="shared" ca="1" si="213"/>
        <v>1</v>
      </c>
      <c r="D913" s="763">
        <f t="shared" ca="1" si="214"/>
        <v>6</v>
      </c>
      <c r="E913" s="763">
        <f t="shared" ca="1" si="215"/>
        <v>0</v>
      </c>
      <c r="G913" s="628"/>
      <c r="H913" s="766" t="s">
        <v>367</v>
      </c>
      <c r="I913" s="629" t="str">
        <f t="shared" ref="I913:I984" ca="1" si="216">IF(H913="Unidade Construtiva",TEXT(A913,"00"),IF(H913="Célula Construtiva",TEXT(B913,"00"),IF(H913="Etapa",CONCATENATE(TEXT(B913,"00"),".",TEXT(C913,"000")),IF(H913="Subetapa",CONCATENATE(TEXT(B913,"00"),".",TEXT(C913,"000"),".",TEXT(D913,"000")),IF(H913="Serviço",CONCATENATE(TEXT(B913,"00"),".",TEXT(C913,"000"),".",TEXT(D913,"000"),".",TEXT(E913,"000")),"")))))</f>
        <v>13.001.006</v>
      </c>
      <c r="J913" s="654" t="s">
        <v>788</v>
      </c>
      <c r="K913" s="630"/>
      <c r="L913" s="631"/>
      <c r="M913" s="631"/>
      <c r="N913" s="646">
        <f>SUM(N914:N916)</f>
        <v>7296.1479999999992</v>
      </c>
      <c r="O913" s="767"/>
      <c r="P913" s="632"/>
      <c r="R913" s="742"/>
      <c r="S913" s="742"/>
    </row>
    <row r="914" spans="1:19" s="761" customFormat="1" ht="22.5" hidden="1" outlineLevel="3" x14ac:dyDescent="0.2">
      <c r="A914" s="762" t="e">
        <f ca="1">IF($H914="UNIDADE CONSTRUTIVA",OFFSET(A914,-1,0)+1,LARGE(A$3:A913,1))</f>
        <v>#NUM!</v>
      </c>
      <c r="B914" s="762">
        <f t="shared" ca="1" si="212"/>
        <v>13</v>
      </c>
      <c r="C914" s="762">
        <f t="shared" ca="1" si="213"/>
        <v>1</v>
      </c>
      <c r="D914" s="763">
        <f t="shared" ca="1" si="214"/>
        <v>6</v>
      </c>
      <c r="E914" s="763">
        <f t="shared" ca="1" si="215"/>
        <v>1</v>
      </c>
      <c r="G914" s="628"/>
      <c r="H914" s="766" t="s">
        <v>368</v>
      </c>
      <c r="I914" s="629" t="str">
        <f t="shared" ca="1" si="216"/>
        <v>13.001.006.001</v>
      </c>
      <c r="J914" s="654" t="s">
        <v>832</v>
      </c>
      <c r="K914" s="630" t="s">
        <v>3</v>
      </c>
      <c r="L914" s="631">
        <f>L901</f>
        <v>27.73</v>
      </c>
      <c r="M914" s="631">
        <f>VLOOKUP(J914,Preços!$C$7:$F$498,4,FALSE)</f>
        <v>22</v>
      </c>
      <c r="N914" s="646">
        <f>L914*M914</f>
        <v>610.06000000000006</v>
      </c>
      <c r="O914" s="767"/>
      <c r="P914" s="632" t="s">
        <v>333</v>
      </c>
      <c r="R914" s="742"/>
      <c r="S914" s="742"/>
    </row>
    <row r="915" spans="1:19" s="761" customFormat="1" ht="22.5" hidden="1" outlineLevel="3" x14ac:dyDescent="0.2">
      <c r="A915" s="762" t="e">
        <f ca="1">IF($H915="UNIDADE CONSTRUTIVA",OFFSET(A915,-1,0)+1,LARGE(A$3:A914,1))</f>
        <v>#NUM!</v>
      </c>
      <c r="B915" s="762">
        <f t="shared" ca="1" si="212"/>
        <v>13</v>
      </c>
      <c r="C915" s="762">
        <f t="shared" ca="1" si="213"/>
        <v>1</v>
      </c>
      <c r="D915" s="763">
        <f t="shared" ca="1" si="214"/>
        <v>6</v>
      </c>
      <c r="E915" s="763">
        <f t="shared" ca="1" si="215"/>
        <v>2</v>
      </c>
      <c r="G915" s="628"/>
      <c r="H915" s="766" t="s">
        <v>368</v>
      </c>
      <c r="I915" s="629" t="str">
        <f t="shared" ca="1" si="216"/>
        <v>13.001.006.002</v>
      </c>
      <c r="J915" s="654" t="s">
        <v>833</v>
      </c>
      <c r="K915" s="630" t="s">
        <v>3</v>
      </c>
      <c r="L915" s="631">
        <f>L902+L903</f>
        <v>38.379999999999995</v>
      </c>
      <c r="M915" s="631">
        <f>VLOOKUP(J915,Preços!$C$7:$F$498,4,FALSE)</f>
        <v>32.6</v>
      </c>
      <c r="N915" s="646">
        <f>L915*M915</f>
        <v>1251.1879999999999</v>
      </c>
      <c r="O915" s="767"/>
      <c r="P915" s="632" t="s">
        <v>333</v>
      </c>
      <c r="R915" s="742"/>
      <c r="S915" s="742"/>
    </row>
    <row r="916" spans="1:19" s="761" customFormat="1" ht="22.5" hidden="1" outlineLevel="3" x14ac:dyDescent="0.2">
      <c r="A916" s="762" t="e">
        <f ca="1">IF($H916="UNIDADE CONSTRUTIVA",OFFSET(A916,-1,0)+1,LARGE(A$3:A913,1))</f>
        <v>#NUM!</v>
      </c>
      <c r="B916" s="762">
        <f t="shared" ca="1" si="212"/>
        <v>13</v>
      </c>
      <c r="C916" s="762">
        <f t="shared" ca="1" si="213"/>
        <v>1</v>
      </c>
      <c r="D916" s="763">
        <f t="shared" ca="1" si="214"/>
        <v>6</v>
      </c>
      <c r="E916" s="763">
        <f t="shared" ca="1" si="215"/>
        <v>3</v>
      </c>
      <c r="G916" s="628"/>
      <c r="H916" s="766" t="s">
        <v>368</v>
      </c>
      <c r="I916" s="629" t="str">
        <f t="shared" ca="1" si="216"/>
        <v>13.001.006.003</v>
      </c>
      <c r="J916" s="654" t="s">
        <v>834</v>
      </c>
      <c r="K916" s="630" t="s">
        <v>3</v>
      </c>
      <c r="L916" s="631">
        <f>L904+L905</f>
        <v>127.88</v>
      </c>
      <c r="M916" s="631">
        <f>VLOOKUP(J916,Preços!$C$7:$F$498,4,FALSE)</f>
        <v>42.5</v>
      </c>
      <c r="N916" s="646">
        <f>L916*M916</f>
        <v>5434.9</v>
      </c>
      <c r="O916" s="767"/>
      <c r="P916" s="632" t="s">
        <v>333</v>
      </c>
      <c r="R916" s="742"/>
      <c r="S916" s="742"/>
    </row>
    <row r="917" spans="1:19" s="761" customFormat="1" hidden="1" outlineLevel="2" collapsed="1" x14ac:dyDescent="0.2">
      <c r="A917" s="762" t="e">
        <f ca="1">IF($H917="UNIDADE CONSTRUTIVA",OFFSET(A917,-1,0)+1,LARGE(A$3:A913,1))</f>
        <v>#NUM!</v>
      </c>
      <c r="B917" s="762">
        <f t="shared" ca="1" si="212"/>
        <v>13</v>
      </c>
      <c r="C917" s="762">
        <f t="shared" ca="1" si="213"/>
        <v>1</v>
      </c>
      <c r="D917" s="763">
        <f t="shared" ca="1" si="214"/>
        <v>7</v>
      </c>
      <c r="E917" s="763">
        <f t="shared" ca="1" si="215"/>
        <v>0</v>
      </c>
      <c r="G917" s="628"/>
      <c r="H917" s="766" t="s">
        <v>367</v>
      </c>
      <c r="I917" s="629" t="str">
        <f t="shared" ca="1" si="216"/>
        <v>13.001.007</v>
      </c>
      <c r="J917" s="654" t="s">
        <v>789</v>
      </c>
      <c r="K917" s="630"/>
      <c r="L917" s="631"/>
      <c r="M917" s="631"/>
      <c r="N917" s="646">
        <f>SUM(N918)</f>
        <v>55.800000000000004</v>
      </c>
      <c r="O917" s="767"/>
      <c r="P917" s="632"/>
      <c r="R917" s="742"/>
      <c r="S917" s="742"/>
    </row>
    <row r="918" spans="1:19" s="761" customFormat="1" ht="22.5" hidden="1" outlineLevel="3" x14ac:dyDescent="0.2">
      <c r="A918" s="762" t="e">
        <f ca="1">IF($H918="UNIDADE CONSTRUTIVA",OFFSET(A918,-1,0)+1,LARGE(A$3:A917,1))</f>
        <v>#NUM!</v>
      </c>
      <c r="B918" s="762">
        <f t="shared" ca="1" si="212"/>
        <v>13</v>
      </c>
      <c r="C918" s="762">
        <f t="shared" ca="1" si="213"/>
        <v>1</v>
      </c>
      <c r="D918" s="763">
        <f t="shared" ca="1" si="214"/>
        <v>7</v>
      </c>
      <c r="E918" s="763">
        <f t="shared" ca="1" si="215"/>
        <v>1</v>
      </c>
      <c r="G918" s="628"/>
      <c r="H918" s="766" t="s">
        <v>368</v>
      </c>
      <c r="I918" s="629" t="str">
        <f t="shared" ca="1" si="216"/>
        <v>13.001.007.001</v>
      </c>
      <c r="J918" s="654" t="s">
        <v>835</v>
      </c>
      <c r="K918" s="630" t="s">
        <v>3</v>
      </c>
      <c r="L918" s="631">
        <f>L907</f>
        <v>1.86</v>
      </c>
      <c r="M918" s="631">
        <f>VLOOKUP(J918,Preços!$C$7:$F$498,4,FALSE)</f>
        <v>30</v>
      </c>
      <c r="N918" s="646">
        <f>L918*M918</f>
        <v>55.800000000000004</v>
      </c>
      <c r="O918" s="767"/>
      <c r="P918" s="632" t="s">
        <v>333</v>
      </c>
      <c r="R918" s="742"/>
      <c r="S918" s="742"/>
    </row>
    <row r="919" spans="1:19" s="761" customFormat="1" hidden="1" outlineLevel="2" x14ac:dyDescent="0.2">
      <c r="A919" s="762" t="e">
        <f ca="1">IF($H919="UNIDADE CONSTRUTIVA",OFFSET(A919,-1,0)+1,LARGE(A$3:A918,1))</f>
        <v>#NUM!</v>
      </c>
      <c r="B919" s="762">
        <f t="shared" ca="1" si="212"/>
        <v>13</v>
      </c>
      <c r="C919" s="762">
        <f t="shared" ca="1" si="213"/>
        <v>1</v>
      </c>
      <c r="D919" s="763">
        <f t="shared" ca="1" si="214"/>
        <v>8</v>
      </c>
      <c r="E919" s="763">
        <f t="shared" ca="1" si="215"/>
        <v>0</v>
      </c>
      <c r="G919" s="628"/>
      <c r="H919" s="766" t="s">
        <v>367</v>
      </c>
      <c r="I919" s="629" t="str">
        <f t="shared" ca="1" si="216"/>
        <v>13.001.008</v>
      </c>
      <c r="J919" s="654" t="s">
        <v>791</v>
      </c>
      <c r="K919" s="630"/>
      <c r="L919" s="631"/>
      <c r="M919" s="631"/>
      <c r="N919" s="646">
        <f>SUM(N920)</f>
        <v>1835.7849999999999</v>
      </c>
      <c r="O919" s="767"/>
      <c r="P919" s="632"/>
      <c r="R919" s="742"/>
      <c r="S919" s="742"/>
    </row>
    <row r="920" spans="1:19" s="761" customFormat="1" ht="22.5" hidden="1" outlineLevel="3" x14ac:dyDescent="0.2">
      <c r="A920" s="762" t="e">
        <f ca="1">IF($H920="UNIDADE CONSTRUTIVA",OFFSET(A920,-1,0)+1,LARGE(A$3:A917,1))</f>
        <v>#NUM!</v>
      </c>
      <c r="B920" s="762">
        <f t="shared" ref="B920:B975" ca="1" si="217">IF(H920="UNIDADE CONSTRUTIVA",0,IF(H920="CÉLULA CONSTRUTIVA",OFFSET(B920,-1,0)+1,OFFSET(B920,-1,0)))</f>
        <v>13</v>
      </c>
      <c r="C920" s="762">
        <f t="shared" ref="C920:C975" ca="1" si="218">IF(H920="CÉLULA CONSTRUTIVA",0,IF(H920="ETAPA",OFFSET(C920,-1,0)+1,OFFSET(C920,-1,0)))</f>
        <v>1</v>
      </c>
      <c r="D920" s="763">
        <f t="shared" ref="D920:D975" ca="1" si="219">IF(H920="ETAPA",0,IF(H920="SUBETAPA",OFFSET(D920,-1,0)+1,OFFSET(D920,-1,0)))</f>
        <v>8</v>
      </c>
      <c r="E920" s="763">
        <f t="shared" ref="E920:E975" ca="1" si="220">IF(H920="Subetapa",0,IF(H920="serviço",OFFSET(E920,-1,0)+1,OFFSET(E920,-1,0)))</f>
        <v>1</v>
      </c>
      <c r="G920" s="628"/>
      <c r="H920" s="766" t="s">
        <v>368</v>
      </c>
      <c r="I920" s="629" t="str">
        <f t="shared" ca="1" si="216"/>
        <v>13.001.008.001</v>
      </c>
      <c r="J920" s="654" t="s">
        <v>837</v>
      </c>
      <c r="K920" s="630" t="s">
        <v>1</v>
      </c>
      <c r="L920" s="631">
        <f>SUM(L909:L909)</f>
        <v>62.23</v>
      </c>
      <c r="M920" s="631">
        <f>VLOOKUP(J920,Preços!$C$7:$F$498,4,FALSE)</f>
        <v>29.5</v>
      </c>
      <c r="N920" s="646">
        <f>L920*M920</f>
        <v>1835.7849999999999</v>
      </c>
      <c r="O920" s="767"/>
      <c r="P920" s="632" t="s">
        <v>333</v>
      </c>
      <c r="R920" s="742"/>
      <c r="S920" s="742"/>
    </row>
    <row r="921" spans="1:19" s="761" customFormat="1" ht="22.5" hidden="1" outlineLevel="1" collapsed="1" x14ac:dyDescent="0.2">
      <c r="A921" s="762" t="e">
        <f ca="1">IF($H921="UNIDADE CONSTRUTIVA",OFFSET(A921,-1,0)+1,LARGE(A$3:A1279,1))</f>
        <v>#NUM!</v>
      </c>
      <c r="B921" s="762">
        <f t="shared" ref="B921:B929" ca="1" si="221">IF(H921="UNIDADE CONSTRUTIVA",0,IF(H921="CÉLULA CONSTRUTIVA",OFFSET(B921,-1,0)+1,OFFSET(B921,-1,0)))</f>
        <v>13</v>
      </c>
      <c r="C921" s="762">
        <f t="shared" ref="C921:C929" ca="1" si="222">IF(H921="CÉLULA CONSTRUTIVA",0,IF(H921="ETAPA",OFFSET(C921,-1,0)+1,OFFSET(C921,-1,0)))</f>
        <v>2</v>
      </c>
      <c r="D921" s="763">
        <f t="shared" ref="D921:D929" ca="1" si="223">IF(H921="ETAPA",0,IF(H921="SUBETAPA",OFFSET(D921,-1,0)+1,OFFSET(D921,-1,0)))</f>
        <v>0</v>
      </c>
      <c r="E921" s="763">
        <f t="shared" ref="E921:E929" ca="1" si="224">IF(H921="Subetapa",0,IF(H921="serviço",OFFSET(E921,-1,0)+1,OFFSET(E921,-1,0)))</f>
        <v>1</v>
      </c>
      <c r="G921" s="628"/>
      <c r="H921" s="766" t="s">
        <v>366</v>
      </c>
      <c r="I921" s="629" t="str">
        <f t="shared" ref="I921:I931" ca="1" si="225">IF(H921="Unidade Construtiva",TEXT(A921,"00"),IF(H921="Célula Construtiva",TEXT(B921,"00"),IF(H921="Etapa",CONCATENATE(TEXT(B921,"00"),".",TEXT(C921,"000")),IF(H921="Subetapa",CONCATENATE(TEXT(B921,"00"),".",TEXT(C921,"000"),".",TEXT(D921,"000")),IF(H921="Serviço",CONCATENATE(TEXT(B921,"00"),".",TEXT(C921,"000"),".",TEXT(D921,"000"),".",TEXT(E921,"000")),"")))))</f>
        <v>13.002</v>
      </c>
      <c r="J921" s="654" t="s">
        <v>842</v>
      </c>
      <c r="K921" s="630"/>
      <c r="L921" s="631"/>
      <c r="M921" s="631"/>
      <c r="N921" s="646">
        <f>SUM(N922,N925,N927,N930)</f>
        <v>17029.341980000001</v>
      </c>
      <c r="O921" s="767"/>
      <c r="P921" s="632"/>
      <c r="R921" s="742"/>
      <c r="S921" s="742"/>
    </row>
    <row r="922" spans="1:19" s="761" customFormat="1" hidden="1" outlineLevel="2" collapsed="1" x14ac:dyDescent="0.2">
      <c r="A922" s="762" t="e">
        <f ca="1">IF($H922="UNIDADE CONSTRUTIVA",OFFSET(A922,-1,0)+1,LARGE(A$3:A406,1))</f>
        <v>#NUM!</v>
      </c>
      <c r="B922" s="762">
        <f t="shared" ca="1" si="221"/>
        <v>13</v>
      </c>
      <c r="C922" s="762">
        <f t="shared" ca="1" si="222"/>
        <v>2</v>
      </c>
      <c r="D922" s="763">
        <f t="shared" ca="1" si="223"/>
        <v>1</v>
      </c>
      <c r="E922" s="763">
        <f t="shared" ca="1" si="224"/>
        <v>0</v>
      </c>
      <c r="G922" s="628"/>
      <c r="H922" s="766" t="s">
        <v>367</v>
      </c>
      <c r="I922" s="629" t="str">
        <f t="shared" ca="1" si="225"/>
        <v>13.002.001</v>
      </c>
      <c r="J922" s="654" t="s">
        <v>784</v>
      </c>
      <c r="K922" s="630"/>
      <c r="L922" s="631"/>
      <c r="M922" s="631"/>
      <c r="N922" s="646">
        <f>SUM(N923:N924)</f>
        <v>11722.532800000001</v>
      </c>
      <c r="O922" s="767"/>
      <c r="P922" s="632"/>
      <c r="R922" s="742"/>
      <c r="S922" s="742"/>
    </row>
    <row r="923" spans="1:19" s="761" customFormat="1" ht="22.5" hidden="1" outlineLevel="3" x14ac:dyDescent="0.2">
      <c r="A923" s="762" t="e">
        <f ca="1">IF($H923="UNIDADE CONSTRUTIVA",OFFSET(A923,-1,0)+1,LARGE(A$3:A1279,1))</f>
        <v>#NUM!</v>
      </c>
      <c r="B923" s="762">
        <f t="shared" ca="1" si="221"/>
        <v>13</v>
      </c>
      <c r="C923" s="762">
        <f t="shared" ca="1" si="222"/>
        <v>2</v>
      </c>
      <c r="D923" s="763">
        <f t="shared" ca="1" si="223"/>
        <v>1</v>
      </c>
      <c r="E923" s="763">
        <f t="shared" ca="1" si="224"/>
        <v>1</v>
      </c>
      <c r="G923" s="628"/>
      <c r="H923" s="766" t="s">
        <v>368</v>
      </c>
      <c r="I923" s="629" t="str">
        <f t="shared" ca="1" si="225"/>
        <v>13.002.001.001</v>
      </c>
      <c r="J923" s="654" t="s">
        <v>853</v>
      </c>
      <c r="K923" s="630" t="s">
        <v>1</v>
      </c>
      <c r="L923" s="631">
        <f>ARQ.!C153</f>
        <v>123.4</v>
      </c>
      <c r="M923" s="631">
        <f>VLOOKUP(J923,Preços!$C$7:$F$498,4,FALSE)</f>
        <v>88.066000000000003</v>
      </c>
      <c r="N923" s="646">
        <f>L923*M923</f>
        <v>10867.3444</v>
      </c>
      <c r="O923" s="767"/>
      <c r="P923" s="632" t="s">
        <v>333</v>
      </c>
      <c r="R923" s="742"/>
      <c r="S923" s="742"/>
    </row>
    <row r="924" spans="1:19" s="761" customFormat="1" ht="22.5" hidden="1" outlineLevel="3" x14ac:dyDescent="0.2">
      <c r="A924" s="762" t="e">
        <f ca="1">IF($H924="UNIDADE CONSTRUTIVA",OFFSET(A924,-1,0)+1,LARGE(A$3:A923,1))</f>
        <v>#NUM!</v>
      </c>
      <c r="B924" s="762">
        <f t="shared" ca="1" si="221"/>
        <v>13</v>
      </c>
      <c r="C924" s="762">
        <f t="shared" ca="1" si="222"/>
        <v>2</v>
      </c>
      <c r="D924" s="763">
        <f t="shared" ca="1" si="223"/>
        <v>1</v>
      </c>
      <c r="E924" s="763">
        <f t="shared" ca="1" si="224"/>
        <v>2</v>
      </c>
      <c r="G924" s="628"/>
      <c r="H924" s="766" t="s">
        <v>368</v>
      </c>
      <c r="I924" s="629" t="str">
        <f t="shared" ca="1" si="225"/>
        <v>13.002.001.002</v>
      </c>
      <c r="J924" s="654" t="s">
        <v>816</v>
      </c>
      <c r="K924" s="630" t="s">
        <v>1</v>
      </c>
      <c r="L924" s="631">
        <f>ARQ.!C154</f>
        <v>7.4</v>
      </c>
      <c r="M924" s="631">
        <f>VLOOKUP(J924,Preços!$C$7:$F$498,4,FALSE)</f>
        <v>115.566</v>
      </c>
      <c r="N924" s="646">
        <f>L924*M924</f>
        <v>855.18840000000012</v>
      </c>
      <c r="O924" s="767"/>
      <c r="P924" s="632" t="s">
        <v>333</v>
      </c>
      <c r="R924" s="742"/>
      <c r="S924" s="742"/>
    </row>
    <row r="925" spans="1:19" s="761" customFormat="1" hidden="1" outlineLevel="2" collapsed="1" x14ac:dyDescent="0.2">
      <c r="A925" s="762" t="e">
        <f ca="1">IF($H925="UNIDADE CONSTRUTIVA",OFFSET(A925,-1,0)+1,LARGE(A$3:A926,1))</f>
        <v>#NUM!</v>
      </c>
      <c r="B925" s="762">
        <f t="shared" ca="1" si="221"/>
        <v>13</v>
      </c>
      <c r="C925" s="762">
        <f t="shared" ca="1" si="222"/>
        <v>2</v>
      </c>
      <c r="D925" s="763">
        <f t="shared" ca="1" si="223"/>
        <v>2</v>
      </c>
      <c r="E925" s="763">
        <f t="shared" ca="1" si="224"/>
        <v>0</v>
      </c>
      <c r="G925" s="628"/>
      <c r="H925" s="766" t="s">
        <v>367</v>
      </c>
      <c r="I925" s="629" t="str">
        <f t="shared" ca="1" si="225"/>
        <v>13.002.002</v>
      </c>
      <c r="J925" s="654" t="s">
        <v>346</v>
      </c>
      <c r="K925" s="630"/>
      <c r="L925" s="631"/>
      <c r="M925" s="631"/>
      <c r="N925" s="646">
        <f>SUM(N926)</f>
        <v>35.0259</v>
      </c>
      <c r="O925" s="767"/>
      <c r="P925" s="632"/>
      <c r="R925" s="742"/>
      <c r="S925" s="742"/>
    </row>
    <row r="926" spans="1:19" s="761" customFormat="1" ht="22.5" hidden="1" outlineLevel="3" x14ac:dyDescent="0.2">
      <c r="A926" s="762" t="e">
        <f ca="1">IF($H926="UNIDADE CONSTRUTIVA",OFFSET(A926,-1,0)+1,LARGE(A$3:A925,1))</f>
        <v>#NUM!</v>
      </c>
      <c r="B926" s="762">
        <f t="shared" ca="1" si="221"/>
        <v>13</v>
      </c>
      <c r="C926" s="762">
        <f t="shared" ca="1" si="222"/>
        <v>2</v>
      </c>
      <c r="D926" s="763">
        <f t="shared" ca="1" si="223"/>
        <v>2</v>
      </c>
      <c r="E926" s="763">
        <f t="shared" ca="1" si="224"/>
        <v>1</v>
      </c>
      <c r="G926" s="628"/>
      <c r="H926" s="766" t="s">
        <v>368</v>
      </c>
      <c r="I926" s="629" t="str">
        <f t="shared" ca="1" si="225"/>
        <v>13.002.002.001</v>
      </c>
      <c r="J926" s="654" t="s">
        <v>946</v>
      </c>
      <c r="K926" s="630" t="s">
        <v>3</v>
      </c>
      <c r="L926" s="631">
        <f>ARQ.!C156</f>
        <v>0.35</v>
      </c>
      <c r="M926" s="631">
        <f>VLOOKUP(J926,Preços!$C$7:$F$498,4,FALSE)</f>
        <v>100.074</v>
      </c>
      <c r="N926" s="646">
        <f>L926*M926</f>
        <v>35.0259</v>
      </c>
      <c r="O926" s="767"/>
      <c r="P926" s="632" t="s">
        <v>333</v>
      </c>
      <c r="R926" s="742"/>
      <c r="S926" s="742"/>
    </row>
    <row r="927" spans="1:19" s="761" customFormat="1" hidden="1" outlineLevel="2" collapsed="1" x14ac:dyDescent="0.2">
      <c r="A927" s="762" t="e">
        <f ca="1">IF($H927="UNIDADE CONSTRUTIVA",OFFSET(A927,-1,0)+1,LARGE(A$3:A926,1))</f>
        <v>#NUM!</v>
      </c>
      <c r="B927" s="762">
        <f t="shared" ca="1" si="221"/>
        <v>13</v>
      </c>
      <c r="C927" s="762">
        <f t="shared" ca="1" si="222"/>
        <v>2</v>
      </c>
      <c r="D927" s="763">
        <f t="shared" ca="1" si="223"/>
        <v>3</v>
      </c>
      <c r="E927" s="763">
        <f t="shared" ca="1" si="224"/>
        <v>0</v>
      </c>
      <c r="G927" s="628"/>
      <c r="H927" s="766" t="s">
        <v>367</v>
      </c>
      <c r="I927" s="629" t="str">
        <f t="shared" ca="1" si="225"/>
        <v>13.002.003</v>
      </c>
      <c r="J927" s="654" t="s">
        <v>787</v>
      </c>
      <c r="K927" s="630"/>
      <c r="L927" s="631"/>
      <c r="M927" s="631"/>
      <c r="N927" s="646">
        <f>SUM(N928:N929)</f>
        <v>5261.2832799999996</v>
      </c>
      <c r="O927" s="767"/>
      <c r="P927" s="632"/>
      <c r="R927" s="742"/>
      <c r="S927" s="742"/>
    </row>
    <row r="928" spans="1:19" s="761" customFormat="1" ht="22.5" hidden="1" outlineLevel="3" x14ac:dyDescent="0.2">
      <c r="A928" s="762" t="e">
        <f ca="1">IF($H928="UNIDADE CONSTRUTIVA",OFFSET(A928,-1,0)+1,LARGE(A$3:A926,1))</f>
        <v>#NUM!</v>
      </c>
      <c r="B928" s="762">
        <f t="shared" ca="1" si="221"/>
        <v>13</v>
      </c>
      <c r="C928" s="762">
        <f t="shared" ca="1" si="222"/>
        <v>2</v>
      </c>
      <c r="D928" s="763">
        <f t="shared" ca="1" si="223"/>
        <v>3</v>
      </c>
      <c r="E928" s="763">
        <f t="shared" ca="1" si="224"/>
        <v>1</v>
      </c>
      <c r="G928" s="628"/>
      <c r="H928" s="766" t="s">
        <v>368</v>
      </c>
      <c r="I928" s="629" t="str">
        <f t="shared" ca="1" si="225"/>
        <v>13.002.003.001</v>
      </c>
      <c r="J928" s="654" t="s">
        <v>829</v>
      </c>
      <c r="K928" s="630" t="s">
        <v>1</v>
      </c>
      <c r="L928" s="631">
        <f>L923</f>
        <v>123.4</v>
      </c>
      <c r="M928" s="631">
        <f>VLOOKUP(J928,Preços!$C$7:$F$498,4,FALSE)</f>
        <v>40</v>
      </c>
      <c r="N928" s="646">
        <f>L928*M928</f>
        <v>4936</v>
      </c>
      <c r="O928" s="767"/>
      <c r="P928" s="632" t="s">
        <v>333</v>
      </c>
      <c r="R928" s="742"/>
      <c r="S928" s="742"/>
    </row>
    <row r="929" spans="1:19" s="761" customFormat="1" ht="22.5" hidden="1" outlineLevel="3" x14ac:dyDescent="0.2">
      <c r="A929" s="762" t="e">
        <f ca="1">IF($H929="UNIDADE CONSTRUTIVA",OFFSET(A929,-1,0)+1,LARGE(A$3:A926,1))</f>
        <v>#NUM!</v>
      </c>
      <c r="B929" s="762">
        <f t="shared" ca="1" si="221"/>
        <v>13</v>
      </c>
      <c r="C929" s="762">
        <f t="shared" ca="1" si="222"/>
        <v>2</v>
      </c>
      <c r="D929" s="763">
        <f t="shared" ca="1" si="223"/>
        <v>3</v>
      </c>
      <c r="E929" s="763">
        <f t="shared" ca="1" si="224"/>
        <v>2</v>
      </c>
      <c r="G929" s="628"/>
      <c r="H929" s="766" t="s">
        <v>368</v>
      </c>
      <c r="I929" s="629" t="str">
        <f t="shared" ca="1" si="225"/>
        <v>13.002.003.002</v>
      </c>
      <c r="J929" s="654" t="s">
        <v>831</v>
      </c>
      <c r="K929" s="630" t="s">
        <v>1</v>
      </c>
      <c r="L929" s="631">
        <f>L924</f>
        <v>7.4</v>
      </c>
      <c r="M929" s="631">
        <f>VLOOKUP(J929,Preços!$C$7:$F$498,4,FALSE)</f>
        <v>43.9572</v>
      </c>
      <c r="N929" s="646">
        <f>L929*M929</f>
        <v>325.28327999999999</v>
      </c>
      <c r="O929" s="767"/>
      <c r="P929" s="632" t="s">
        <v>333</v>
      </c>
      <c r="R929" s="742"/>
      <c r="S929" s="742"/>
    </row>
    <row r="930" spans="1:19" s="761" customFormat="1" hidden="1" outlineLevel="2" x14ac:dyDescent="0.2">
      <c r="A930" s="762" t="e">
        <f ca="1">IF($H930="UNIDADE CONSTRUTIVA",OFFSET(A930,-1,0)+1,LARGE(A$3:A929,1))</f>
        <v>#NUM!</v>
      </c>
      <c r="B930" s="762">
        <f ca="1">IF(H930="UNIDADE CONSTRUTIVA",0,IF(H930="CÉLULA CONSTRUTIVA",OFFSET(B930,-1,0)+1,OFFSET(B930,-1,0)))</f>
        <v>13</v>
      </c>
      <c r="C930" s="762">
        <f ca="1">IF(H930="CÉLULA CONSTRUTIVA",0,IF(H930="ETAPA",OFFSET(C930,-1,0)+1,OFFSET(C930,-1,0)))</f>
        <v>2</v>
      </c>
      <c r="D930" s="763">
        <f ca="1">IF(H930="ETAPA",0,IF(H930="SUBETAPA",OFFSET(D930,-1,0)+1,OFFSET(D930,-1,0)))</f>
        <v>4</v>
      </c>
      <c r="E930" s="763">
        <f ca="1">IF(H930="Subetapa",0,IF(H930="serviço",OFFSET(E930,-1,0)+1,OFFSET(E930,-1,0)))</f>
        <v>0</v>
      </c>
      <c r="G930" s="628"/>
      <c r="H930" s="766" t="s">
        <v>367</v>
      </c>
      <c r="I930" s="629" t="str">
        <f t="shared" ca="1" si="225"/>
        <v>13.002.004</v>
      </c>
      <c r="J930" s="654" t="s">
        <v>789</v>
      </c>
      <c r="K930" s="630"/>
      <c r="L930" s="631"/>
      <c r="M930" s="631"/>
      <c r="N930" s="646">
        <f>SUM(N931)</f>
        <v>10.5</v>
      </c>
      <c r="O930" s="767"/>
      <c r="P930" s="632"/>
      <c r="R930" s="742"/>
      <c r="S930" s="742"/>
    </row>
    <row r="931" spans="1:19" s="761" customFormat="1" ht="22.5" hidden="1" outlineLevel="3" x14ac:dyDescent="0.2">
      <c r="A931" s="762" t="e">
        <f ca="1">IF($H931="UNIDADE CONSTRUTIVA",OFFSET(A931,-1,0)+1,LARGE(A$3:A930,1))</f>
        <v>#NUM!</v>
      </c>
      <c r="B931" s="762">
        <f ca="1">IF(H931="UNIDADE CONSTRUTIVA",0,IF(H931="CÉLULA CONSTRUTIVA",OFFSET(B931,-1,0)+1,OFFSET(B931,-1,0)))</f>
        <v>13</v>
      </c>
      <c r="C931" s="762">
        <f ca="1">IF(H931="CÉLULA CONSTRUTIVA",0,IF(H931="ETAPA",OFFSET(C931,-1,0)+1,OFFSET(C931,-1,0)))</f>
        <v>2</v>
      </c>
      <c r="D931" s="763">
        <f ca="1">IF(H931="ETAPA",0,IF(H931="SUBETAPA",OFFSET(D931,-1,0)+1,OFFSET(D931,-1,0)))</f>
        <v>4</v>
      </c>
      <c r="E931" s="763">
        <f ca="1">IF(H931="Subetapa",0,IF(H931="serviço",OFFSET(E931,-1,0)+1,OFFSET(E931,-1,0)))</f>
        <v>1</v>
      </c>
      <c r="G931" s="628"/>
      <c r="H931" s="766" t="s">
        <v>368</v>
      </c>
      <c r="I931" s="629" t="str">
        <f t="shared" ca="1" si="225"/>
        <v>13.002.004.001</v>
      </c>
      <c r="J931" s="654" t="s">
        <v>835</v>
      </c>
      <c r="K931" s="630" t="s">
        <v>3</v>
      </c>
      <c r="L931" s="631">
        <f>L926</f>
        <v>0.35</v>
      </c>
      <c r="M931" s="631">
        <f>VLOOKUP(J931,Preços!$C$7:$F$498,4,FALSE)</f>
        <v>30</v>
      </c>
      <c r="N931" s="646">
        <f>L931*M931</f>
        <v>10.5</v>
      </c>
      <c r="O931" s="767"/>
      <c r="P931" s="632" t="s">
        <v>333</v>
      </c>
      <c r="R931" s="742"/>
      <c r="S931" s="742"/>
    </row>
    <row r="932" spans="1:19" s="761" customFormat="1" ht="22.5" hidden="1" outlineLevel="1" collapsed="1" x14ac:dyDescent="0.2">
      <c r="A932" s="762" t="e">
        <f ca="1">IF($H932="UNIDADE CONSTRUTIVA",OFFSET(A932,-1,0)+1,LARGE(A$3:A749,1))</f>
        <v>#NUM!</v>
      </c>
      <c r="B932" s="762">
        <f t="shared" ca="1" si="217"/>
        <v>13</v>
      </c>
      <c r="C932" s="762">
        <f t="shared" ca="1" si="218"/>
        <v>3</v>
      </c>
      <c r="D932" s="763">
        <f t="shared" ca="1" si="219"/>
        <v>0</v>
      </c>
      <c r="E932" s="763">
        <f t="shared" ca="1" si="220"/>
        <v>1</v>
      </c>
      <c r="G932" s="628"/>
      <c r="H932" s="766" t="s">
        <v>366</v>
      </c>
      <c r="I932" s="629" t="str">
        <f t="shared" ca="1" si="216"/>
        <v>13.003</v>
      </c>
      <c r="J932" s="654" t="s">
        <v>843</v>
      </c>
      <c r="K932" s="630"/>
      <c r="L932" s="631"/>
      <c r="M932" s="631"/>
      <c r="N932" s="646">
        <f>SUM(N933,N936,N938,N941)</f>
        <v>17029.341980000001</v>
      </c>
      <c r="O932" s="767"/>
      <c r="P932" s="632"/>
      <c r="R932" s="742"/>
      <c r="S932" s="742"/>
    </row>
    <row r="933" spans="1:19" s="761" customFormat="1" hidden="1" outlineLevel="2" collapsed="1" x14ac:dyDescent="0.2">
      <c r="A933" s="762" t="e">
        <f ca="1">IF($H933="UNIDADE CONSTRUTIVA",OFFSET(A933,-1,0)+1,LARGE(A$3:A454,1))</f>
        <v>#NUM!</v>
      </c>
      <c r="B933" s="762">
        <f t="shared" ca="1" si="217"/>
        <v>13</v>
      </c>
      <c r="C933" s="762">
        <f t="shared" ca="1" si="218"/>
        <v>3</v>
      </c>
      <c r="D933" s="763">
        <f t="shared" ca="1" si="219"/>
        <v>1</v>
      </c>
      <c r="E933" s="763">
        <f t="shared" ca="1" si="220"/>
        <v>0</v>
      </c>
      <c r="G933" s="628"/>
      <c r="H933" s="766" t="s">
        <v>367</v>
      </c>
      <c r="I933" s="629" t="str">
        <f t="shared" ca="1" si="216"/>
        <v>13.003.001</v>
      </c>
      <c r="J933" s="654" t="s">
        <v>784</v>
      </c>
      <c r="K933" s="630"/>
      <c r="L933" s="631"/>
      <c r="M933" s="631"/>
      <c r="N933" s="646">
        <f>SUM(N934:N935)</f>
        <v>11722.532800000001</v>
      </c>
      <c r="O933" s="767"/>
      <c r="P933" s="632"/>
      <c r="R933" s="742"/>
      <c r="S933" s="742"/>
    </row>
    <row r="934" spans="1:19" s="761" customFormat="1" ht="22.5" hidden="1" outlineLevel="3" x14ac:dyDescent="0.2">
      <c r="A934" s="762" t="e">
        <f ca="1">IF($H934="UNIDADE CONSTRUTIVA",OFFSET(A934,-1,0)+1,LARGE(A$3:A749,1))</f>
        <v>#NUM!</v>
      </c>
      <c r="B934" s="762">
        <f t="shared" ca="1" si="217"/>
        <v>13</v>
      </c>
      <c r="C934" s="762">
        <f t="shared" ca="1" si="218"/>
        <v>3</v>
      </c>
      <c r="D934" s="763">
        <f t="shared" ca="1" si="219"/>
        <v>1</v>
      </c>
      <c r="E934" s="763">
        <f t="shared" ca="1" si="220"/>
        <v>1</v>
      </c>
      <c r="G934" s="628"/>
      <c r="H934" s="766" t="s">
        <v>368</v>
      </c>
      <c r="I934" s="629" t="str">
        <f t="shared" ca="1" si="216"/>
        <v>13.003.001.001</v>
      </c>
      <c r="J934" s="654" t="s">
        <v>853</v>
      </c>
      <c r="K934" s="630" t="s">
        <v>1</v>
      </c>
      <c r="L934" s="631">
        <f>ARQ.!C227</f>
        <v>123.4</v>
      </c>
      <c r="M934" s="631">
        <f>VLOOKUP(J934,Preços!$C$7:$F$498,4,FALSE)</f>
        <v>88.066000000000003</v>
      </c>
      <c r="N934" s="646">
        <f>L934*M934</f>
        <v>10867.3444</v>
      </c>
      <c r="O934" s="767"/>
      <c r="P934" s="632" t="s">
        <v>333</v>
      </c>
      <c r="R934" s="742"/>
      <c r="S934" s="742"/>
    </row>
    <row r="935" spans="1:19" s="761" customFormat="1" ht="22.5" hidden="1" outlineLevel="3" x14ac:dyDescent="0.2">
      <c r="A935" s="762" t="e">
        <f ca="1">IF($H935="UNIDADE CONSTRUTIVA",OFFSET(A935,-1,0)+1,LARGE(A$3:A934,1))</f>
        <v>#NUM!</v>
      </c>
      <c r="B935" s="762">
        <f t="shared" ca="1" si="217"/>
        <v>13</v>
      </c>
      <c r="C935" s="762">
        <f t="shared" ca="1" si="218"/>
        <v>3</v>
      </c>
      <c r="D935" s="763">
        <f t="shared" ca="1" si="219"/>
        <v>1</v>
      </c>
      <c r="E935" s="763">
        <f t="shared" ca="1" si="220"/>
        <v>2</v>
      </c>
      <c r="G935" s="628"/>
      <c r="H935" s="766" t="s">
        <v>368</v>
      </c>
      <c r="I935" s="629" t="str">
        <f t="shared" ca="1" si="216"/>
        <v>13.003.001.002</v>
      </c>
      <c r="J935" s="654" t="s">
        <v>816</v>
      </c>
      <c r="K935" s="630" t="s">
        <v>1</v>
      </c>
      <c r="L935" s="631">
        <f>ARQ.!C228</f>
        <v>7.4</v>
      </c>
      <c r="M935" s="631">
        <f>VLOOKUP(J935,Preços!$C$7:$F$498,4,FALSE)</f>
        <v>115.566</v>
      </c>
      <c r="N935" s="646">
        <f>L935*M935</f>
        <v>855.18840000000012</v>
      </c>
      <c r="O935" s="767"/>
      <c r="P935" s="632" t="s">
        <v>333</v>
      </c>
      <c r="R935" s="742"/>
      <c r="S935" s="742"/>
    </row>
    <row r="936" spans="1:19" s="761" customFormat="1" hidden="1" outlineLevel="2" collapsed="1" x14ac:dyDescent="0.2">
      <c r="A936" s="762" t="e">
        <f ca="1">IF($H936="UNIDADE CONSTRUTIVA",OFFSET(A936,-1,0)+1,LARGE(A$3:A937,1))</f>
        <v>#NUM!</v>
      </c>
      <c r="B936" s="762">
        <f t="shared" ca="1" si="217"/>
        <v>13</v>
      </c>
      <c r="C936" s="762">
        <f t="shared" ca="1" si="218"/>
        <v>3</v>
      </c>
      <c r="D936" s="763">
        <f t="shared" ca="1" si="219"/>
        <v>2</v>
      </c>
      <c r="E936" s="763">
        <f t="shared" ca="1" si="220"/>
        <v>0</v>
      </c>
      <c r="G936" s="628"/>
      <c r="H936" s="766" t="s">
        <v>367</v>
      </c>
      <c r="I936" s="629" t="str">
        <f t="shared" ca="1" si="216"/>
        <v>13.003.002</v>
      </c>
      <c r="J936" s="654" t="s">
        <v>346</v>
      </c>
      <c r="K936" s="630"/>
      <c r="L936" s="631"/>
      <c r="M936" s="631"/>
      <c r="N936" s="646">
        <f>SUM(N937)</f>
        <v>35.0259</v>
      </c>
      <c r="O936" s="767"/>
      <c r="P936" s="632"/>
      <c r="R936" s="742"/>
      <c r="S936" s="742"/>
    </row>
    <row r="937" spans="1:19" s="761" customFormat="1" ht="22.5" hidden="1" outlineLevel="3" x14ac:dyDescent="0.2">
      <c r="A937" s="762" t="e">
        <f ca="1">IF($H937="UNIDADE CONSTRUTIVA",OFFSET(A937,-1,0)+1,LARGE(A$3:A936,1))</f>
        <v>#NUM!</v>
      </c>
      <c r="B937" s="762">
        <f t="shared" ca="1" si="217"/>
        <v>13</v>
      </c>
      <c r="C937" s="762">
        <f t="shared" ca="1" si="218"/>
        <v>3</v>
      </c>
      <c r="D937" s="763">
        <f t="shared" ca="1" si="219"/>
        <v>2</v>
      </c>
      <c r="E937" s="763">
        <f t="shared" ca="1" si="220"/>
        <v>1</v>
      </c>
      <c r="G937" s="628"/>
      <c r="H937" s="766" t="s">
        <v>368</v>
      </c>
      <c r="I937" s="629" t="str">
        <f t="shared" ca="1" si="216"/>
        <v>13.003.002.001</v>
      </c>
      <c r="J937" s="654" t="s">
        <v>946</v>
      </c>
      <c r="K937" s="630" t="s">
        <v>3</v>
      </c>
      <c r="L937" s="631">
        <f>ARQ.!C230</f>
        <v>0.35</v>
      </c>
      <c r="M937" s="631">
        <f>VLOOKUP(J937,Preços!$C$7:$F$498,4,FALSE)</f>
        <v>100.074</v>
      </c>
      <c r="N937" s="646">
        <f>L937*M937</f>
        <v>35.0259</v>
      </c>
      <c r="O937" s="767"/>
      <c r="P937" s="632" t="s">
        <v>333</v>
      </c>
      <c r="R937" s="742"/>
      <c r="S937" s="742"/>
    </row>
    <row r="938" spans="1:19" s="761" customFormat="1" hidden="1" outlineLevel="2" collapsed="1" x14ac:dyDescent="0.2">
      <c r="A938" s="762" t="e">
        <f ca="1">IF($H938="UNIDADE CONSTRUTIVA",OFFSET(A938,-1,0)+1,LARGE(A$3:A937,1))</f>
        <v>#NUM!</v>
      </c>
      <c r="B938" s="762">
        <f t="shared" ca="1" si="217"/>
        <v>13</v>
      </c>
      <c r="C938" s="762">
        <f t="shared" ca="1" si="218"/>
        <v>3</v>
      </c>
      <c r="D938" s="763">
        <f t="shared" ca="1" si="219"/>
        <v>3</v>
      </c>
      <c r="E938" s="763">
        <f t="shared" ca="1" si="220"/>
        <v>0</v>
      </c>
      <c r="G938" s="628"/>
      <c r="H938" s="766" t="s">
        <v>367</v>
      </c>
      <c r="I938" s="629" t="str">
        <f t="shared" ca="1" si="216"/>
        <v>13.003.003</v>
      </c>
      <c r="J938" s="654" t="s">
        <v>787</v>
      </c>
      <c r="K938" s="630"/>
      <c r="L938" s="631"/>
      <c r="M938" s="631"/>
      <c r="N938" s="646">
        <f>SUM(N939:N940)</f>
        <v>5261.2832799999996</v>
      </c>
      <c r="O938" s="767"/>
      <c r="P938" s="632"/>
      <c r="R938" s="742"/>
      <c r="S938" s="742"/>
    </row>
    <row r="939" spans="1:19" s="761" customFormat="1" ht="22.5" hidden="1" outlineLevel="3" x14ac:dyDescent="0.2">
      <c r="A939" s="762" t="e">
        <f ca="1">IF($H939="UNIDADE CONSTRUTIVA",OFFSET(A939,-1,0)+1,LARGE(A$3:A937,1))</f>
        <v>#NUM!</v>
      </c>
      <c r="B939" s="762">
        <f t="shared" ca="1" si="217"/>
        <v>13</v>
      </c>
      <c r="C939" s="762">
        <f t="shared" ca="1" si="218"/>
        <v>3</v>
      </c>
      <c r="D939" s="763">
        <f t="shared" ca="1" si="219"/>
        <v>3</v>
      </c>
      <c r="E939" s="763">
        <f t="shared" ca="1" si="220"/>
        <v>1</v>
      </c>
      <c r="G939" s="628"/>
      <c r="H939" s="766" t="s">
        <v>368</v>
      </c>
      <c r="I939" s="629" t="str">
        <f t="shared" ca="1" si="216"/>
        <v>13.003.003.001</v>
      </c>
      <c r="J939" s="654" t="s">
        <v>829</v>
      </c>
      <c r="K939" s="630" t="s">
        <v>1</v>
      </c>
      <c r="L939" s="631">
        <f>L934</f>
        <v>123.4</v>
      </c>
      <c r="M939" s="631">
        <f>VLOOKUP(J939,Preços!$C$7:$F$498,4,FALSE)</f>
        <v>40</v>
      </c>
      <c r="N939" s="646">
        <f>L939*M939</f>
        <v>4936</v>
      </c>
      <c r="O939" s="767"/>
      <c r="P939" s="632" t="s">
        <v>333</v>
      </c>
      <c r="R939" s="742"/>
      <c r="S939" s="742"/>
    </row>
    <row r="940" spans="1:19" s="761" customFormat="1" ht="22.5" hidden="1" outlineLevel="3" x14ac:dyDescent="0.2">
      <c r="A940" s="762" t="e">
        <f ca="1">IF($H940="UNIDADE CONSTRUTIVA",OFFSET(A940,-1,0)+1,LARGE(A$3:A937,1))</f>
        <v>#NUM!</v>
      </c>
      <c r="B940" s="762">
        <f t="shared" ca="1" si="217"/>
        <v>13</v>
      </c>
      <c r="C940" s="762">
        <f t="shared" ca="1" si="218"/>
        <v>3</v>
      </c>
      <c r="D940" s="763">
        <f t="shared" ca="1" si="219"/>
        <v>3</v>
      </c>
      <c r="E940" s="763">
        <f t="shared" ca="1" si="220"/>
        <v>2</v>
      </c>
      <c r="G940" s="628"/>
      <c r="H940" s="766" t="s">
        <v>368</v>
      </c>
      <c r="I940" s="629" t="str">
        <f t="shared" ca="1" si="216"/>
        <v>13.003.003.002</v>
      </c>
      <c r="J940" s="654" t="s">
        <v>831</v>
      </c>
      <c r="K940" s="630" t="s">
        <v>1</v>
      </c>
      <c r="L940" s="631">
        <f>L935</f>
        <v>7.4</v>
      </c>
      <c r="M940" s="631">
        <f>VLOOKUP(J940,Preços!$C$7:$F$498,4,FALSE)</f>
        <v>43.9572</v>
      </c>
      <c r="N940" s="646">
        <f>L940*M940</f>
        <v>325.28327999999999</v>
      </c>
      <c r="O940" s="767"/>
      <c r="P940" s="632" t="s">
        <v>333</v>
      </c>
      <c r="R940" s="742"/>
      <c r="S940" s="742"/>
    </row>
    <row r="941" spans="1:19" s="761" customFormat="1" hidden="1" outlineLevel="2" x14ac:dyDescent="0.2">
      <c r="A941" s="762" t="e">
        <f ca="1">IF($H941="UNIDADE CONSTRUTIVA",OFFSET(A941,-1,0)+1,LARGE(A$3:A940,1))</f>
        <v>#NUM!</v>
      </c>
      <c r="B941" s="762">
        <f ca="1">IF(H941="UNIDADE CONSTRUTIVA",0,IF(H941="CÉLULA CONSTRUTIVA",OFFSET(B941,-1,0)+1,OFFSET(B941,-1,0)))</f>
        <v>13</v>
      </c>
      <c r="C941" s="762">
        <f ca="1">IF(H941="CÉLULA CONSTRUTIVA",0,IF(H941="ETAPA",OFFSET(C941,-1,0)+1,OFFSET(C941,-1,0)))</f>
        <v>3</v>
      </c>
      <c r="D941" s="763">
        <f ca="1">IF(H941="ETAPA",0,IF(H941="SUBETAPA",OFFSET(D941,-1,0)+1,OFFSET(D941,-1,0)))</f>
        <v>4</v>
      </c>
      <c r="E941" s="763">
        <f ca="1">IF(H941="Subetapa",0,IF(H941="serviço",OFFSET(E941,-1,0)+1,OFFSET(E941,-1,0)))</f>
        <v>0</v>
      </c>
      <c r="G941" s="628"/>
      <c r="H941" s="766" t="s">
        <v>367</v>
      </c>
      <c r="I941" s="629" t="str">
        <f t="shared" ca="1" si="216"/>
        <v>13.003.004</v>
      </c>
      <c r="J941" s="654" t="s">
        <v>789</v>
      </c>
      <c r="K941" s="630"/>
      <c r="L941" s="631"/>
      <c r="M941" s="631"/>
      <c r="N941" s="646">
        <f>SUM(N942)</f>
        <v>10.5</v>
      </c>
      <c r="O941" s="767"/>
      <c r="P941" s="632"/>
      <c r="R941" s="742"/>
      <c r="S941" s="742"/>
    </row>
    <row r="942" spans="1:19" s="761" customFormat="1" ht="22.5" hidden="1" outlineLevel="3" x14ac:dyDescent="0.2">
      <c r="A942" s="762" t="e">
        <f ca="1">IF($H942="UNIDADE CONSTRUTIVA",OFFSET(A942,-1,0)+1,LARGE(A$3:A941,1))</f>
        <v>#NUM!</v>
      </c>
      <c r="B942" s="762">
        <f ca="1">IF(H942="UNIDADE CONSTRUTIVA",0,IF(H942="CÉLULA CONSTRUTIVA",OFFSET(B942,-1,0)+1,OFFSET(B942,-1,0)))</f>
        <v>13</v>
      </c>
      <c r="C942" s="762">
        <f ca="1">IF(H942="CÉLULA CONSTRUTIVA",0,IF(H942="ETAPA",OFFSET(C942,-1,0)+1,OFFSET(C942,-1,0)))</f>
        <v>3</v>
      </c>
      <c r="D942" s="763">
        <f ca="1">IF(H942="ETAPA",0,IF(H942="SUBETAPA",OFFSET(D942,-1,0)+1,OFFSET(D942,-1,0)))</f>
        <v>4</v>
      </c>
      <c r="E942" s="763">
        <f ca="1">IF(H942="Subetapa",0,IF(H942="serviço",OFFSET(E942,-1,0)+1,OFFSET(E942,-1,0)))</f>
        <v>1</v>
      </c>
      <c r="G942" s="628"/>
      <c r="H942" s="766" t="s">
        <v>368</v>
      </c>
      <c r="I942" s="629" t="str">
        <f t="shared" ca="1" si="216"/>
        <v>13.003.004.001</v>
      </c>
      <c r="J942" s="654" t="s">
        <v>835</v>
      </c>
      <c r="K942" s="630" t="s">
        <v>3</v>
      </c>
      <c r="L942" s="631">
        <f>L937</f>
        <v>0.35</v>
      </c>
      <c r="M942" s="631">
        <f>VLOOKUP(J942,Preços!$C$7:$F$498,4,FALSE)</f>
        <v>30</v>
      </c>
      <c r="N942" s="646">
        <f>L942*M942</f>
        <v>10.5</v>
      </c>
      <c r="O942" s="767"/>
      <c r="P942" s="632" t="s">
        <v>333</v>
      </c>
      <c r="R942" s="742"/>
      <c r="S942" s="742"/>
    </row>
    <row r="943" spans="1:19" s="761" customFormat="1" ht="22.5" hidden="1" outlineLevel="1" collapsed="1" x14ac:dyDescent="0.2">
      <c r="A943" s="762" t="e">
        <f ca="1">IF($H943="UNIDADE CONSTRUTIVA",OFFSET(A943,-1,0)+1,LARGE(A$3:A800,1))</f>
        <v>#NUM!</v>
      </c>
      <c r="B943" s="762">
        <f t="shared" ref="B943:B949" ca="1" si="226">IF(H943="UNIDADE CONSTRUTIVA",0,IF(H943="CÉLULA CONSTRUTIVA",OFFSET(B943,-1,0)+1,OFFSET(B943,-1,0)))</f>
        <v>13</v>
      </c>
      <c r="C943" s="762">
        <f t="shared" ref="C943:C949" ca="1" si="227">IF(H943="CÉLULA CONSTRUTIVA",0,IF(H943="ETAPA",OFFSET(C943,-1,0)+1,OFFSET(C943,-1,0)))</f>
        <v>4</v>
      </c>
      <c r="D943" s="763">
        <f t="shared" ref="D943:D949" ca="1" si="228">IF(H943="ETAPA",0,IF(H943="SUBETAPA",OFFSET(D943,-1,0)+1,OFFSET(D943,-1,0)))</f>
        <v>0</v>
      </c>
      <c r="E943" s="763">
        <f t="shared" ref="E943:E949" ca="1" si="229">IF(H943="Subetapa",0,IF(H943="serviço",OFFSET(E943,-1,0)+1,OFFSET(E943,-1,0)))</f>
        <v>1</v>
      </c>
      <c r="G943" s="628"/>
      <c r="H943" s="766" t="s">
        <v>366</v>
      </c>
      <c r="I943" s="629" t="str">
        <f t="shared" ref="I943:I951" ca="1" si="230">IF(H943="Unidade Construtiva",TEXT(A943,"00"),IF(H943="Célula Construtiva",TEXT(B943,"00"),IF(H943="Etapa",CONCATENATE(TEXT(B943,"00"),".",TEXT(C943,"000")),IF(H943="Subetapa",CONCATENATE(TEXT(B943,"00"),".",TEXT(C943,"000"),".",TEXT(D943,"000")),IF(H943="Serviço",CONCATENATE(TEXT(B943,"00"),".",TEXT(C943,"000"),".",TEXT(D943,"000"),".",TEXT(E943,"000")),"")))))</f>
        <v>13.004</v>
      </c>
      <c r="J943" s="654" t="s">
        <v>844</v>
      </c>
      <c r="K943" s="630"/>
      <c r="L943" s="631"/>
      <c r="M943" s="631"/>
      <c r="N943" s="646">
        <f>SUM(N944,N946,N948,N950)</f>
        <v>1225.9975800000002</v>
      </c>
      <c r="O943" s="767"/>
      <c r="P943" s="632"/>
      <c r="R943" s="742"/>
      <c r="S943" s="742"/>
    </row>
    <row r="944" spans="1:19" s="761" customFormat="1" hidden="1" outlineLevel="2" collapsed="1" x14ac:dyDescent="0.2">
      <c r="A944" s="762" t="e">
        <f ca="1">IF($H944="UNIDADE CONSTRUTIVA",OFFSET(A944,-1,0)+1,LARGE(A$3:A500,1))</f>
        <v>#NUM!</v>
      </c>
      <c r="B944" s="762">
        <f t="shared" ca="1" si="226"/>
        <v>13</v>
      </c>
      <c r="C944" s="762">
        <f t="shared" ca="1" si="227"/>
        <v>4</v>
      </c>
      <c r="D944" s="763">
        <f t="shared" ca="1" si="228"/>
        <v>1</v>
      </c>
      <c r="E944" s="763">
        <f t="shared" ca="1" si="229"/>
        <v>0</v>
      </c>
      <c r="G944" s="628"/>
      <c r="H944" s="766" t="s">
        <v>367</v>
      </c>
      <c r="I944" s="629" t="str">
        <f t="shared" ca="1" si="230"/>
        <v>13.004.001</v>
      </c>
      <c r="J944" s="654" t="s">
        <v>784</v>
      </c>
      <c r="K944" s="630"/>
      <c r="L944" s="631"/>
      <c r="M944" s="631"/>
      <c r="N944" s="646">
        <f>SUM(N945)</f>
        <v>855.18840000000012</v>
      </c>
      <c r="O944" s="767"/>
      <c r="P944" s="632"/>
      <c r="R944" s="742"/>
      <c r="S944" s="742"/>
    </row>
    <row r="945" spans="1:19" s="761" customFormat="1" ht="22.5" hidden="1" outlineLevel="3" x14ac:dyDescent="0.2">
      <c r="A945" s="762" t="e">
        <f ca="1">IF($H945="UNIDADE CONSTRUTIVA",OFFSET(A945,-1,0)+1,LARGE(A$3:A944,1))</f>
        <v>#NUM!</v>
      </c>
      <c r="B945" s="762">
        <f t="shared" ca="1" si="226"/>
        <v>13</v>
      </c>
      <c r="C945" s="762">
        <f t="shared" ca="1" si="227"/>
        <v>4</v>
      </c>
      <c r="D945" s="763">
        <f t="shared" ca="1" si="228"/>
        <v>1</v>
      </c>
      <c r="E945" s="763">
        <f t="shared" ca="1" si="229"/>
        <v>1</v>
      </c>
      <c r="G945" s="628"/>
      <c r="H945" s="766" t="s">
        <v>368</v>
      </c>
      <c r="I945" s="629" t="str">
        <f t="shared" ca="1" si="230"/>
        <v>13.004.001.001</v>
      </c>
      <c r="J945" s="654" t="s">
        <v>816</v>
      </c>
      <c r="K945" s="630" t="s">
        <v>1</v>
      </c>
      <c r="L945" s="631">
        <f>ARQ.!C303</f>
        <v>7.4</v>
      </c>
      <c r="M945" s="631">
        <f>VLOOKUP(J945,Preços!$C$7:$F$498,4,FALSE)</f>
        <v>115.566</v>
      </c>
      <c r="N945" s="646">
        <f>L945*M945</f>
        <v>855.18840000000012</v>
      </c>
      <c r="O945" s="767"/>
      <c r="P945" s="632" t="s">
        <v>333</v>
      </c>
      <c r="R945" s="742"/>
      <c r="S945" s="742"/>
    </row>
    <row r="946" spans="1:19" s="761" customFormat="1" hidden="1" outlineLevel="2" collapsed="1" x14ac:dyDescent="0.2">
      <c r="A946" s="762" t="e">
        <f ca="1">IF($H946="UNIDADE CONSTRUTIVA",OFFSET(A946,-1,0)+1,LARGE(A$3:A947,1))</f>
        <v>#NUM!</v>
      </c>
      <c r="B946" s="762">
        <f t="shared" ca="1" si="226"/>
        <v>13</v>
      </c>
      <c r="C946" s="762">
        <f t="shared" ca="1" si="227"/>
        <v>4</v>
      </c>
      <c r="D946" s="763">
        <f t="shared" ca="1" si="228"/>
        <v>2</v>
      </c>
      <c r="E946" s="763">
        <f t="shared" ca="1" si="229"/>
        <v>0</v>
      </c>
      <c r="G946" s="628"/>
      <c r="H946" s="766" t="s">
        <v>367</v>
      </c>
      <c r="I946" s="629" t="str">
        <f t="shared" ca="1" si="230"/>
        <v>13.004.002</v>
      </c>
      <c r="J946" s="654" t="s">
        <v>346</v>
      </c>
      <c r="K946" s="630"/>
      <c r="L946" s="631"/>
      <c r="M946" s="631"/>
      <c r="N946" s="646">
        <f>SUM(N947)</f>
        <v>35.0259</v>
      </c>
      <c r="O946" s="767"/>
      <c r="P946" s="632"/>
      <c r="R946" s="742"/>
      <c r="S946" s="742"/>
    </row>
    <row r="947" spans="1:19" s="761" customFormat="1" ht="22.5" hidden="1" outlineLevel="3" x14ac:dyDescent="0.2">
      <c r="A947" s="762" t="e">
        <f ca="1">IF($H947="UNIDADE CONSTRUTIVA",OFFSET(A947,-1,0)+1,LARGE(A$3:A946,1))</f>
        <v>#NUM!</v>
      </c>
      <c r="B947" s="762">
        <f t="shared" ca="1" si="226"/>
        <v>13</v>
      </c>
      <c r="C947" s="762">
        <f t="shared" ca="1" si="227"/>
        <v>4</v>
      </c>
      <c r="D947" s="763">
        <f t="shared" ca="1" si="228"/>
        <v>2</v>
      </c>
      <c r="E947" s="763">
        <f t="shared" ca="1" si="229"/>
        <v>1</v>
      </c>
      <c r="G947" s="628"/>
      <c r="H947" s="766" t="s">
        <v>368</v>
      </c>
      <c r="I947" s="629" t="str">
        <f t="shared" ca="1" si="230"/>
        <v>13.004.002.001</v>
      </c>
      <c r="J947" s="654" t="s">
        <v>946</v>
      </c>
      <c r="K947" s="630" t="s">
        <v>3</v>
      </c>
      <c r="L947" s="631">
        <f>ARQ.!C305</f>
        <v>0.35</v>
      </c>
      <c r="M947" s="631">
        <f>VLOOKUP(J947,Preços!$C$7:$F$498,4,FALSE)</f>
        <v>100.074</v>
      </c>
      <c r="N947" s="646">
        <f>L947*M947</f>
        <v>35.0259</v>
      </c>
      <c r="O947" s="767"/>
      <c r="P947" s="632" t="s">
        <v>333</v>
      </c>
      <c r="R947" s="742"/>
      <c r="S947" s="742"/>
    </row>
    <row r="948" spans="1:19" s="761" customFormat="1" hidden="1" outlineLevel="2" collapsed="1" x14ac:dyDescent="0.2">
      <c r="A948" s="762" t="e">
        <f ca="1">IF($H948="UNIDADE CONSTRUTIVA",OFFSET(A948,-1,0)+1,LARGE(A$3:A947,1))</f>
        <v>#NUM!</v>
      </c>
      <c r="B948" s="762">
        <f t="shared" ca="1" si="226"/>
        <v>13</v>
      </c>
      <c r="C948" s="762">
        <f t="shared" ca="1" si="227"/>
        <v>4</v>
      </c>
      <c r="D948" s="763">
        <f t="shared" ca="1" si="228"/>
        <v>3</v>
      </c>
      <c r="E948" s="763">
        <f t="shared" ca="1" si="229"/>
        <v>0</v>
      </c>
      <c r="G948" s="628"/>
      <c r="H948" s="766" t="s">
        <v>367</v>
      </c>
      <c r="I948" s="629" t="str">
        <f t="shared" ca="1" si="230"/>
        <v>13.004.003</v>
      </c>
      <c r="J948" s="654" t="s">
        <v>787</v>
      </c>
      <c r="K948" s="630"/>
      <c r="L948" s="631"/>
      <c r="M948" s="631"/>
      <c r="N948" s="646">
        <f>SUM(N949)</f>
        <v>325.28327999999999</v>
      </c>
      <c r="O948" s="767"/>
      <c r="P948" s="632"/>
      <c r="R948" s="742"/>
      <c r="S948" s="742"/>
    </row>
    <row r="949" spans="1:19" s="761" customFormat="1" ht="22.5" hidden="1" outlineLevel="3" x14ac:dyDescent="0.2">
      <c r="A949" s="762" t="e">
        <f ca="1">IF($H949="UNIDADE CONSTRUTIVA",OFFSET(A949,-1,0)+1,LARGE(A$3:A947,1))</f>
        <v>#NUM!</v>
      </c>
      <c r="B949" s="762">
        <f t="shared" ca="1" si="226"/>
        <v>13</v>
      </c>
      <c r="C949" s="762">
        <f t="shared" ca="1" si="227"/>
        <v>4</v>
      </c>
      <c r="D949" s="763">
        <f t="shared" ca="1" si="228"/>
        <v>3</v>
      </c>
      <c r="E949" s="763">
        <f t="shared" ca="1" si="229"/>
        <v>1</v>
      </c>
      <c r="G949" s="628"/>
      <c r="H949" s="766" t="s">
        <v>368</v>
      </c>
      <c r="I949" s="629" t="str">
        <f t="shared" ca="1" si="230"/>
        <v>13.004.003.001</v>
      </c>
      <c r="J949" s="654" t="s">
        <v>831</v>
      </c>
      <c r="K949" s="630" t="s">
        <v>1</v>
      </c>
      <c r="L949" s="631">
        <f>L945</f>
        <v>7.4</v>
      </c>
      <c r="M949" s="631">
        <f>VLOOKUP(J949,Preços!$C$7:$F$498,4,FALSE)</f>
        <v>43.9572</v>
      </c>
      <c r="N949" s="646">
        <f>L949*M949</f>
        <v>325.28327999999999</v>
      </c>
      <c r="O949" s="767"/>
      <c r="P949" s="632" t="s">
        <v>333</v>
      </c>
      <c r="R949" s="742"/>
      <c r="S949" s="742"/>
    </row>
    <row r="950" spans="1:19" s="761" customFormat="1" hidden="1" outlineLevel="2" x14ac:dyDescent="0.2">
      <c r="A950" s="762" t="e">
        <f ca="1">IF($H950="UNIDADE CONSTRUTIVA",OFFSET(A950,-1,0)+1,LARGE(A$3:A949,1))</f>
        <v>#NUM!</v>
      </c>
      <c r="B950" s="762">
        <f ca="1">IF(H950="UNIDADE CONSTRUTIVA",0,IF(H950="CÉLULA CONSTRUTIVA",OFFSET(B950,-1,0)+1,OFFSET(B950,-1,0)))</f>
        <v>13</v>
      </c>
      <c r="C950" s="762">
        <f ca="1">IF(H950="CÉLULA CONSTRUTIVA",0,IF(H950="ETAPA",OFFSET(C950,-1,0)+1,OFFSET(C950,-1,0)))</f>
        <v>4</v>
      </c>
      <c r="D950" s="763">
        <f ca="1">IF(H950="ETAPA",0,IF(H950="SUBETAPA",OFFSET(D950,-1,0)+1,OFFSET(D950,-1,0)))</f>
        <v>4</v>
      </c>
      <c r="E950" s="763">
        <f ca="1">IF(H950="Subetapa",0,IF(H950="serviço",OFFSET(E950,-1,0)+1,OFFSET(E950,-1,0)))</f>
        <v>0</v>
      </c>
      <c r="G950" s="628"/>
      <c r="H950" s="766" t="s">
        <v>367</v>
      </c>
      <c r="I950" s="629" t="str">
        <f t="shared" ca="1" si="230"/>
        <v>13.004.004</v>
      </c>
      <c r="J950" s="654" t="s">
        <v>789</v>
      </c>
      <c r="K950" s="630"/>
      <c r="L950" s="631"/>
      <c r="M950" s="631"/>
      <c r="N950" s="646">
        <f>SUM(N951)</f>
        <v>10.5</v>
      </c>
      <c r="O950" s="767"/>
      <c r="P950" s="632"/>
      <c r="R950" s="742"/>
      <c r="S950" s="742"/>
    </row>
    <row r="951" spans="1:19" s="761" customFormat="1" ht="22.5" hidden="1" outlineLevel="3" x14ac:dyDescent="0.2">
      <c r="A951" s="762" t="e">
        <f ca="1">IF($H951="UNIDADE CONSTRUTIVA",OFFSET(A951,-1,0)+1,LARGE(A$3:A950,1))</f>
        <v>#NUM!</v>
      </c>
      <c r="B951" s="762">
        <f ca="1">IF(H951="UNIDADE CONSTRUTIVA",0,IF(H951="CÉLULA CONSTRUTIVA",OFFSET(B951,-1,0)+1,OFFSET(B951,-1,0)))</f>
        <v>13</v>
      </c>
      <c r="C951" s="762">
        <f ca="1">IF(H951="CÉLULA CONSTRUTIVA",0,IF(H951="ETAPA",OFFSET(C951,-1,0)+1,OFFSET(C951,-1,0)))</f>
        <v>4</v>
      </c>
      <c r="D951" s="763">
        <f ca="1">IF(H951="ETAPA",0,IF(H951="SUBETAPA",OFFSET(D951,-1,0)+1,OFFSET(D951,-1,0)))</f>
        <v>4</v>
      </c>
      <c r="E951" s="763">
        <f ca="1">IF(H951="Subetapa",0,IF(H951="serviço",OFFSET(E951,-1,0)+1,OFFSET(E951,-1,0)))</f>
        <v>1</v>
      </c>
      <c r="G951" s="628"/>
      <c r="H951" s="766" t="s">
        <v>368</v>
      </c>
      <c r="I951" s="629" t="str">
        <f t="shared" ca="1" si="230"/>
        <v>13.004.004.001</v>
      </c>
      <c r="J951" s="654" t="s">
        <v>835</v>
      </c>
      <c r="K951" s="630" t="s">
        <v>3</v>
      </c>
      <c r="L951" s="631">
        <f>L947</f>
        <v>0.35</v>
      </c>
      <c r="M951" s="631">
        <f>VLOOKUP(J951,Preços!$C$7:$F$498,4,FALSE)</f>
        <v>30</v>
      </c>
      <c r="N951" s="646">
        <f>L951*M951</f>
        <v>10.5</v>
      </c>
      <c r="O951" s="767"/>
      <c r="P951" s="632" t="s">
        <v>333</v>
      </c>
      <c r="R951" s="742"/>
      <c r="S951" s="742"/>
    </row>
    <row r="952" spans="1:19" s="761" customFormat="1" hidden="1" outlineLevel="1" collapsed="1" x14ac:dyDescent="0.2">
      <c r="A952" s="762" t="e">
        <f ca="1">IF($H952="UNIDADE CONSTRUTIVA",OFFSET(A952,-1,0)+1,LARGE(A$3:A848,1))</f>
        <v>#NUM!</v>
      </c>
      <c r="B952" s="762">
        <f t="shared" ca="1" si="217"/>
        <v>13</v>
      </c>
      <c r="C952" s="762">
        <f t="shared" ca="1" si="218"/>
        <v>5</v>
      </c>
      <c r="D952" s="763">
        <f t="shared" ca="1" si="219"/>
        <v>0</v>
      </c>
      <c r="E952" s="763">
        <f t="shared" ca="1" si="220"/>
        <v>1</v>
      </c>
      <c r="G952" s="628"/>
      <c r="H952" s="766" t="s">
        <v>366</v>
      </c>
      <c r="I952" s="629" t="str">
        <f t="shared" ca="1" si="216"/>
        <v>13.005</v>
      </c>
      <c r="J952" s="654" t="s">
        <v>845</v>
      </c>
      <c r="K952" s="630"/>
      <c r="L952" s="631"/>
      <c r="M952" s="631"/>
      <c r="N952" s="646">
        <f>SUM(N953,N958,N960,N962,N964,N967,N969,N971,N973,N976,N979,N981,N983)</f>
        <v>137618.260293</v>
      </c>
      <c r="O952" s="767"/>
      <c r="P952" s="632"/>
      <c r="R952" s="742"/>
      <c r="S952" s="742"/>
    </row>
    <row r="953" spans="1:19" s="761" customFormat="1" hidden="1" outlineLevel="2" collapsed="1" x14ac:dyDescent="0.2">
      <c r="A953" s="762" t="e">
        <f ca="1">IF($H953="UNIDADE CONSTRUTIVA",OFFSET(A953,-1,0)+1,LARGE(A$3:A594,1))</f>
        <v>#NUM!</v>
      </c>
      <c r="B953" s="762">
        <f t="shared" ca="1" si="217"/>
        <v>13</v>
      </c>
      <c r="C953" s="762">
        <f t="shared" ca="1" si="218"/>
        <v>5</v>
      </c>
      <c r="D953" s="763">
        <f t="shared" ca="1" si="219"/>
        <v>1</v>
      </c>
      <c r="E953" s="763">
        <f t="shared" ca="1" si="220"/>
        <v>0</v>
      </c>
      <c r="G953" s="628"/>
      <c r="H953" s="766" t="s">
        <v>367</v>
      </c>
      <c r="I953" s="629" t="str">
        <f t="shared" ca="1" si="216"/>
        <v>13.005.001</v>
      </c>
      <c r="J953" s="654" t="s">
        <v>784</v>
      </c>
      <c r="K953" s="630"/>
      <c r="L953" s="631"/>
      <c r="M953" s="631"/>
      <c r="N953" s="646">
        <f>SUM(N954:N957)</f>
        <v>59437.974552000007</v>
      </c>
      <c r="O953" s="767"/>
      <c r="P953" s="632"/>
      <c r="R953" s="742"/>
      <c r="S953" s="742"/>
    </row>
    <row r="954" spans="1:19" s="761" customFormat="1" ht="22.5" hidden="1" outlineLevel="3" x14ac:dyDescent="0.2">
      <c r="A954" s="762" t="e">
        <f ca="1">IF($H954="UNIDADE CONSTRUTIVA",OFFSET(A954,-1,0)+1,LARGE(A$3:A846,1))</f>
        <v>#NUM!</v>
      </c>
      <c r="B954" s="762">
        <f t="shared" ca="1" si="217"/>
        <v>13</v>
      </c>
      <c r="C954" s="762">
        <f t="shared" ca="1" si="218"/>
        <v>5</v>
      </c>
      <c r="D954" s="763">
        <f t="shared" ca="1" si="219"/>
        <v>1</v>
      </c>
      <c r="E954" s="763">
        <f t="shared" ca="1" si="220"/>
        <v>1</v>
      </c>
      <c r="G954" s="628"/>
      <c r="H954" s="766" t="s">
        <v>368</v>
      </c>
      <c r="I954" s="629" t="str">
        <f t="shared" ca="1" si="216"/>
        <v>13.005.001.001</v>
      </c>
      <c r="J954" s="654" t="s">
        <v>848</v>
      </c>
      <c r="K954" s="630" t="s">
        <v>1</v>
      </c>
      <c r="L954" s="631">
        <f>ARQ.!C394</f>
        <v>1.78</v>
      </c>
      <c r="M954" s="631">
        <f>VLOOKUP(J954,Preços!$C$7:$F$498,4,FALSE)</f>
        <v>77.066000000000003</v>
      </c>
      <c r="N954" s="646">
        <f>L954*M954</f>
        <v>137.17748</v>
      </c>
      <c r="O954" s="767"/>
      <c r="P954" s="632" t="s">
        <v>333</v>
      </c>
      <c r="R954" s="742"/>
      <c r="S954" s="742"/>
    </row>
    <row r="955" spans="1:19" s="761" customFormat="1" ht="22.5" hidden="1" outlineLevel="3" x14ac:dyDescent="0.2">
      <c r="A955" s="762" t="e">
        <f ca="1">IF($H955="UNIDADE CONSTRUTIVA",OFFSET(A955,-1,0)+1,LARGE(A$3:A954,1))</f>
        <v>#NUM!</v>
      </c>
      <c r="B955" s="762">
        <f t="shared" ca="1" si="217"/>
        <v>13</v>
      </c>
      <c r="C955" s="762">
        <f t="shared" ca="1" si="218"/>
        <v>5</v>
      </c>
      <c r="D955" s="763">
        <f t="shared" ca="1" si="219"/>
        <v>1</v>
      </c>
      <c r="E955" s="763">
        <f t="shared" ca="1" si="220"/>
        <v>2</v>
      </c>
      <c r="G955" s="628"/>
      <c r="H955" s="766" t="s">
        <v>368</v>
      </c>
      <c r="I955" s="629" t="str">
        <f t="shared" ca="1" si="216"/>
        <v>13.005.001.002</v>
      </c>
      <c r="J955" s="654" t="s">
        <v>846</v>
      </c>
      <c r="K955" s="630" t="s">
        <v>1</v>
      </c>
      <c r="L955" s="631">
        <f>ARQ.!C395+ARQ.!C396</f>
        <v>76.34</v>
      </c>
      <c r="M955" s="631">
        <f>VLOOKUP(J955,Preços!$C$7:$F$498,4,FALSE)</f>
        <v>181.71080000000001</v>
      </c>
      <c r="N955" s="646">
        <f>L955*M955</f>
        <v>13871.802472000001</v>
      </c>
      <c r="O955" s="767"/>
      <c r="P955" s="632" t="s">
        <v>333</v>
      </c>
      <c r="R955" s="742"/>
      <c r="S955" s="742"/>
    </row>
    <row r="956" spans="1:19" s="761" customFormat="1" ht="22.5" hidden="1" outlineLevel="3" x14ac:dyDescent="0.2">
      <c r="A956" s="762" t="e">
        <f ca="1">IF($H956="UNIDADE CONSTRUTIVA",OFFSET(A956,-1,0)+1,LARGE(A$3:A955,1))</f>
        <v>#NUM!</v>
      </c>
      <c r="B956" s="762">
        <f t="shared" ca="1" si="217"/>
        <v>13</v>
      </c>
      <c r="C956" s="762">
        <f t="shared" ca="1" si="218"/>
        <v>5</v>
      </c>
      <c r="D956" s="763">
        <f t="shared" ca="1" si="219"/>
        <v>1</v>
      </c>
      <c r="E956" s="763">
        <f t="shared" ca="1" si="220"/>
        <v>3</v>
      </c>
      <c r="G956" s="628"/>
      <c r="H956" s="766" t="s">
        <v>368</v>
      </c>
      <c r="I956" s="629" t="str">
        <f t="shared" ca="1" si="216"/>
        <v>13.005.001.003</v>
      </c>
      <c r="J956" s="654" t="s">
        <v>847</v>
      </c>
      <c r="K956" s="630" t="s">
        <v>1</v>
      </c>
      <c r="L956" s="631">
        <f>ARQ.!C397+ARQ.!C398</f>
        <v>362.54</v>
      </c>
      <c r="M956" s="631">
        <f>VLOOKUP(J956,Preços!$C$7:$F$498,4,FALSE)</f>
        <v>115.566</v>
      </c>
      <c r="N956" s="646">
        <f>L956*M956</f>
        <v>41897.297640000004</v>
      </c>
      <c r="O956" s="767"/>
      <c r="P956" s="632" t="s">
        <v>333</v>
      </c>
      <c r="R956" s="742"/>
      <c r="S956" s="742"/>
    </row>
    <row r="957" spans="1:19" s="761" customFormat="1" ht="22.5" hidden="1" outlineLevel="3" x14ac:dyDescent="0.2">
      <c r="A957" s="762" t="e">
        <f ca="1">IF($H957="UNIDADE CONSTRUTIVA",OFFSET(A957,-1,0)+1,LARGE(A$3:A956,1))</f>
        <v>#NUM!</v>
      </c>
      <c r="B957" s="762">
        <f t="shared" ca="1" si="217"/>
        <v>13</v>
      </c>
      <c r="C957" s="762">
        <f t="shared" ca="1" si="218"/>
        <v>5</v>
      </c>
      <c r="D957" s="763">
        <f t="shared" ca="1" si="219"/>
        <v>1</v>
      </c>
      <c r="E957" s="763">
        <f t="shared" ca="1" si="220"/>
        <v>4</v>
      </c>
      <c r="G957" s="628"/>
      <c r="H957" s="766" t="s">
        <v>368</v>
      </c>
      <c r="I957" s="629" t="str">
        <f t="shared" ca="1" si="216"/>
        <v>13.005.001.004</v>
      </c>
      <c r="J957" s="654" t="s">
        <v>816</v>
      </c>
      <c r="K957" s="630" t="s">
        <v>1</v>
      </c>
      <c r="L957" s="631">
        <f>ARQ.!C399</f>
        <v>30.56</v>
      </c>
      <c r="M957" s="631">
        <f>VLOOKUP(J957,Preços!$C$7:$F$498,4,FALSE)</f>
        <v>115.566</v>
      </c>
      <c r="N957" s="646">
        <f>L957*M957</f>
        <v>3531.6969599999998</v>
      </c>
      <c r="O957" s="767"/>
      <c r="P957" s="632" t="s">
        <v>333</v>
      </c>
      <c r="R957" s="742"/>
      <c r="S957" s="742"/>
    </row>
    <row r="958" spans="1:19" s="761" customFormat="1" hidden="1" outlineLevel="2" collapsed="1" x14ac:dyDescent="0.2">
      <c r="A958" s="762" t="e">
        <f ca="1">IF($H958="UNIDADE CONSTRUTIVA",OFFSET(A958,-1,0)+1,LARGE(A$3:A597,1))</f>
        <v>#NUM!</v>
      </c>
      <c r="B958" s="762">
        <f t="shared" ca="1" si="217"/>
        <v>13</v>
      </c>
      <c r="C958" s="762">
        <f t="shared" ca="1" si="218"/>
        <v>5</v>
      </c>
      <c r="D958" s="763">
        <f t="shared" ca="1" si="219"/>
        <v>2</v>
      </c>
      <c r="E958" s="763">
        <f t="shared" ca="1" si="220"/>
        <v>0</v>
      </c>
      <c r="G958" s="628"/>
      <c r="H958" s="766" t="s">
        <v>367</v>
      </c>
      <c r="I958" s="629" t="str">
        <f t="shared" ca="1" si="216"/>
        <v>13.005.002</v>
      </c>
      <c r="J958" s="654" t="s">
        <v>221</v>
      </c>
      <c r="K958" s="630"/>
      <c r="L958" s="631"/>
      <c r="M958" s="631"/>
      <c r="N958" s="646">
        <f>SUM(N959)</f>
        <v>5124.1960000000008</v>
      </c>
      <c r="O958" s="767"/>
      <c r="P958" s="632"/>
      <c r="R958" s="742"/>
      <c r="S958" s="742"/>
    </row>
    <row r="959" spans="1:19" s="761" customFormat="1" ht="22.5" hidden="1" outlineLevel="3" x14ac:dyDescent="0.2">
      <c r="A959" s="762" t="e">
        <f ca="1">IF($H959="UNIDADE CONSTRUTIVA",OFFSET(A959,-1,0)+1,LARGE(A$3:A958,1))</f>
        <v>#NUM!</v>
      </c>
      <c r="B959" s="762">
        <f t="shared" ca="1" si="217"/>
        <v>13</v>
      </c>
      <c r="C959" s="762">
        <f t="shared" ca="1" si="218"/>
        <v>5</v>
      </c>
      <c r="D959" s="763">
        <f t="shared" ca="1" si="219"/>
        <v>2</v>
      </c>
      <c r="E959" s="763">
        <f t="shared" ca="1" si="220"/>
        <v>1</v>
      </c>
      <c r="G959" s="628"/>
      <c r="H959" s="766" t="s">
        <v>368</v>
      </c>
      <c r="I959" s="629" t="str">
        <f t="shared" ca="1" si="216"/>
        <v>13.005.002.001</v>
      </c>
      <c r="J959" s="654" t="s">
        <v>948</v>
      </c>
      <c r="K959" s="630" t="s">
        <v>1</v>
      </c>
      <c r="L959" s="631">
        <f>ARQ.!C379</f>
        <v>13.97</v>
      </c>
      <c r="M959" s="631">
        <f>VLOOKUP(J959,Preços!$C$7:$F$498,4,FALSE)</f>
        <v>366.8</v>
      </c>
      <c r="N959" s="646">
        <f>L959*M959</f>
        <v>5124.1960000000008</v>
      </c>
      <c r="O959" s="767"/>
      <c r="P959" s="632" t="s">
        <v>333</v>
      </c>
      <c r="R959" s="742"/>
      <c r="S959" s="742"/>
    </row>
    <row r="960" spans="1:19" s="761" customFormat="1" hidden="1" outlineLevel="2" collapsed="1" x14ac:dyDescent="0.2">
      <c r="A960" s="762" t="e">
        <f ca="1">IF($H960="UNIDADE CONSTRUTIVA",OFFSET(A960,-1,0)+1,LARGE(A$3:A972,1))</f>
        <v>#NUM!</v>
      </c>
      <c r="B960" s="762">
        <f t="shared" ca="1" si="217"/>
        <v>13</v>
      </c>
      <c r="C960" s="762">
        <f t="shared" ca="1" si="218"/>
        <v>5</v>
      </c>
      <c r="D960" s="763">
        <f t="shared" ca="1" si="219"/>
        <v>3</v>
      </c>
      <c r="E960" s="763">
        <f t="shared" ca="1" si="220"/>
        <v>0</v>
      </c>
      <c r="G960" s="628"/>
      <c r="H960" s="766" t="s">
        <v>367</v>
      </c>
      <c r="I960" s="629" t="str">
        <f t="shared" ca="1" si="216"/>
        <v>13.005.003</v>
      </c>
      <c r="J960" s="654" t="s">
        <v>786</v>
      </c>
      <c r="K960" s="630"/>
      <c r="L960" s="631"/>
      <c r="M960" s="631"/>
      <c r="N960" s="646">
        <f>SUM(N961)</f>
        <v>7211.0722399999995</v>
      </c>
      <c r="O960" s="767"/>
      <c r="P960" s="632"/>
      <c r="R960" s="742"/>
      <c r="S960" s="742"/>
    </row>
    <row r="961" spans="1:19" s="761" customFormat="1" ht="22.5" hidden="1" outlineLevel="3" x14ac:dyDescent="0.2">
      <c r="A961" s="762" t="e">
        <f ca="1">IF($H961="UNIDADE CONSTRUTIVA",OFFSET(A961,-1,0)+1,LARGE(A$3:A960,1))</f>
        <v>#NUM!</v>
      </c>
      <c r="B961" s="762">
        <f t="shared" ca="1" si="217"/>
        <v>13</v>
      </c>
      <c r="C961" s="762">
        <f t="shared" ca="1" si="218"/>
        <v>5</v>
      </c>
      <c r="D961" s="763">
        <f t="shared" ca="1" si="219"/>
        <v>3</v>
      </c>
      <c r="E961" s="763">
        <f t="shared" ca="1" si="220"/>
        <v>1</v>
      </c>
      <c r="G961" s="628"/>
      <c r="H961" s="766" t="s">
        <v>368</v>
      </c>
      <c r="I961" s="629" t="str">
        <f t="shared" ca="1" si="216"/>
        <v>13.005.003.001</v>
      </c>
      <c r="J961" s="654" t="s">
        <v>849</v>
      </c>
      <c r="K961" s="630" t="s">
        <v>1</v>
      </c>
      <c r="L961" s="631">
        <f>ARQ.!C403+ARQ.!C415</f>
        <v>15.64</v>
      </c>
      <c r="M961" s="631">
        <f>VLOOKUP(J961,Preços!$C$7:$F$498,4,FALSE)</f>
        <v>461.06599999999997</v>
      </c>
      <c r="N961" s="646">
        <f>L961*M961</f>
        <v>7211.0722399999995</v>
      </c>
      <c r="O961" s="767"/>
      <c r="P961" s="632" t="s">
        <v>333</v>
      </c>
      <c r="R961" s="742"/>
      <c r="S961" s="742"/>
    </row>
    <row r="962" spans="1:19" s="761" customFormat="1" hidden="1" outlineLevel="2" collapsed="1" x14ac:dyDescent="0.2">
      <c r="A962" s="762" t="e">
        <f ca="1">IF($H962="UNIDADE CONSTRUTIVA",OFFSET(A962,-1,0)+1,LARGE(A$3:A975,1))</f>
        <v>#NUM!</v>
      </c>
      <c r="B962" s="762">
        <f t="shared" ca="1" si="217"/>
        <v>13</v>
      </c>
      <c r="C962" s="762">
        <f t="shared" ca="1" si="218"/>
        <v>5</v>
      </c>
      <c r="D962" s="763">
        <f t="shared" ca="1" si="219"/>
        <v>4</v>
      </c>
      <c r="E962" s="763">
        <f t="shared" ca="1" si="220"/>
        <v>0</v>
      </c>
      <c r="G962" s="628"/>
      <c r="H962" s="766" t="s">
        <v>367</v>
      </c>
      <c r="I962" s="629" t="str">
        <f t="shared" ca="1" si="216"/>
        <v>13.005.004</v>
      </c>
      <c r="J962" s="654" t="s">
        <v>827</v>
      </c>
      <c r="K962" s="630"/>
      <c r="L962" s="631"/>
      <c r="M962" s="631"/>
      <c r="N962" s="646">
        <f>SUM(N963)</f>
        <v>14350.522328999999</v>
      </c>
      <c r="O962" s="767"/>
      <c r="P962" s="632"/>
      <c r="R962" s="742"/>
      <c r="S962" s="742"/>
    </row>
    <row r="963" spans="1:19" s="761" customFormat="1" ht="22.5" hidden="1" outlineLevel="3" x14ac:dyDescent="0.2">
      <c r="A963" s="762" t="e">
        <f ca="1">IF($H963="UNIDADE CONSTRUTIVA",OFFSET(A963,-1,0)+1,LARGE(A$3:A962,1))</f>
        <v>#NUM!</v>
      </c>
      <c r="B963" s="762">
        <f t="shared" ca="1" si="217"/>
        <v>13</v>
      </c>
      <c r="C963" s="762">
        <f t="shared" ca="1" si="218"/>
        <v>5</v>
      </c>
      <c r="D963" s="763">
        <f t="shared" ca="1" si="219"/>
        <v>4</v>
      </c>
      <c r="E963" s="763">
        <f t="shared" ca="1" si="220"/>
        <v>1</v>
      </c>
      <c r="G963" s="628"/>
      <c r="H963" s="766" t="s">
        <v>368</v>
      </c>
      <c r="I963" s="629" t="str">
        <f t="shared" ca="1" si="216"/>
        <v>13.005.004.001</v>
      </c>
      <c r="J963" s="654" t="s">
        <v>1663</v>
      </c>
      <c r="K963" s="630" t="s">
        <v>1</v>
      </c>
      <c r="L963" s="631">
        <f>ARQ.!C401</f>
        <v>28.79</v>
      </c>
      <c r="M963" s="631">
        <f>VLOOKUP(J963,Preços!$C$7:$F$498,4,FALSE)</f>
        <v>498.45510000000002</v>
      </c>
      <c r="N963" s="646">
        <f>L963*M963</f>
        <v>14350.522328999999</v>
      </c>
      <c r="O963" s="854" t="s">
        <v>1414</v>
      </c>
      <c r="P963" s="632" t="s">
        <v>333</v>
      </c>
      <c r="R963" s="742"/>
      <c r="S963" s="742"/>
    </row>
    <row r="964" spans="1:19" s="761" customFormat="1" hidden="1" outlineLevel="2" collapsed="1" x14ac:dyDescent="0.2">
      <c r="A964" s="762" t="e">
        <f ca="1">IF($H964="UNIDADE CONSTRUTIVA",OFFSET(A964,-1,0)+1,LARGE(A$3:A971,1))</f>
        <v>#NUM!</v>
      </c>
      <c r="B964" s="762">
        <f t="shared" ca="1" si="217"/>
        <v>13</v>
      </c>
      <c r="C964" s="762">
        <f t="shared" ca="1" si="218"/>
        <v>5</v>
      </c>
      <c r="D964" s="763">
        <f t="shared" ca="1" si="219"/>
        <v>5</v>
      </c>
      <c r="E964" s="763">
        <f t="shared" ca="1" si="220"/>
        <v>0</v>
      </c>
      <c r="G964" s="628"/>
      <c r="H964" s="766" t="s">
        <v>367</v>
      </c>
      <c r="I964" s="629" t="str">
        <f t="shared" ca="1" si="216"/>
        <v>13.005.005</v>
      </c>
      <c r="J964" s="654" t="s">
        <v>223</v>
      </c>
      <c r="K964" s="630"/>
      <c r="L964" s="631"/>
      <c r="M964" s="631"/>
      <c r="N964" s="646">
        <f>SUM(N965:N966)</f>
        <v>8078.6449279999997</v>
      </c>
      <c r="O964" s="767"/>
      <c r="P964" s="632"/>
      <c r="R964" s="742"/>
      <c r="S964" s="742"/>
    </row>
    <row r="965" spans="1:19" s="761" customFormat="1" ht="22.5" hidden="1" outlineLevel="3" x14ac:dyDescent="0.2">
      <c r="A965" s="762" t="e">
        <f ca="1">IF($H965="UNIDADE CONSTRUTIVA",OFFSET(A965,-1,0)+1,LARGE(A$3:A964,1))</f>
        <v>#NUM!</v>
      </c>
      <c r="B965" s="762">
        <f t="shared" ca="1" si="217"/>
        <v>13</v>
      </c>
      <c r="C965" s="762">
        <f t="shared" ca="1" si="218"/>
        <v>5</v>
      </c>
      <c r="D965" s="763">
        <f t="shared" ca="1" si="219"/>
        <v>5</v>
      </c>
      <c r="E965" s="763">
        <f t="shared" ca="1" si="220"/>
        <v>1</v>
      </c>
      <c r="G965" s="628"/>
      <c r="H965" s="766" t="s">
        <v>368</v>
      </c>
      <c r="I965" s="629" t="str">
        <f t="shared" ca="1" si="216"/>
        <v>13.005.005.001</v>
      </c>
      <c r="J965" s="654" t="s">
        <v>821</v>
      </c>
      <c r="K965" s="630" t="s">
        <v>3</v>
      </c>
      <c r="L965" s="631">
        <f>ARQ.!C405</f>
        <v>60.24</v>
      </c>
      <c r="M965" s="631">
        <f>VLOOKUP(J965,Preços!$C$7:$F$498,4,FALSE)</f>
        <v>11.8512</v>
      </c>
      <c r="N965" s="646">
        <f>L965*M965</f>
        <v>713.91628800000001</v>
      </c>
      <c r="O965" s="767"/>
      <c r="P965" s="632" t="s">
        <v>333</v>
      </c>
      <c r="R965" s="742"/>
      <c r="S965" s="742"/>
    </row>
    <row r="966" spans="1:19" s="761" customFormat="1" ht="22.5" hidden="1" outlineLevel="3" x14ac:dyDescent="0.2">
      <c r="A966" s="762" t="e">
        <f ca="1">IF($H966="UNIDADE CONSTRUTIVA",OFFSET(A966,-1,0)+1,LARGE(A$3:A965,1))</f>
        <v>#NUM!</v>
      </c>
      <c r="B966" s="762">
        <f t="shared" ca="1" si="217"/>
        <v>13</v>
      </c>
      <c r="C966" s="762">
        <f t="shared" ca="1" si="218"/>
        <v>5</v>
      </c>
      <c r="D966" s="763">
        <f t="shared" ca="1" si="219"/>
        <v>5</v>
      </c>
      <c r="E966" s="763">
        <f t="shared" ca="1" si="220"/>
        <v>2</v>
      </c>
      <c r="G966" s="628"/>
      <c r="H966" s="766" t="s">
        <v>368</v>
      </c>
      <c r="I966" s="629" t="str">
        <f t="shared" ca="1" si="216"/>
        <v>13.005.005.002</v>
      </c>
      <c r="J966" s="654" t="s">
        <v>824</v>
      </c>
      <c r="K966" s="630" t="s">
        <v>3</v>
      </c>
      <c r="L966" s="631">
        <f>ARQ.!C406</f>
        <v>131.72</v>
      </c>
      <c r="M966" s="631">
        <f>VLOOKUP(J966,Preços!$C$7:$F$498,4,FALSE)</f>
        <v>55.911999999999999</v>
      </c>
      <c r="N966" s="646">
        <f>L966*M966</f>
        <v>7364.7286399999994</v>
      </c>
      <c r="O966" s="767"/>
      <c r="P966" s="632" t="s">
        <v>333</v>
      </c>
      <c r="R966" s="742"/>
      <c r="S966" s="742"/>
    </row>
    <row r="967" spans="1:19" s="761" customFormat="1" hidden="1" outlineLevel="2" collapsed="1" x14ac:dyDescent="0.2">
      <c r="A967" s="762" t="e">
        <f ca="1">IF($H967="UNIDADE CONSTRUTIVA",OFFSET(A967,-1,0)+1,LARGE(A$3:A972,1))</f>
        <v>#NUM!</v>
      </c>
      <c r="B967" s="762">
        <f t="shared" ca="1" si="217"/>
        <v>13</v>
      </c>
      <c r="C967" s="762">
        <f t="shared" ca="1" si="218"/>
        <v>5</v>
      </c>
      <c r="D967" s="763">
        <f t="shared" ca="1" si="219"/>
        <v>6</v>
      </c>
      <c r="E967" s="763">
        <f t="shared" ca="1" si="220"/>
        <v>0</v>
      </c>
      <c r="G967" s="628"/>
      <c r="H967" s="766" t="s">
        <v>367</v>
      </c>
      <c r="I967" s="629" t="str">
        <f t="shared" ca="1" si="216"/>
        <v>13.005.006</v>
      </c>
      <c r="J967" s="654" t="s">
        <v>346</v>
      </c>
      <c r="K967" s="630"/>
      <c r="L967" s="631"/>
      <c r="M967" s="631"/>
      <c r="N967" s="646">
        <f>SUM(N968)</f>
        <v>196.14503999999999</v>
      </c>
      <c r="O967" s="767"/>
      <c r="P967" s="632"/>
      <c r="R967" s="742"/>
      <c r="S967" s="742"/>
    </row>
    <row r="968" spans="1:19" s="761" customFormat="1" ht="22.5" hidden="1" outlineLevel="3" x14ac:dyDescent="0.2">
      <c r="A968" s="762" t="e">
        <f ca="1">IF($H968="UNIDADE CONSTRUTIVA",OFFSET(A968,-1,0)+1,LARGE(A$3:A967,1))</f>
        <v>#NUM!</v>
      </c>
      <c r="B968" s="762">
        <f t="shared" ca="1" si="217"/>
        <v>13</v>
      </c>
      <c r="C968" s="762">
        <f t="shared" ca="1" si="218"/>
        <v>5</v>
      </c>
      <c r="D968" s="763">
        <f t="shared" ca="1" si="219"/>
        <v>6</v>
      </c>
      <c r="E968" s="763">
        <f t="shared" ca="1" si="220"/>
        <v>1</v>
      </c>
      <c r="G968" s="628"/>
      <c r="H968" s="766" t="s">
        <v>368</v>
      </c>
      <c r="I968" s="629" t="str">
        <f t="shared" ca="1" si="216"/>
        <v>13.005.006.001</v>
      </c>
      <c r="J968" s="654" t="s">
        <v>946</v>
      </c>
      <c r="K968" s="630" t="s">
        <v>3</v>
      </c>
      <c r="L968" s="631">
        <f>ARQ.!C408</f>
        <v>1.96</v>
      </c>
      <c r="M968" s="631">
        <f>VLOOKUP(J968,Preços!$C$7:$F$498,4,FALSE)</f>
        <v>100.074</v>
      </c>
      <c r="N968" s="646">
        <f>L968*M968</f>
        <v>196.14503999999999</v>
      </c>
      <c r="O968" s="767"/>
      <c r="P968" s="632" t="s">
        <v>333</v>
      </c>
      <c r="R968" s="742"/>
      <c r="S968" s="742"/>
    </row>
    <row r="969" spans="1:19" s="761" customFormat="1" hidden="1" outlineLevel="2" collapsed="1" x14ac:dyDescent="0.2">
      <c r="A969" s="762" t="e">
        <f ca="1">IF($H969="UNIDADE CONSTRUTIVA",OFFSET(A969,-1,0)+1,LARGE(A$3:A961,1))</f>
        <v>#NUM!</v>
      </c>
      <c r="B969" s="762">
        <f t="shared" ca="1" si="217"/>
        <v>13</v>
      </c>
      <c r="C969" s="762">
        <f t="shared" ca="1" si="218"/>
        <v>5</v>
      </c>
      <c r="D969" s="763">
        <f t="shared" ca="1" si="219"/>
        <v>7</v>
      </c>
      <c r="E969" s="763">
        <f t="shared" ca="1" si="220"/>
        <v>0</v>
      </c>
      <c r="G969" s="628"/>
      <c r="H969" s="766" t="s">
        <v>367</v>
      </c>
      <c r="I969" s="629" t="str">
        <f t="shared" ca="1" si="216"/>
        <v>13.005.007</v>
      </c>
      <c r="J969" s="654" t="s">
        <v>217</v>
      </c>
      <c r="K969" s="630"/>
      <c r="L969" s="631"/>
      <c r="M969" s="631"/>
      <c r="N969" s="646">
        <f>SUM(N970)</f>
        <v>3331.4634599999999</v>
      </c>
      <c r="O969" s="767"/>
      <c r="P969" s="632"/>
      <c r="R969" s="742"/>
      <c r="S969" s="742"/>
    </row>
    <row r="970" spans="1:19" s="761" customFormat="1" ht="22.5" hidden="1" outlineLevel="3" x14ac:dyDescent="0.2">
      <c r="A970" s="762" t="e">
        <f ca="1">IF($H970="UNIDADE CONSTRUTIVA",OFFSET(A970,-1,0)+1,LARGE(A$3:A969,1))</f>
        <v>#NUM!</v>
      </c>
      <c r="B970" s="762">
        <f t="shared" ca="1" si="217"/>
        <v>13</v>
      </c>
      <c r="C970" s="762">
        <f t="shared" ca="1" si="218"/>
        <v>5</v>
      </c>
      <c r="D970" s="763">
        <f t="shared" ca="1" si="219"/>
        <v>7</v>
      </c>
      <c r="E970" s="763">
        <f t="shared" ca="1" si="220"/>
        <v>1</v>
      </c>
      <c r="G970" s="628"/>
      <c r="H970" s="766" t="s">
        <v>368</v>
      </c>
      <c r="I970" s="629" t="str">
        <f t="shared" ca="1" si="216"/>
        <v>13.005.007.001</v>
      </c>
      <c r="J970" s="654" t="s">
        <v>947</v>
      </c>
      <c r="K970" s="630" t="s">
        <v>3</v>
      </c>
      <c r="L970" s="631">
        <f>ARQ.!C410</f>
        <v>33.29</v>
      </c>
      <c r="M970" s="631">
        <f>VLOOKUP(J970,Preços!$C$7:$F$498,4,FALSE)</f>
        <v>100.074</v>
      </c>
      <c r="N970" s="646">
        <f>L970*M970</f>
        <v>3331.4634599999999</v>
      </c>
      <c r="O970" s="854"/>
      <c r="P970" s="632" t="s">
        <v>333</v>
      </c>
      <c r="R970" s="742"/>
      <c r="S970" s="742"/>
    </row>
    <row r="971" spans="1:19" s="761" customFormat="1" hidden="1" outlineLevel="2" collapsed="1" x14ac:dyDescent="0.2">
      <c r="A971" s="762" t="e">
        <f ca="1">IF($H971="UNIDADE CONSTRUTIVA",OFFSET(A971,-1,0)+1,LARGE(A$3:A594,1))</f>
        <v>#NUM!</v>
      </c>
      <c r="B971" s="762">
        <f t="shared" ca="1" si="217"/>
        <v>13</v>
      </c>
      <c r="C971" s="762">
        <f t="shared" ca="1" si="218"/>
        <v>5</v>
      </c>
      <c r="D971" s="763">
        <f t="shared" ca="1" si="219"/>
        <v>8</v>
      </c>
      <c r="E971" s="763">
        <f t="shared" ca="1" si="220"/>
        <v>0</v>
      </c>
      <c r="G971" s="628"/>
      <c r="H971" s="766" t="s">
        <v>367</v>
      </c>
      <c r="I971" s="629" t="str">
        <f t="shared" ca="1" si="216"/>
        <v>13.005.008</v>
      </c>
      <c r="J971" s="654" t="s">
        <v>785</v>
      </c>
      <c r="K971" s="630"/>
      <c r="L971" s="631"/>
      <c r="M971" s="631"/>
      <c r="N971" s="646">
        <f>SUM(N972)</f>
        <v>9681.5514240000011</v>
      </c>
      <c r="O971" s="767"/>
      <c r="P971" s="632"/>
      <c r="R971" s="742"/>
      <c r="S971" s="742"/>
    </row>
    <row r="972" spans="1:19" s="761" customFormat="1" ht="22.5" hidden="1" outlineLevel="3" x14ac:dyDescent="0.2">
      <c r="A972" s="762" t="e">
        <f ca="1">IF($H972="UNIDADE CONSTRUTIVA",OFFSET(A972,-1,0)+1,LARGE(A$3:A971,1))</f>
        <v>#NUM!</v>
      </c>
      <c r="B972" s="762">
        <f t="shared" ca="1" si="217"/>
        <v>13</v>
      </c>
      <c r="C972" s="762">
        <f t="shared" ca="1" si="218"/>
        <v>5</v>
      </c>
      <c r="D972" s="763">
        <f t="shared" ca="1" si="219"/>
        <v>8</v>
      </c>
      <c r="E972" s="763">
        <f t="shared" ca="1" si="220"/>
        <v>1</v>
      </c>
      <c r="G972" s="628"/>
      <c r="H972" s="766" t="s">
        <v>368</v>
      </c>
      <c r="I972" s="629" t="str">
        <f t="shared" ca="1" si="216"/>
        <v>13.005.008.001</v>
      </c>
      <c r="J972" s="654" t="s">
        <v>846</v>
      </c>
      <c r="K972" s="630" t="s">
        <v>1</v>
      </c>
      <c r="L972" s="631">
        <f>ARQ.!C413</f>
        <v>53.28</v>
      </c>
      <c r="M972" s="631">
        <f>VLOOKUP(J972,Preços!$C$7:$F$498,4,FALSE)</f>
        <v>181.71080000000001</v>
      </c>
      <c r="N972" s="646">
        <f>L972*M972</f>
        <v>9681.5514240000011</v>
      </c>
      <c r="O972" s="767"/>
      <c r="P972" s="632" t="s">
        <v>333</v>
      </c>
      <c r="R972" s="742"/>
      <c r="S972" s="742"/>
    </row>
    <row r="973" spans="1:19" s="761" customFormat="1" hidden="1" outlineLevel="2" collapsed="1" x14ac:dyDescent="0.2">
      <c r="A973" s="762" t="e">
        <f ca="1">IF($H973="UNIDADE CONSTRUTIVA",OFFSET(A973,-1,0)+1,LARGE(A$3:A971,1))</f>
        <v>#NUM!</v>
      </c>
      <c r="B973" s="762">
        <f t="shared" ca="1" si="217"/>
        <v>13</v>
      </c>
      <c r="C973" s="762">
        <f t="shared" ca="1" si="218"/>
        <v>5</v>
      </c>
      <c r="D973" s="763">
        <f t="shared" ca="1" si="219"/>
        <v>9</v>
      </c>
      <c r="E973" s="763">
        <f t="shared" ca="1" si="220"/>
        <v>0</v>
      </c>
      <c r="G973" s="628"/>
      <c r="H973" s="766" t="s">
        <v>367</v>
      </c>
      <c r="I973" s="629" t="str">
        <f t="shared" ca="1" si="216"/>
        <v>13.005.009</v>
      </c>
      <c r="J973" s="654" t="s">
        <v>787</v>
      </c>
      <c r="K973" s="630"/>
      <c r="L973" s="631"/>
      <c r="M973" s="631"/>
      <c r="N973" s="646">
        <f>SUM(N974:N975)</f>
        <v>20404.375319999999</v>
      </c>
      <c r="O973" s="767"/>
      <c r="P973" s="632"/>
      <c r="R973" s="742"/>
      <c r="S973" s="742"/>
    </row>
    <row r="974" spans="1:19" s="761" customFormat="1" ht="22.5" hidden="1" outlineLevel="3" x14ac:dyDescent="0.2">
      <c r="A974" s="762" t="e">
        <f ca="1">IF($H974="UNIDADE CONSTRUTIVA",OFFSET(A974,-1,0)+1,LARGE(A$3:A971,1))</f>
        <v>#NUM!</v>
      </c>
      <c r="B974" s="762">
        <f t="shared" ca="1" si="217"/>
        <v>13</v>
      </c>
      <c r="C974" s="762">
        <f t="shared" ca="1" si="218"/>
        <v>5</v>
      </c>
      <c r="D974" s="763">
        <f t="shared" ca="1" si="219"/>
        <v>9</v>
      </c>
      <c r="E974" s="763">
        <f t="shared" ca="1" si="220"/>
        <v>1</v>
      </c>
      <c r="G974" s="628"/>
      <c r="H974" s="766" t="s">
        <v>368</v>
      </c>
      <c r="I974" s="629" t="str">
        <f t="shared" ca="1" si="216"/>
        <v>13.005.009.001</v>
      </c>
      <c r="J974" s="654" t="s">
        <v>829</v>
      </c>
      <c r="K974" s="630" t="s">
        <v>1</v>
      </c>
      <c r="L974" s="631">
        <f>L954+L955</f>
        <v>78.12</v>
      </c>
      <c r="M974" s="631">
        <f>VLOOKUP(J974,Preços!$C$7:$F$498,4,FALSE)</f>
        <v>40</v>
      </c>
      <c r="N974" s="646">
        <f>L974*M974</f>
        <v>3124.8</v>
      </c>
      <c r="O974" s="767"/>
      <c r="P974" s="632" t="s">
        <v>333</v>
      </c>
      <c r="R974" s="742"/>
      <c r="S974" s="742"/>
    </row>
    <row r="975" spans="1:19" s="761" customFormat="1" ht="22.5" hidden="1" outlineLevel="3" x14ac:dyDescent="0.2">
      <c r="A975" s="762" t="e">
        <f ca="1">IF($H975="UNIDADE CONSTRUTIVA",OFFSET(A975,-1,0)+1,LARGE(A$3:A972,1))</f>
        <v>#NUM!</v>
      </c>
      <c r="B975" s="762">
        <f t="shared" ca="1" si="217"/>
        <v>13</v>
      </c>
      <c r="C975" s="762">
        <f t="shared" ca="1" si="218"/>
        <v>5</v>
      </c>
      <c r="D975" s="763">
        <f t="shared" ca="1" si="219"/>
        <v>9</v>
      </c>
      <c r="E975" s="763">
        <f t="shared" ca="1" si="220"/>
        <v>2</v>
      </c>
      <c r="G975" s="628"/>
      <c r="H975" s="766" t="s">
        <v>368</v>
      </c>
      <c r="I975" s="629" t="str">
        <f t="shared" ca="1" si="216"/>
        <v>13.005.009.002</v>
      </c>
      <c r="J975" s="654" t="s">
        <v>831</v>
      </c>
      <c r="K975" s="630" t="s">
        <v>1</v>
      </c>
      <c r="L975" s="631">
        <f>L956+L957</f>
        <v>393.1</v>
      </c>
      <c r="M975" s="631">
        <f>VLOOKUP(J975,Preços!$C$7:$F$498,4,FALSE)</f>
        <v>43.9572</v>
      </c>
      <c r="N975" s="646">
        <f>L975*M975</f>
        <v>17279.57532</v>
      </c>
      <c r="O975" s="767"/>
      <c r="P975" s="632" t="s">
        <v>333</v>
      </c>
      <c r="R975" s="742"/>
      <c r="S975" s="742"/>
    </row>
    <row r="976" spans="1:19" s="761" customFormat="1" hidden="1" outlineLevel="2" collapsed="1" x14ac:dyDescent="0.2">
      <c r="A976" s="762" t="e">
        <f ca="1">IF($H976="UNIDADE CONSTRUTIVA",OFFSET(A976,-1,0)+1,LARGE(A$3:A975,1))</f>
        <v>#NUM!</v>
      </c>
      <c r="B976" s="762">
        <f t="shared" ref="B976:B984" ca="1" si="231">IF(H976="UNIDADE CONSTRUTIVA",0,IF(H976="CÉLULA CONSTRUTIVA",OFFSET(B976,-1,0)+1,OFFSET(B976,-1,0)))</f>
        <v>13</v>
      </c>
      <c r="C976" s="762">
        <f t="shared" ref="C976:C984" ca="1" si="232">IF(H976="CÉLULA CONSTRUTIVA",0,IF(H976="ETAPA",OFFSET(C976,-1,0)+1,OFFSET(C976,-1,0)))</f>
        <v>5</v>
      </c>
      <c r="D976" s="763">
        <f t="shared" ref="D976:D984" ca="1" si="233">IF(H976="ETAPA",0,IF(H976="SUBETAPA",OFFSET(D976,-1,0)+1,OFFSET(D976,-1,0)))</f>
        <v>10</v>
      </c>
      <c r="E976" s="763">
        <f t="shared" ref="E976:E984" ca="1" si="234">IF(H976="Subetapa",0,IF(H976="serviço",OFFSET(E976,-1,0)+1,OFFSET(E976,-1,0)))</f>
        <v>0</v>
      </c>
      <c r="G976" s="628"/>
      <c r="H976" s="766" t="s">
        <v>367</v>
      </c>
      <c r="I976" s="629" t="str">
        <f t="shared" ca="1" si="216"/>
        <v>13.005.010</v>
      </c>
      <c r="J976" s="654" t="s">
        <v>788</v>
      </c>
      <c r="K976" s="630"/>
      <c r="L976" s="631"/>
      <c r="M976" s="631"/>
      <c r="N976" s="646">
        <f>SUM(N977:N978)</f>
        <v>6923.38</v>
      </c>
      <c r="O976" s="767"/>
      <c r="P976" s="632"/>
      <c r="R976" s="742"/>
      <c r="S976" s="742"/>
    </row>
    <row r="977" spans="1:19" s="761" customFormat="1" ht="22.5" hidden="1" outlineLevel="3" x14ac:dyDescent="0.2">
      <c r="A977" s="762" t="e">
        <f ca="1">IF($H977="UNIDADE CONSTRUTIVA",OFFSET(A977,-1,0)+1,LARGE(A$3:A976,1))</f>
        <v>#NUM!</v>
      </c>
      <c r="B977" s="762">
        <f t="shared" ca="1" si="231"/>
        <v>13</v>
      </c>
      <c r="C977" s="762">
        <f t="shared" ca="1" si="232"/>
        <v>5</v>
      </c>
      <c r="D977" s="763">
        <f t="shared" ca="1" si="233"/>
        <v>10</v>
      </c>
      <c r="E977" s="763">
        <f t="shared" ca="1" si="234"/>
        <v>1</v>
      </c>
      <c r="G977" s="628"/>
      <c r="H977" s="766" t="s">
        <v>368</v>
      </c>
      <c r="I977" s="629" t="str">
        <f t="shared" ca="1" si="216"/>
        <v>13.005.010.001</v>
      </c>
      <c r="J977" s="654" t="s">
        <v>832</v>
      </c>
      <c r="K977" s="630" t="s">
        <v>3</v>
      </c>
      <c r="L977" s="631">
        <f>L965</f>
        <v>60.24</v>
      </c>
      <c r="M977" s="631">
        <f>VLOOKUP(J977,Preços!$C$7:$F$498,4,FALSE)</f>
        <v>22</v>
      </c>
      <c r="N977" s="646">
        <f>L977*M977</f>
        <v>1325.28</v>
      </c>
      <c r="O977" s="767"/>
      <c r="P977" s="632" t="s">
        <v>333</v>
      </c>
      <c r="R977" s="742"/>
      <c r="S977" s="742"/>
    </row>
    <row r="978" spans="1:19" s="761" customFormat="1" ht="22.5" hidden="1" outlineLevel="3" x14ac:dyDescent="0.2">
      <c r="A978" s="762" t="e">
        <f ca="1">IF($H978="UNIDADE CONSTRUTIVA",OFFSET(A978,-1,0)+1,LARGE(A$3:A976,1))</f>
        <v>#NUM!</v>
      </c>
      <c r="B978" s="762">
        <f t="shared" ca="1" si="231"/>
        <v>13</v>
      </c>
      <c r="C978" s="762">
        <f t="shared" ca="1" si="232"/>
        <v>5</v>
      </c>
      <c r="D978" s="763">
        <f t="shared" ca="1" si="233"/>
        <v>10</v>
      </c>
      <c r="E978" s="763">
        <f t="shared" ca="1" si="234"/>
        <v>2</v>
      </c>
      <c r="G978" s="628"/>
      <c r="H978" s="766" t="s">
        <v>368</v>
      </c>
      <c r="I978" s="629" t="str">
        <f t="shared" ca="1" si="216"/>
        <v>13.005.010.002</v>
      </c>
      <c r="J978" s="654" t="s">
        <v>834</v>
      </c>
      <c r="K978" s="630" t="s">
        <v>3</v>
      </c>
      <c r="L978" s="631">
        <f>L966</f>
        <v>131.72</v>
      </c>
      <c r="M978" s="631">
        <f>VLOOKUP(J978,Preços!$C$7:$F$498,4,FALSE)</f>
        <v>42.5</v>
      </c>
      <c r="N978" s="646">
        <f>L978*M978</f>
        <v>5598.1</v>
      </c>
      <c r="O978" s="767"/>
      <c r="P978" s="632" t="s">
        <v>333</v>
      </c>
      <c r="R978" s="742"/>
      <c r="S978" s="742"/>
    </row>
    <row r="979" spans="1:19" s="761" customFormat="1" hidden="1" outlineLevel="2" collapsed="1" x14ac:dyDescent="0.2">
      <c r="A979" s="762" t="e">
        <f ca="1">IF($H979="UNIDADE CONSTRUTIVA",OFFSET(A979,-1,0)+1,LARGE(A$3:A976,1))</f>
        <v>#NUM!</v>
      </c>
      <c r="B979" s="762">
        <f t="shared" ca="1" si="231"/>
        <v>13</v>
      </c>
      <c r="C979" s="762">
        <f t="shared" ca="1" si="232"/>
        <v>5</v>
      </c>
      <c r="D979" s="763">
        <f t="shared" ca="1" si="233"/>
        <v>11</v>
      </c>
      <c r="E979" s="763">
        <f t="shared" ca="1" si="234"/>
        <v>0</v>
      </c>
      <c r="G979" s="628"/>
      <c r="H979" s="766" t="s">
        <v>367</v>
      </c>
      <c r="I979" s="629" t="str">
        <f t="shared" ca="1" si="216"/>
        <v>13.005.011</v>
      </c>
      <c r="J979" s="654" t="s">
        <v>789</v>
      </c>
      <c r="K979" s="630"/>
      <c r="L979" s="631"/>
      <c r="M979" s="631"/>
      <c r="N979" s="646">
        <f>SUM(N980)</f>
        <v>58.8</v>
      </c>
      <c r="O979" s="767"/>
      <c r="P979" s="632"/>
      <c r="R979" s="742"/>
      <c r="S979" s="742"/>
    </row>
    <row r="980" spans="1:19" s="761" customFormat="1" ht="22.5" hidden="1" outlineLevel="3" x14ac:dyDescent="0.2">
      <c r="A980" s="762" t="e">
        <f ca="1">IF($H980="UNIDADE CONSTRUTIVA",OFFSET(A980,-1,0)+1,LARGE(A$3:A979,1))</f>
        <v>#NUM!</v>
      </c>
      <c r="B980" s="762">
        <f t="shared" ca="1" si="231"/>
        <v>13</v>
      </c>
      <c r="C980" s="762">
        <f t="shared" ca="1" si="232"/>
        <v>5</v>
      </c>
      <c r="D980" s="763">
        <f t="shared" ca="1" si="233"/>
        <v>11</v>
      </c>
      <c r="E980" s="763">
        <f t="shared" ca="1" si="234"/>
        <v>1</v>
      </c>
      <c r="G980" s="628"/>
      <c r="H980" s="766" t="s">
        <v>368</v>
      </c>
      <c r="I980" s="629" t="str">
        <f t="shared" ca="1" si="216"/>
        <v>13.005.011.001</v>
      </c>
      <c r="J980" s="654" t="s">
        <v>835</v>
      </c>
      <c r="K980" s="630" t="s">
        <v>3</v>
      </c>
      <c r="L980" s="631">
        <f>L968</f>
        <v>1.96</v>
      </c>
      <c r="M980" s="631">
        <f>VLOOKUP(J980,Preços!$C$7:$F$498,4,FALSE)</f>
        <v>30</v>
      </c>
      <c r="N980" s="646">
        <f>L980*M980</f>
        <v>58.8</v>
      </c>
      <c r="O980" s="767"/>
      <c r="P980" s="632" t="s">
        <v>333</v>
      </c>
      <c r="R980" s="742"/>
      <c r="S980" s="742"/>
    </row>
    <row r="981" spans="1:19" s="761" customFormat="1" hidden="1" outlineLevel="2" collapsed="1" x14ac:dyDescent="0.2">
      <c r="A981" s="762" t="e">
        <f ca="1">IF($H981="UNIDADE CONSTRUTIVA",OFFSET(A981,-1,0)+1,LARGE(A$3:A979,1))</f>
        <v>#NUM!</v>
      </c>
      <c r="B981" s="762">
        <f t="shared" ca="1" si="231"/>
        <v>13</v>
      </c>
      <c r="C981" s="762">
        <f t="shared" ca="1" si="232"/>
        <v>5</v>
      </c>
      <c r="D981" s="763">
        <f t="shared" ca="1" si="233"/>
        <v>12</v>
      </c>
      <c r="E981" s="763">
        <f t="shared" ca="1" si="234"/>
        <v>0</v>
      </c>
      <c r="G981" s="628"/>
      <c r="H981" s="766" t="s">
        <v>367</v>
      </c>
      <c r="I981" s="629" t="str">
        <f t="shared" ca="1" si="216"/>
        <v>13.005.012</v>
      </c>
      <c r="J981" s="654" t="s">
        <v>790</v>
      </c>
      <c r="K981" s="630"/>
      <c r="L981" s="631"/>
      <c r="M981" s="631"/>
      <c r="N981" s="646">
        <f>SUM(N982)</f>
        <v>1248.375</v>
      </c>
      <c r="O981" s="767"/>
      <c r="P981" s="632"/>
      <c r="R981" s="742"/>
      <c r="S981" s="742"/>
    </row>
    <row r="982" spans="1:19" s="761" customFormat="1" ht="22.5" hidden="1" outlineLevel="3" x14ac:dyDescent="0.2">
      <c r="A982" s="762" t="e">
        <f ca="1">IF($H982="UNIDADE CONSTRUTIVA",OFFSET(A982,-1,0)+1,LARGE(A$3:A981,1))</f>
        <v>#NUM!</v>
      </c>
      <c r="B982" s="762">
        <f t="shared" ca="1" si="231"/>
        <v>13</v>
      </c>
      <c r="C982" s="762">
        <f t="shared" ca="1" si="232"/>
        <v>5</v>
      </c>
      <c r="D982" s="763">
        <f t="shared" ca="1" si="233"/>
        <v>12</v>
      </c>
      <c r="E982" s="763">
        <f t="shared" ca="1" si="234"/>
        <v>1</v>
      </c>
      <c r="G982" s="628"/>
      <c r="H982" s="766" t="s">
        <v>368</v>
      </c>
      <c r="I982" s="629" t="str">
        <f t="shared" ca="1" si="216"/>
        <v>13.005.012.001</v>
      </c>
      <c r="J982" s="654" t="s">
        <v>836</v>
      </c>
      <c r="K982" s="630" t="s">
        <v>3</v>
      </c>
      <c r="L982" s="631">
        <f>L970</f>
        <v>33.29</v>
      </c>
      <c r="M982" s="631">
        <f>VLOOKUP(J982,Preços!$C$7:$F$498,4,FALSE)</f>
        <v>37.5</v>
      </c>
      <c r="N982" s="646">
        <f>L982*M982</f>
        <v>1248.375</v>
      </c>
      <c r="O982" s="767"/>
      <c r="P982" s="632" t="s">
        <v>333</v>
      </c>
      <c r="R982" s="742"/>
      <c r="S982" s="742"/>
    </row>
    <row r="983" spans="1:19" s="761" customFormat="1" hidden="1" outlineLevel="2" collapsed="1" x14ac:dyDescent="0.2">
      <c r="A983" s="762" t="e">
        <f ca="1">IF($H983="UNIDADE CONSTRUTIVA",OFFSET(A983,-1,0)+1,LARGE(A$3:A981,1))</f>
        <v>#NUM!</v>
      </c>
      <c r="B983" s="762">
        <f t="shared" ca="1" si="231"/>
        <v>13</v>
      </c>
      <c r="C983" s="762">
        <f t="shared" ca="1" si="232"/>
        <v>5</v>
      </c>
      <c r="D983" s="763">
        <f t="shared" ca="1" si="233"/>
        <v>13</v>
      </c>
      <c r="E983" s="763">
        <f t="shared" ca="1" si="234"/>
        <v>0</v>
      </c>
      <c r="G983" s="628"/>
      <c r="H983" s="766" t="s">
        <v>367</v>
      </c>
      <c r="I983" s="629" t="str">
        <f t="shared" ca="1" si="216"/>
        <v>13.005.013</v>
      </c>
      <c r="J983" s="654" t="s">
        <v>791</v>
      </c>
      <c r="K983" s="630"/>
      <c r="L983" s="631"/>
      <c r="M983" s="631"/>
      <c r="N983" s="646">
        <f>SUM(N984)</f>
        <v>1571.76</v>
      </c>
      <c r="O983" s="767"/>
      <c r="P983" s="632"/>
      <c r="R983" s="742"/>
      <c r="S983" s="742"/>
    </row>
    <row r="984" spans="1:19" s="761" customFormat="1" ht="22.5" hidden="1" outlineLevel="3" x14ac:dyDescent="0.2">
      <c r="A984" s="762" t="e">
        <f ca="1">IF($H984="UNIDADE CONSTRUTIVA",OFFSET(A984,-1,0)+1,LARGE(A$3:A979,1))</f>
        <v>#NUM!</v>
      </c>
      <c r="B984" s="762">
        <f t="shared" ca="1" si="231"/>
        <v>13</v>
      </c>
      <c r="C984" s="762">
        <f t="shared" ca="1" si="232"/>
        <v>5</v>
      </c>
      <c r="D984" s="763">
        <f t="shared" ca="1" si="233"/>
        <v>13</v>
      </c>
      <c r="E984" s="763">
        <f t="shared" ca="1" si="234"/>
        <v>1</v>
      </c>
      <c r="G984" s="628"/>
      <c r="H984" s="766" t="s">
        <v>368</v>
      </c>
      <c r="I984" s="629" t="str">
        <f t="shared" ca="1" si="216"/>
        <v>13.005.013.001</v>
      </c>
      <c r="J984" s="654" t="s">
        <v>837</v>
      </c>
      <c r="K984" s="630" t="s">
        <v>1</v>
      </c>
      <c r="L984" s="631">
        <f>SUM(L972:L972)</f>
        <v>53.28</v>
      </c>
      <c r="M984" s="631">
        <f>VLOOKUP(J984,Preços!$C$7:$F$498,4,FALSE)</f>
        <v>29.5</v>
      </c>
      <c r="N984" s="646">
        <f>L984*M984</f>
        <v>1571.76</v>
      </c>
      <c r="O984" s="767"/>
      <c r="P984" s="632" t="s">
        <v>333</v>
      </c>
      <c r="R984" s="742"/>
      <c r="S984" s="742"/>
    </row>
    <row r="985" spans="1:19" s="761" customFormat="1" hidden="1" outlineLevel="1" collapsed="1" x14ac:dyDescent="0.2">
      <c r="A985" s="762" t="e">
        <f ca="1">IF($H985="UNIDADE CONSTRUTIVA",OFFSET(A985,-1,0)+1,LARGE(A$3:A892,1))</f>
        <v>#NUM!</v>
      </c>
      <c r="B985" s="762">
        <f t="shared" ref="B985:B1004" ca="1" si="235">IF(H985="UNIDADE CONSTRUTIVA",0,IF(H985="CÉLULA CONSTRUTIVA",OFFSET(B985,-1,0)+1,OFFSET(B985,-1,0)))</f>
        <v>13</v>
      </c>
      <c r="C985" s="762">
        <f t="shared" ref="C985:C1004" ca="1" si="236">IF(H985="CÉLULA CONSTRUTIVA",0,IF(H985="ETAPA",OFFSET(C985,-1,0)+1,OFFSET(C985,-1,0)))</f>
        <v>6</v>
      </c>
      <c r="D985" s="763">
        <f t="shared" ref="D985:D1004" ca="1" si="237">IF(H985="ETAPA",0,IF(H985="SUBETAPA",OFFSET(D985,-1,0)+1,OFFSET(D985,-1,0)))</f>
        <v>0</v>
      </c>
      <c r="E985" s="763">
        <f t="shared" ref="E985:E1004" ca="1" si="238">IF(H985="Subetapa",0,IF(H985="serviço",OFFSET(E985,-1,0)+1,OFFSET(E985,-1,0)))</f>
        <v>1</v>
      </c>
      <c r="G985" s="628"/>
      <c r="H985" s="766" t="s">
        <v>366</v>
      </c>
      <c r="I985" s="629" t="str">
        <f t="shared" ref="I985:I1012" ca="1" si="239">IF(H985="Unidade Construtiva",TEXT(A985,"00"),IF(H985="Célula Construtiva",TEXT(B985,"00"),IF(H985="Etapa",CONCATENATE(TEXT(B985,"00"),".",TEXT(C985,"000")),IF(H985="Subetapa",CONCATENATE(TEXT(B985,"00"),".",TEXT(C985,"000"),".",TEXT(D985,"000")),IF(H985="Serviço",CONCATENATE(TEXT(B985,"00"),".",TEXT(C985,"000"),".",TEXT(D985,"000"),".",TEXT(E985,"000")),"")))))</f>
        <v>13.006</v>
      </c>
      <c r="J985" s="654" t="s">
        <v>850</v>
      </c>
      <c r="K985" s="630"/>
      <c r="L985" s="631"/>
      <c r="M985" s="631"/>
      <c r="N985" s="646">
        <f ca="1">SUM(N986,N990,N992,N994,N996,N998,N1001,N1003,N1005,N1007,N1009,N1011)</f>
        <v>1329263.39674</v>
      </c>
      <c r="O985" s="767"/>
      <c r="P985" s="632"/>
      <c r="R985" s="742"/>
      <c r="S985" s="742"/>
    </row>
    <row r="986" spans="1:19" s="761" customFormat="1" hidden="1" outlineLevel="2" collapsed="1" x14ac:dyDescent="0.2">
      <c r="A986" s="762" t="e">
        <f ca="1">IF($H986="UNIDADE CONSTRUTIVA",OFFSET(A986,-1,0)+1,LARGE(A$3:A717,1))</f>
        <v>#NUM!</v>
      </c>
      <c r="B986" s="762">
        <f t="shared" ca="1" si="235"/>
        <v>13</v>
      </c>
      <c r="C986" s="762">
        <f t="shared" ca="1" si="236"/>
        <v>6</v>
      </c>
      <c r="D986" s="763">
        <f t="shared" ca="1" si="237"/>
        <v>1</v>
      </c>
      <c r="E986" s="763">
        <f t="shared" ca="1" si="238"/>
        <v>0</v>
      </c>
      <c r="G986" s="628"/>
      <c r="H986" s="766" t="s">
        <v>367</v>
      </c>
      <c r="I986" s="629" t="str">
        <f t="shared" ca="1" si="239"/>
        <v>13.006.001</v>
      </c>
      <c r="J986" s="654" t="s">
        <v>784</v>
      </c>
      <c r="K986" s="630"/>
      <c r="L986" s="631"/>
      <c r="M986" s="631"/>
      <c r="N986" s="646">
        <f ca="1">SUM(N987:N989)</f>
        <v>288838.72643999988</v>
      </c>
      <c r="O986" s="767"/>
      <c r="P986" s="632"/>
      <c r="R986" s="742"/>
      <c r="S986" s="742"/>
    </row>
    <row r="987" spans="1:19" s="761" customFormat="1" ht="22.5" hidden="1" outlineLevel="3" x14ac:dyDescent="0.2">
      <c r="A987" s="762" t="e">
        <f ca="1">IF($H987="UNIDADE CONSTRUTIVA",OFFSET(A987,-1,0)+1,LARGE(A$3:A890,1))</f>
        <v>#NUM!</v>
      </c>
      <c r="B987" s="762">
        <f t="shared" ca="1" si="235"/>
        <v>13</v>
      </c>
      <c r="C987" s="762">
        <f t="shared" ca="1" si="236"/>
        <v>6</v>
      </c>
      <c r="D987" s="763">
        <f t="shared" ca="1" si="237"/>
        <v>1</v>
      </c>
      <c r="E987" s="763">
        <f t="shared" ca="1" si="238"/>
        <v>1</v>
      </c>
      <c r="G987" s="628"/>
      <c r="H987" s="766" t="s">
        <v>368</v>
      </c>
      <c r="I987" s="629" t="str">
        <f t="shared" ca="1" si="239"/>
        <v>13.006.001.001</v>
      </c>
      <c r="J987" s="654" t="s">
        <v>852</v>
      </c>
      <c r="K987" s="630" t="s">
        <v>1</v>
      </c>
      <c r="L987" s="631">
        <f ca="1">ARQ.!D515</f>
        <v>1862.2199999999991</v>
      </c>
      <c r="M987" s="631">
        <f>VLOOKUP(J987,Preços!$C$7:$F$498,4,FALSE)</f>
        <v>115.566</v>
      </c>
      <c r="N987" s="646">
        <f ca="1">L987*M987</f>
        <v>215209.31651999991</v>
      </c>
      <c r="O987" s="767"/>
      <c r="P987" s="632" t="s">
        <v>333</v>
      </c>
      <c r="R987" s="742"/>
      <c r="S987" s="742"/>
    </row>
    <row r="988" spans="1:19" s="761" customFormat="1" ht="22.5" hidden="1" outlineLevel="3" x14ac:dyDescent="0.2">
      <c r="A988" s="762" t="e">
        <f ca="1">IF($H988="UNIDADE CONSTRUTIVA",OFFSET(A988,-1,0)+1,LARGE(A$3:A987,1))</f>
        <v>#NUM!</v>
      </c>
      <c r="B988" s="762">
        <f t="shared" ca="1" si="235"/>
        <v>13</v>
      </c>
      <c r="C988" s="762">
        <f t="shared" ca="1" si="236"/>
        <v>6</v>
      </c>
      <c r="D988" s="763">
        <f t="shared" ca="1" si="237"/>
        <v>1</v>
      </c>
      <c r="E988" s="763">
        <f t="shared" ca="1" si="238"/>
        <v>2</v>
      </c>
      <c r="G988" s="628"/>
      <c r="H988" s="766" t="s">
        <v>368</v>
      </c>
      <c r="I988" s="629" t="str">
        <f t="shared" ca="1" si="239"/>
        <v>13.006.001.002</v>
      </c>
      <c r="J988" s="654" t="s">
        <v>851</v>
      </c>
      <c r="K988" s="630" t="s">
        <v>1</v>
      </c>
      <c r="L988" s="631">
        <f ca="1">ARQ.!D516</f>
        <v>467.51999999999992</v>
      </c>
      <c r="M988" s="631">
        <f>VLOOKUP(J988,Preços!$C$7:$F$498,4,FALSE)</f>
        <v>115.566</v>
      </c>
      <c r="N988" s="646">
        <f ca="1">L988*M988</f>
        <v>54029.416319999989</v>
      </c>
      <c r="O988" s="767"/>
      <c r="P988" s="632" t="s">
        <v>333</v>
      </c>
      <c r="R988" s="742"/>
      <c r="S988" s="742"/>
    </row>
    <row r="989" spans="1:19" s="761" customFormat="1" ht="22.5" hidden="1" outlineLevel="3" x14ac:dyDescent="0.2">
      <c r="A989" s="762" t="e">
        <f ca="1">IF($H989="UNIDADE CONSTRUTIVA",OFFSET(A989,-1,0)+1,LARGE(A$3:A892,1))</f>
        <v>#NUM!</v>
      </c>
      <c r="B989" s="762">
        <f t="shared" ca="1" si="235"/>
        <v>13</v>
      </c>
      <c r="C989" s="762">
        <f t="shared" ca="1" si="236"/>
        <v>6</v>
      </c>
      <c r="D989" s="763">
        <f t="shared" ca="1" si="237"/>
        <v>1</v>
      </c>
      <c r="E989" s="763">
        <f t="shared" ca="1" si="238"/>
        <v>3</v>
      </c>
      <c r="G989" s="628"/>
      <c r="H989" s="766" t="s">
        <v>368</v>
      </c>
      <c r="I989" s="629" t="str">
        <f t="shared" ca="1" si="239"/>
        <v>13.006.001.003</v>
      </c>
      <c r="J989" s="654" t="s">
        <v>816</v>
      </c>
      <c r="K989" s="630" t="s">
        <v>1</v>
      </c>
      <c r="L989" s="631">
        <f ca="1">ARQ.!D517</f>
        <v>169.6</v>
      </c>
      <c r="M989" s="631">
        <f>VLOOKUP(J989,Preços!$C$7:$F$498,4,FALSE)</f>
        <v>115.566</v>
      </c>
      <c r="N989" s="646">
        <f ca="1">L989*M989</f>
        <v>19599.993599999998</v>
      </c>
      <c r="O989" s="767"/>
      <c r="P989" s="632" t="s">
        <v>333</v>
      </c>
      <c r="R989" s="742"/>
      <c r="S989" s="742"/>
    </row>
    <row r="990" spans="1:19" s="761" customFormat="1" hidden="1" outlineLevel="2" collapsed="1" x14ac:dyDescent="0.2">
      <c r="A990" s="762" t="e">
        <f ca="1">IF($H990="UNIDADE CONSTRUTIVA",OFFSET(A990,-1,0)+1,LARGE(A$3:A1001,1))</f>
        <v>#NUM!</v>
      </c>
      <c r="B990" s="762">
        <f t="shared" ca="1" si="235"/>
        <v>13</v>
      </c>
      <c r="C990" s="762">
        <f t="shared" ca="1" si="236"/>
        <v>6</v>
      </c>
      <c r="D990" s="763">
        <f t="shared" ca="1" si="237"/>
        <v>2</v>
      </c>
      <c r="E990" s="763">
        <f t="shared" ca="1" si="238"/>
        <v>0</v>
      </c>
      <c r="G990" s="628"/>
      <c r="H990" s="766" t="s">
        <v>367</v>
      </c>
      <c r="I990" s="629" t="str">
        <f t="shared" ca="1" si="239"/>
        <v>13.006.002</v>
      </c>
      <c r="J990" s="654" t="s">
        <v>826</v>
      </c>
      <c r="K990" s="630"/>
      <c r="L990" s="631"/>
      <c r="M990" s="631"/>
      <c r="N990" s="646">
        <f ca="1">SUM(N991)</f>
        <v>129008.91661200006</v>
      </c>
      <c r="O990" s="767"/>
      <c r="P990" s="632"/>
      <c r="R990" s="742"/>
      <c r="S990" s="742"/>
    </row>
    <row r="991" spans="1:19" s="761" customFormat="1" ht="22.5" hidden="1" outlineLevel="3" x14ac:dyDescent="0.2">
      <c r="A991" s="762" t="e">
        <f ca="1">IF($H991="UNIDADE CONSTRUTIVA",OFFSET(A991,-1,0)+1,LARGE(A$3:A990,1))</f>
        <v>#NUM!</v>
      </c>
      <c r="B991" s="762">
        <f t="shared" ca="1" si="235"/>
        <v>13</v>
      </c>
      <c r="C991" s="762">
        <f t="shared" ca="1" si="236"/>
        <v>6</v>
      </c>
      <c r="D991" s="763">
        <f t="shared" ca="1" si="237"/>
        <v>2</v>
      </c>
      <c r="E991" s="763">
        <f t="shared" ca="1" si="238"/>
        <v>1</v>
      </c>
      <c r="G991" s="628"/>
      <c r="H991" s="766" t="s">
        <v>368</v>
      </c>
      <c r="I991" s="629" t="str">
        <f t="shared" ca="1" si="239"/>
        <v>13.006.002.001</v>
      </c>
      <c r="J991" s="654" t="s">
        <v>828</v>
      </c>
      <c r="K991" s="630" t="s">
        <v>1</v>
      </c>
      <c r="L991" s="631">
        <f ca="1">ARQ.!D519</f>
        <v>1273.8300000000006</v>
      </c>
      <c r="M991" s="631">
        <f>VLOOKUP(J991,Preços!$C$7:$F$498,4,FALSE)</f>
        <v>101.2764</v>
      </c>
      <c r="N991" s="646">
        <f ca="1">L991*M991</f>
        <v>129008.91661200006</v>
      </c>
      <c r="O991" s="767"/>
      <c r="P991" s="632" t="s">
        <v>333</v>
      </c>
      <c r="R991" s="742"/>
      <c r="S991" s="742"/>
    </row>
    <row r="992" spans="1:19" s="761" customFormat="1" hidden="1" outlineLevel="2" collapsed="1" x14ac:dyDescent="0.2">
      <c r="A992" s="762" t="e">
        <f ca="1">IF($H992="UNIDADE CONSTRUTIVA",OFFSET(A992,-1,0)+1,LARGE(A$3:A998,1))</f>
        <v>#NUM!</v>
      </c>
      <c r="B992" s="762">
        <f t="shared" ca="1" si="235"/>
        <v>13</v>
      </c>
      <c r="C992" s="762">
        <f t="shared" ca="1" si="236"/>
        <v>6</v>
      </c>
      <c r="D992" s="763">
        <f t="shared" ca="1" si="237"/>
        <v>3</v>
      </c>
      <c r="E992" s="763">
        <f t="shared" ca="1" si="238"/>
        <v>0</v>
      </c>
      <c r="G992" s="628"/>
      <c r="H992" s="766" t="s">
        <v>367</v>
      </c>
      <c r="I992" s="629" t="str">
        <f t="shared" ca="1" si="239"/>
        <v>13.006.003</v>
      </c>
      <c r="J992" s="654" t="s">
        <v>223</v>
      </c>
      <c r="K992" s="630"/>
      <c r="L992" s="631"/>
      <c r="M992" s="631"/>
      <c r="N992" s="646">
        <f ca="1">SUM(N993)</f>
        <v>177632.42399999994</v>
      </c>
      <c r="O992" s="767"/>
      <c r="P992" s="632"/>
      <c r="R992" s="742"/>
      <c r="S992" s="742"/>
    </row>
    <row r="993" spans="1:19" s="761" customFormat="1" ht="22.5" hidden="1" outlineLevel="3" x14ac:dyDescent="0.2">
      <c r="A993" s="762" t="e">
        <f ca="1">IF($H993="UNIDADE CONSTRUTIVA",OFFSET(A993,-1,0)+1,LARGE(A$3:A992,1))</f>
        <v>#NUM!</v>
      </c>
      <c r="B993" s="762">
        <f t="shared" ca="1" si="235"/>
        <v>13</v>
      </c>
      <c r="C993" s="762">
        <f t="shared" ca="1" si="236"/>
        <v>6</v>
      </c>
      <c r="D993" s="763">
        <f t="shared" ca="1" si="237"/>
        <v>3</v>
      </c>
      <c r="E993" s="763">
        <f t="shared" ca="1" si="238"/>
        <v>1</v>
      </c>
      <c r="G993" s="628"/>
      <c r="H993" s="766" t="s">
        <v>368</v>
      </c>
      <c r="I993" s="629" t="str">
        <f t="shared" ca="1" si="239"/>
        <v>13.006.003.001</v>
      </c>
      <c r="J993" s="654" t="s">
        <v>824</v>
      </c>
      <c r="K993" s="630" t="s">
        <v>3</v>
      </c>
      <c r="L993" s="631">
        <f ca="1">ARQ.!D521</f>
        <v>3176.9999999999991</v>
      </c>
      <c r="M993" s="631">
        <f>VLOOKUP(J993,Preços!$C$7:$F$498,4,FALSE)</f>
        <v>55.911999999999999</v>
      </c>
      <c r="N993" s="646">
        <f ca="1">L993*M993</f>
        <v>177632.42399999994</v>
      </c>
      <c r="O993" s="767"/>
      <c r="P993" s="632" t="s">
        <v>333</v>
      </c>
      <c r="R993" s="742"/>
      <c r="S993" s="742"/>
    </row>
    <row r="994" spans="1:19" s="761" customFormat="1" hidden="1" outlineLevel="2" collapsed="1" x14ac:dyDescent="0.2">
      <c r="A994" s="762" t="e">
        <f ca="1">IF($H994="UNIDADE CONSTRUTIVA",OFFSET(A994,-1,0)+1,LARGE(A$3:A1000,1))</f>
        <v>#NUM!</v>
      </c>
      <c r="B994" s="762">
        <f t="shared" ca="1" si="235"/>
        <v>13</v>
      </c>
      <c r="C994" s="762">
        <f t="shared" ca="1" si="236"/>
        <v>6</v>
      </c>
      <c r="D994" s="763">
        <f t="shared" ca="1" si="237"/>
        <v>4</v>
      </c>
      <c r="E994" s="763">
        <f t="shared" ca="1" si="238"/>
        <v>0</v>
      </c>
      <c r="G994" s="628"/>
      <c r="H994" s="766" t="s">
        <v>367</v>
      </c>
      <c r="I994" s="629" t="str">
        <f t="shared" ca="1" si="239"/>
        <v>13.006.004</v>
      </c>
      <c r="J994" s="654" t="s">
        <v>346</v>
      </c>
      <c r="K994" s="630"/>
      <c r="L994" s="631"/>
      <c r="M994" s="631"/>
      <c r="N994" s="646">
        <f ca="1">SUM(N995)</f>
        <v>1701.2579999999996</v>
      </c>
      <c r="O994" s="767"/>
      <c r="P994" s="632"/>
      <c r="R994" s="742"/>
      <c r="S994" s="742"/>
    </row>
    <row r="995" spans="1:19" s="761" customFormat="1" ht="22.5" hidden="1" outlineLevel="3" x14ac:dyDescent="0.2">
      <c r="A995" s="762" t="e">
        <f ca="1">IF($H995="UNIDADE CONSTRUTIVA",OFFSET(A995,-1,0)+1,LARGE(A$3:A994,1))</f>
        <v>#NUM!</v>
      </c>
      <c r="B995" s="762">
        <f t="shared" ca="1" si="235"/>
        <v>13</v>
      </c>
      <c r="C995" s="762">
        <f t="shared" ca="1" si="236"/>
        <v>6</v>
      </c>
      <c r="D995" s="763">
        <f t="shared" ca="1" si="237"/>
        <v>4</v>
      </c>
      <c r="E995" s="763">
        <f t="shared" ca="1" si="238"/>
        <v>1</v>
      </c>
      <c r="G995" s="628"/>
      <c r="H995" s="766" t="s">
        <v>368</v>
      </c>
      <c r="I995" s="629" t="str">
        <f t="shared" ca="1" si="239"/>
        <v>13.006.004.001</v>
      </c>
      <c r="J995" s="654" t="s">
        <v>946</v>
      </c>
      <c r="K995" s="630" t="s">
        <v>3</v>
      </c>
      <c r="L995" s="631">
        <f ca="1">ARQ.!D523</f>
        <v>16.999999999999996</v>
      </c>
      <c r="M995" s="631">
        <f>VLOOKUP(J995,Preços!$C$7:$F$498,4,FALSE)</f>
        <v>100.074</v>
      </c>
      <c r="N995" s="646">
        <f ca="1">L995*M995</f>
        <v>1701.2579999999996</v>
      </c>
      <c r="O995" s="767"/>
      <c r="P995" s="632" t="s">
        <v>333</v>
      </c>
      <c r="R995" s="742"/>
      <c r="S995" s="742"/>
    </row>
    <row r="996" spans="1:19" s="761" customFormat="1" hidden="1" outlineLevel="2" collapsed="1" x14ac:dyDescent="0.2">
      <c r="A996" s="762" t="e">
        <f ca="1">IF($H996="UNIDADE CONSTRUTIVA",OFFSET(A996,-1,0)+1,LARGE(A$3:A989,1))</f>
        <v>#NUM!</v>
      </c>
      <c r="B996" s="762">
        <f t="shared" ca="1" si="235"/>
        <v>13</v>
      </c>
      <c r="C996" s="762">
        <f t="shared" ca="1" si="236"/>
        <v>6</v>
      </c>
      <c r="D996" s="763">
        <f t="shared" ca="1" si="237"/>
        <v>5</v>
      </c>
      <c r="E996" s="763">
        <f t="shared" ca="1" si="238"/>
        <v>0</v>
      </c>
      <c r="G996" s="628"/>
      <c r="H996" s="766" t="s">
        <v>367</v>
      </c>
      <c r="I996" s="629" t="str">
        <f t="shared" ca="1" si="239"/>
        <v>13.006.005</v>
      </c>
      <c r="J996" s="654" t="s">
        <v>217</v>
      </c>
      <c r="K996" s="630"/>
      <c r="L996" s="631"/>
      <c r="M996" s="631"/>
      <c r="N996" s="646">
        <f ca="1">SUM(N997)</f>
        <v>6505.8107400000017</v>
      </c>
      <c r="O996" s="767"/>
      <c r="P996" s="632"/>
      <c r="R996" s="742"/>
      <c r="S996" s="742"/>
    </row>
    <row r="997" spans="1:19" s="761" customFormat="1" ht="22.5" hidden="1" outlineLevel="3" x14ac:dyDescent="0.2">
      <c r="A997" s="762" t="e">
        <f ca="1">IF($H997="UNIDADE CONSTRUTIVA",OFFSET(A997,-1,0)+1,LARGE(A$3:A996,1))</f>
        <v>#NUM!</v>
      </c>
      <c r="B997" s="762">
        <f t="shared" ca="1" si="235"/>
        <v>13</v>
      </c>
      <c r="C997" s="762">
        <f t="shared" ca="1" si="236"/>
        <v>6</v>
      </c>
      <c r="D997" s="763">
        <f t="shared" ca="1" si="237"/>
        <v>5</v>
      </c>
      <c r="E997" s="763">
        <f t="shared" ca="1" si="238"/>
        <v>1</v>
      </c>
      <c r="G997" s="628"/>
      <c r="H997" s="766" t="s">
        <v>368</v>
      </c>
      <c r="I997" s="629" t="str">
        <f t="shared" ca="1" si="239"/>
        <v>13.006.005.001</v>
      </c>
      <c r="J997" s="654" t="s">
        <v>947</v>
      </c>
      <c r="K997" s="630" t="s">
        <v>3</v>
      </c>
      <c r="L997" s="631">
        <f ca="1">ARQ.!D525</f>
        <v>65.010000000000019</v>
      </c>
      <c r="M997" s="631">
        <f>VLOOKUP(J997,Preços!$C$7:$F$498,4,FALSE)</f>
        <v>100.074</v>
      </c>
      <c r="N997" s="646">
        <f ca="1">L997*M997</f>
        <v>6505.8107400000017</v>
      </c>
      <c r="O997" s="767"/>
      <c r="P997" s="632" t="s">
        <v>333</v>
      </c>
      <c r="R997" s="742"/>
      <c r="S997" s="742"/>
    </row>
    <row r="998" spans="1:19" s="761" customFormat="1" hidden="1" outlineLevel="2" collapsed="1" x14ac:dyDescent="0.2">
      <c r="A998" s="762" t="e">
        <f ca="1">IF($H998="UNIDADE CONSTRUTIVA",OFFSET(A998,-1,0)+1,LARGE(A$3:A718,1))</f>
        <v>#NUM!</v>
      </c>
      <c r="B998" s="762">
        <f t="shared" ca="1" si="235"/>
        <v>13</v>
      </c>
      <c r="C998" s="762">
        <f t="shared" ca="1" si="236"/>
        <v>6</v>
      </c>
      <c r="D998" s="763">
        <f t="shared" ca="1" si="237"/>
        <v>6</v>
      </c>
      <c r="E998" s="763">
        <f t="shared" ca="1" si="238"/>
        <v>0</v>
      </c>
      <c r="G998" s="628"/>
      <c r="H998" s="766" t="s">
        <v>367</v>
      </c>
      <c r="I998" s="629" t="str">
        <f t="shared" ca="1" si="239"/>
        <v>13.006.006</v>
      </c>
      <c r="J998" s="654" t="s">
        <v>785</v>
      </c>
      <c r="K998" s="630"/>
      <c r="L998" s="631"/>
      <c r="M998" s="631"/>
      <c r="N998" s="646">
        <f ca="1">SUM(N999:N1000)</f>
        <v>333236.54070000001</v>
      </c>
      <c r="O998" s="767"/>
      <c r="P998" s="632"/>
      <c r="R998" s="742"/>
      <c r="S998" s="742"/>
    </row>
    <row r="999" spans="1:19" s="761" customFormat="1" ht="22.5" hidden="1" outlineLevel="3" x14ac:dyDescent="0.2">
      <c r="A999" s="762" t="e">
        <f ca="1">IF($H999="UNIDADE CONSTRUTIVA",OFFSET(A999,-1,0)+1,LARGE(A$3:A1000,1))</f>
        <v>#NUM!</v>
      </c>
      <c r="B999" s="762">
        <f ca="1">IF(H999="UNIDADE CONSTRUTIVA",0,IF(H999="CÉLULA CONSTRUTIVA",OFFSET(B999,-1,0)+1,OFFSET(B999,-1,0)))</f>
        <v>13</v>
      </c>
      <c r="C999" s="762">
        <f ca="1">IF(H999="CÉLULA CONSTRUTIVA",0,IF(H999="ETAPA",OFFSET(C999,-1,0)+1,OFFSET(C999,-1,0)))</f>
        <v>6</v>
      </c>
      <c r="D999" s="763">
        <f ca="1">IF(H999="ETAPA",0,IF(H999="SUBETAPA",OFFSET(D999,-1,0)+1,OFFSET(D999,-1,0)))</f>
        <v>6</v>
      </c>
      <c r="E999" s="763">
        <f ca="1">IF(H999="Subetapa",0,IF(H999="serviço",OFFSET(E999,-1,0)+1,OFFSET(E999,-1,0)))</f>
        <v>1</v>
      </c>
      <c r="G999" s="628"/>
      <c r="H999" s="766" t="s">
        <v>368</v>
      </c>
      <c r="I999" s="629" t="str">
        <f ca="1">IF(H999="Unidade Construtiva",TEXT(A999,"00"),IF(H999="Célula Construtiva",TEXT(B999,"00"),IF(H999="Etapa",CONCATENATE(TEXT(B999,"00"),".",TEXT(C999,"000")),IF(H999="Subetapa",CONCATENATE(TEXT(B999,"00"),".",TEXT(C999,"000"),".",TEXT(D999,"000")),IF(H999="Serviço",CONCATENATE(TEXT(B999,"00"),".",TEXT(C999,"000"),".",TEXT(D999,"000"),".",TEXT(E999,"000")),"")))))</f>
        <v>13.006.006.001</v>
      </c>
      <c r="J999" s="654" t="s">
        <v>854</v>
      </c>
      <c r="K999" s="630" t="s">
        <v>1</v>
      </c>
      <c r="L999" s="631">
        <f ca="1">ARQ.!D527</f>
        <v>1164.7200000000003</v>
      </c>
      <c r="M999" s="631">
        <f>VLOOKUP(J999,Preços!$C$7:$F$498,4,FALSE)</f>
        <v>100.17</v>
      </c>
      <c r="N999" s="646">
        <f ca="1">L999*M999</f>
        <v>116670.00240000003</v>
      </c>
      <c r="O999" s="767"/>
      <c r="P999" s="632" t="s">
        <v>333</v>
      </c>
      <c r="R999" s="742"/>
      <c r="S999" s="742"/>
    </row>
    <row r="1000" spans="1:19" s="761" customFormat="1" ht="22.5" hidden="1" outlineLevel="3" x14ac:dyDescent="0.2">
      <c r="A1000" s="762" t="e">
        <f ca="1">IF($H1000="UNIDADE CONSTRUTIVA",OFFSET(A1000,-1,0)+1,LARGE(A$3:A998,1))</f>
        <v>#NUM!</v>
      </c>
      <c r="B1000" s="762">
        <f t="shared" ca="1" si="235"/>
        <v>13</v>
      </c>
      <c r="C1000" s="762">
        <f t="shared" ca="1" si="236"/>
        <v>6</v>
      </c>
      <c r="D1000" s="763">
        <f t="shared" ca="1" si="237"/>
        <v>6</v>
      </c>
      <c r="E1000" s="763">
        <f t="shared" ca="1" si="238"/>
        <v>2</v>
      </c>
      <c r="G1000" s="628"/>
      <c r="H1000" s="766" t="s">
        <v>368</v>
      </c>
      <c r="I1000" s="629" t="str">
        <f t="shared" ca="1" si="239"/>
        <v>13.006.006.002</v>
      </c>
      <c r="J1000" s="654" t="s">
        <v>820</v>
      </c>
      <c r="K1000" s="630" t="s">
        <v>1</v>
      </c>
      <c r="L1000" s="631">
        <f ca="1">ARQ.!D528</f>
        <v>2161.9899999999998</v>
      </c>
      <c r="M1000" s="631">
        <f>VLOOKUP(J1000,Preços!$C$7:$F$498,4,FALSE)</f>
        <v>100.17</v>
      </c>
      <c r="N1000" s="646">
        <f ca="1">L1000*M1000</f>
        <v>216566.53829999999</v>
      </c>
      <c r="O1000" s="767"/>
      <c r="P1000" s="632" t="s">
        <v>333</v>
      </c>
      <c r="R1000" s="742"/>
      <c r="S1000" s="742"/>
    </row>
    <row r="1001" spans="1:19" s="761" customFormat="1" hidden="1" outlineLevel="2" collapsed="1" x14ac:dyDescent="0.2">
      <c r="A1001" s="762" t="e">
        <f ca="1">IF($H1001="UNIDADE CONSTRUTIVA",OFFSET(A1001,-1,0)+1,LARGE(A$3:A998,1))</f>
        <v>#NUM!</v>
      </c>
      <c r="B1001" s="762">
        <f t="shared" ca="1" si="235"/>
        <v>13</v>
      </c>
      <c r="C1001" s="762">
        <f t="shared" ca="1" si="236"/>
        <v>6</v>
      </c>
      <c r="D1001" s="763">
        <f t="shared" ca="1" si="237"/>
        <v>7</v>
      </c>
      <c r="E1001" s="763">
        <f t="shared" ca="1" si="238"/>
        <v>0</v>
      </c>
      <c r="G1001" s="628"/>
      <c r="H1001" s="766" t="s">
        <v>367</v>
      </c>
      <c r="I1001" s="629" t="str">
        <f t="shared" ca="1" si="239"/>
        <v>13.006.007</v>
      </c>
      <c r="J1001" s="654" t="s">
        <v>787</v>
      </c>
      <c r="K1001" s="630"/>
      <c r="L1001" s="631"/>
      <c r="M1001" s="631"/>
      <c r="N1001" s="646">
        <f ca="1">SUM(N1002)</f>
        <v>109863.98824799995</v>
      </c>
      <c r="O1001" s="767"/>
      <c r="P1001" s="632"/>
      <c r="R1001" s="742"/>
      <c r="S1001" s="742"/>
    </row>
    <row r="1002" spans="1:19" s="761" customFormat="1" ht="22.5" hidden="1" outlineLevel="3" x14ac:dyDescent="0.2">
      <c r="A1002" s="762" t="e">
        <f ca="1">IF($H1002="UNIDADE CONSTRUTIVA",OFFSET(A1002,-1,0)+1,LARGE(A$3:A1000,1))</f>
        <v>#NUM!</v>
      </c>
      <c r="B1002" s="762">
        <f t="shared" ca="1" si="235"/>
        <v>13</v>
      </c>
      <c r="C1002" s="762">
        <f t="shared" ca="1" si="236"/>
        <v>6</v>
      </c>
      <c r="D1002" s="763">
        <f t="shared" ca="1" si="237"/>
        <v>7</v>
      </c>
      <c r="E1002" s="763">
        <f t="shared" ca="1" si="238"/>
        <v>1</v>
      </c>
      <c r="G1002" s="628"/>
      <c r="H1002" s="766" t="s">
        <v>368</v>
      </c>
      <c r="I1002" s="629" t="str">
        <f t="shared" ca="1" si="239"/>
        <v>13.006.007.001</v>
      </c>
      <c r="J1002" s="654" t="s">
        <v>831</v>
      </c>
      <c r="K1002" s="630" t="s">
        <v>1</v>
      </c>
      <c r="L1002" s="631">
        <f ca="1">SUM(L987:L989)</f>
        <v>2499.3399999999988</v>
      </c>
      <c r="M1002" s="631">
        <f>VLOOKUP(J1002,Preços!$C$7:$F$498,4,FALSE)</f>
        <v>43.9572</v>
      </c>
      <c r="N1002" s="646">
        <f ca="1">L1002*M1002</f>
        <v>109863.98824799995</v>
      </c>
      <c r="O1002" s="767"/>
      <c r="P1002" s="632" t="s">
        <v>333</v>
      </c>
      <c r="R1002" s="742"/>
      <c r="S1002" s="742"/>
    </row>
    <row r="1003" spans="1:19" s="761" customFormat="1" hidden="1" outlineLevel="2" collapsed="1" x14ac:dyDescent="0.2">
      <c r="A1003" s="762" t="e">
        <f ca="1">IF($H1003="UNIDADE CONSTRUTIVA",OFFSET(A1003,-1,0)+1,LARGE(A$3:A1001,1))</f>
        <v>#NUM!</v>
      </c>
      <c r="B1003" s="762">
        <f t="shared" ca="1" si="235"/>
        <v>13</v>
      </c>
      <c r="C1003" s="762">
        <f t="shared" ca="1" si="236"/>
        <v>6</v>
      </c>
      <c r="D1003" s="763">
        <f t="shared" ca="1" si="237"/>
        <v>8</v>
      </c>
      <c r="E1003" s="763">
        <f t="shared" ca="1" si="238"/>
        <v>0</v>
      </c>
      <c r="G1003" s="628"/>
      <c r="H1003" s="766" t="s">
        <v>367</v>
      </c>
      <c r="I1003" s="629" t="str">
        <f t="shared" ca="1" si="239"/>
        <v>13.006.008</v>
      </c>
      <c r="J1003" s="654" t="s">
        <v>838</v>
      </c>
      <c r="K1003" s="630"/>
      <c r="L1003" s="631"/>
      <c r="M1003" s="631"/>
      <c r="N1003" s="646">
        <f ca="1">SUM(N1004)</f>
        <v>46367.412000000018</v>
      </c>
      <c r="O1003" s="767"/>
      <c r="P1003" s="632"/>
      <c r="R1003" s="742"/>
      <c r="S1003" s="742"/>
    </row>
    <row r="1004" spans="1:19" s="761" customFormat="1" ht="22.5" hidden="1" outlineLevel="3" x14ac:dyDescent="0.2">
      <c r="A1004" s="762" t="e">
        <f ca="1">IF($H1004="UNIDADE CONSTRUTIVA",OFFSET(A1004,-1,0)+1,LARGE(A$3:A1003,1))</f>
        <v>#NUM!</v>
      </c>
      <c r="B1004" s="762">
        <f t="shared" ca="1" si="235"/>
        <v>13</v>
      </c>
      <c r="C1004" s="762">
        <f t="shared" ca="1" si="236"/>
        <v>6</v>
      </c>
      <c r="D1004" s="763">
        <f t="shared" ca="1" si="237"/>
        <v>8</v>
      </c>
      <c r="E1004" s="763">
        <f t="shared" ca="1" si="238"/>
        <v>1</v>
      </c>
      <c r="G1004" s="628"/>
      <c r="H1004" s="766" t="s">
        <v>368</v>
      </c>
      <c r="I1004" s="629" t="str">
        <f t="shared" ca="1" si="239"/>
        <v>13.006.008.001</v>
      </c>
      <c r="J1004" s="654" t="s">
        <v>839</v>
      </c>
      <c r="K1004" s="630" t="s">
        <v>1</v>
      </c>
      <c r="L1004" s="631">
        <f ca="1">L991</f>
        <v>1273.8300000000006</v>
      </c>
      <c r="M1004" s="631">
        <f>VLOOKUP(J1004,Preços!$C$7:$F$498,4,FALSE)</f>
        <v>36.4</v>
      </c>
      <c r="N1004" s="646">
        <f ca="1">L1004*M1004</f>
        <v>46367.412000000018</v>
      </c>
      <c r="O1004" s="767"/>
      <c r="P1004" s="632" t="s">
        <v>333</v>
      </c>
      <c r="R1004" s="742"/>
      <c r="S1004" s="742"/>
    </row>
    <row r="1005" spans="1:19" s="761" customFormat="1" hidden="1" outlineLevel="2" collapsed="1" x14ac:dyDescent="0.2">
      <c r="A1005" s="762" t="e">
        <f ca="1">IF($H1005="UNIDADE CONSTRUTIVA",OFFSET(A1005,-1,0)+1,LARGE(A$3:A1004,1))</f>
        <v>#NUM!</v>
      </c>
      <c r="B1005" s="762">
        <f t="shared" ref="B1005:B1035" ca="1" si="240">IF(H1005="UNIDADE CONSTRUTIVA",0,IF(H1005="CÉLULA CONSTRUTIVA",OFFSET(B1005,-1,0)+1,OFFSET(B1005,-1,0)))</f>
        <v>13</v>
      </c>
      <c r="C1005" s="762">
        <f t="shared" ref="C1005:C1035" ca="1" si="241">IF(H1005="CÉLULA CONSTRUTIVA",0,IF(H1005="ETAPA",OFFSET(C1005,-1,0)+1,OFFSET(C1005,-1,0)))</f>
        <v>6</v>
      </c>
      <c r="D1005" s="763">
        <f t="shared" ref="D1005:D1035" ca="1" si="242">IF(H1005="ETAPA",0,IF(H1005="SUBETAPA",OFFSET(D1005,-1,0)+1,OFFSET(D1005,-1,0)))</f>
        <v>9</v>
      </c>
      <c r="E1005" s="763">
        <f t="shared" ref="E1005:E1035" ca="1" si="243">IF(H1005="Subetapa",0,IF(H1005="serviço",OFFSET(E1005,-1,0)+1,OFFSET(E1005,-1,0)))</f>
        <v>0</v>
      </c>
      <c r="G1005" s="628"/>
      <c r="H1005" s="766" t="s">
        <v>367</v>
      </c>
      <c r="I1005" s="629" t="str">
        <f t="shared" ca="1" si="239"/>
        <v>13.006.009</v>
      </c>
      <c r="J1005" s="654" t="s">
        <v>788</v>
      </c>
      <c r="K1005" s="630"/>
      <c r="L1005" s="631"/>
      <c r="M1005" s="631"/>
      <c r="N1005" s="646">
        <f ca="1">SUM(N1006)</f>
        <v>135022.49999999997</v>
      </c>
      <c r="O1005" s="767"/>
      <c r="P1005" s="632"/>
      <c r="R1005" s="742"/>
      <c r="S1005" s="742"/>
    </row>
    <row r="1006" spans="1:19" s="761" customFormat="1" ht="22.5" hidden="1" outlineLevel="3" x14ac:dyDescent="0.2">
      <c r="A1006" s="762" t="e">
        <f ca="1">IF($H1006="UNIDADE CONSTRUTIVA",OFFSET(A1006,-1,0)+1,LARGE(A$3:A1005,1))</f>
        <v>#NUM!</v>
      </c>
      <c r="B1006" s="762">
        <f t="shared" ca="1" si="240"/>
        <v>13</v>
      </c>
      <c r="C1006" s="762">
        <f t="shared" ca="1" si="241"/>
        <v>6</v>
      </c>
      <c r="D1006" s="763">
        <f t="shared" ca="1" si="242"/>
        <v>9</v>
      </c>
      <c r="E1006" s="763">
        <f t="shared" ca="1" si="243"/>
        <v>1</v>
      </c>
      <c r="G1006" s="628"/>
      <c r="H1006" s="766" t="s">
        <v>368</v>
      </c>
      <c r="I1006" s="629" t="str">
        <f t="shared" ca="1" si="239"/>
        <v>13.006.009.001</v>
      </c>
      <c r="J1006" s="654" t="s">
        <v>834</v>
      </c>
      <c r="K1006" s="630" t="s">
        <v>3</v>
      </c>
      <c r="L1006" s="631">
        <f ca="1">L993</f>
        <v>3176.9999999999991</v>
      </c>
      <c r="M1006" s="631">
        <f>VLOOKUP(J1006,Preços!$C$7:$F$498,4,FALSE)</f>
        <v>42.5</v>
      </c>
      <c r="N1006" s="646">
        <f ca="1">L1006*M1006</f>
        <v>135022.49999999997</v>
      </c>
      <c r="O1006" s="767"/>
      <c r="P1006" s="632" t="s">
        <v>333</v>
      </c>
      <c r="R1006" s="742"/>
      <c r="S1006" s="742"/>
    </row>
    <row r="1007" spans="1:19" s="761" customFormat="1" hidden="1" outlineLevel="2" collapsed="1" x14ac:dyDescent="0.2">
      <c r="A1007" s="762" t="e">
        <f ca="1">IF($H1007="UNIDADE CONSTRUTIVA",OFFSET(A1007,-1,0)+1,LARGE(A$3:A1005,1))</f>
        <v>#NUM!</v>
      </c>
      <c r="B1007" s="762">
        <f t="shared" ca="1" si="240"/>
        <v>13</v>
      </c>
      <c r="C1007" s="762">
        <f t="shared" ca="1" si="241"/>
        <v>6</v>
      </c>
      <c r="D1007" s="763">
        <f t="shared" ca="1" si="242"/>
        <v>10</v>
      </c>
      <c r="E1007" s="763">
        <f t="shared" ca="1" si="243"/>
        <v>0</v>
      </c>
      <c r="G1007" s="628"/>
      <c r="H1007" s="766" t="s">
        <v>367</v>
      </c>
      <c r="I1007" s="629" t="str">
        <f t="shared" ca="1" si="239"/>
        <v>13.006.010</v>
      </c>
      <c r="J1007" s="654" t="s">
        <v>789</v>
      </c>
      <c r="K1007" s="630"/>
      <c r="L1007" s="631"/>
      <c r="M1007" s="631"/>
      <c r="N1007" s="646">
        <f ca="1">SUM(N1008)</f>
        <v>509.99999999999989</v>
      </c>
      <c r="O1007" s="767"/>
      <c r="P1007" s="632"/>
      <c r="R1007" s="742"/>
      <c r="S1007" s="742"/>
    </row>
    <row r="1008" spans="1:19" s="761" customFormat="1" ht="22.5" hidden="1" outlineLevel="3" x14ac:dyDescent="0.2">
      <c r="A1008" s="762" t="e">
        <f ca="1">IF($H1008="UNIDADE CONSTRUTIVA",OFFSET(A1008,-1,0)+1,LARGE(A$3:A1007,1))</f>
        <v>#NUM!</v>
      </c>
      <c r="B1008" s="762">
        <f t="shared" ca="1" si="240"/>
        <v>13</v>
      </c>
      <c r="C1008" s="762">
        <f t="shared" ca="1" si="241"/>
        <v>6</v>
      </c>
      <c r="D1008" s="763">
        <f t="shared" ca="1" si="242"/>
        <v>10</v>
      </c>
      <c r="E1008" s="763">
        <f t="shared" ca="1" si="243"/>
        <v>1</v>
      </c>
      <c r="G1008" s="628"/>
      <c r="H1008" s="766" t="s">
        <v>368</v>
      </c>
      <c r="I1008" s="629" t="str">
        <f t="shared" ca="1" si="239"/>
        <v>13.006.010.001</v>
      </c>
      <c r="J1008" s="654" t="s">
        <v>835</v>
      </c>
      <c r="K1008" s="630" t="s">
        <v>3</v>
      </c>
      <c r="L1008" s="631">
        <f ca="1">L995</f>
        <v>16.999999999999996</v>
      </c>
      <c r="M1008" s="631">
        <f>VLOOKUP(J1008,Preços!$C$7:$F$498,4,FALSE)</f>
        <v>30</v>
      </c>
      <c r="N1008" s="646">
        <f ca="1">L1008*M1008</f>
        <v>509.99999999999989</v>
      </c>
      <c r="O1008" s="767"/>
      <c r="P1008" s="632" t="s">
        <v>333</v>
      </c>
      <c r="R1008" s="742"/>
      <c r="S1008" s="742"/>
    </row>
    <row r="1009" spans="1:19" s="761" customFormat="1" hidden="1" outlineLevel="2" collapsed="1" x14ac:dyDescent="0.2">
      <c r="A1009" s="762" t="e">
        <f ca="1">IF($H1009="UNIDADE CONSTRUTIVA",OFFSET(A1009,-1,0)+1,LARGE(A$3:A1007,1))</f>
        <v>#NUM!</v>
      </c>
      <c r="B1009" s="762">
        <f t="shared" ca="1" si="240"/>
        <v>13</v>
      </c>
      <c r="C1009" s="762">
        <f t="shared" ca="1" si="241"/>
        <v>6</v>
      </c>
      <c r="D1009" s="763">
        <f t="shared" ca="1" si="242"/>
        <v>11</v>
      </c>
      <c r="E1009" s="763">
        <f t="shared" ca="1" si="243"/>
        <v>0</v>
      </c>
      <c r="G1009" s="628"/>
      <c r="H1009" s="766" t="s">
        <v>367</v>
      </c>
      <c r="I1009" s="629" t="str">
        <f t="shared" ca="1" si="239"/>
        <v>13.006.011</v>
      </c>
      <c r="J1009" s="654" t="s">
        <v>790</v>
      </c>
      <c r="K1009" s="630"/>
      <c r="L1009" s="631"/>
      <c r="M1009" s="631"/>
      <c r="N1009" s="646">
        <f ca="1">SUM(N1010)</f>
        <v>2437.8750000000009</v>
      </c>
      <c r="O1009" s="767"/>
      <c r="P1009" s="632"/>
      <c r="R1009" s="742"/>
      <c r="S1009" s="742"/>
    </row>
    <row r="1010" spans="1:19" s="761" customFormat="1" ht="22.5" hidden="1" outlineLevel="3" x14ac:dyDescent="0.2">
      <c r="A1010" s="762" t="e">
        <f ca="1">IF($H1010="UNIDADE CONSTRUTIVA",OFFSET(A1010,-1,0)+1,LARGE(A$3:A1009,1))</f>
        <v>#NUM!</v>
      </c>
      <c r="B1010" s="762">
        <f t="shared" ca="1" si="240"/>
        <v>13</v>
      </c>
      <c r="C1010" s="762">
        <f t="shared" ca="1" si="241"/>
        <v>6</v>
      </c>
      <c r="D1010" s="763">
        <f t="shared" ca="1" si="242"/>
        <v>11</v>
      </c>
      <c r="E1010" s="763">
        <f t="shared" ca="1" si="243"/>
        <v>1</v>
      </c>
      <c r="G1010" s="628"/>
      <c r="H1010" s="766" t="s">
        <v>368</v>
      </c>
      <c r="I1010" s="629" t="str">
        <f t="shared" ca="1" si="239"/>
        <v>13.006.011.001</v>
      </c>
      <c r="J1010" s="654" t="s">
        <v>836</v>
      </c>
      <c r="K1010" s="630" t="s">
        <v>3</v>
      </c>
      <c r="L1010" s="631">
        <f ca="1">L997</f>
        <v>65.010000000000019</v>
      </c>
      <c r="M1010" s="631">
        <f>VLOOKUP(J1010,Preços!$C$7:$F$498,4,FALSE)</f>
        <v>37.5</v>
      </c>
      <c r="N1010" s="646">
        <f ca="1">L1010*M1010</f>
        <v>2437.8750000000009</v>
      </c>
      <c r="O1010" s="767"/>
      <c r="P1010" s="632" t="s">
        <v>333</v>
      </c>
      <c r="R1010" s="742"/>
      <c r="S1010" s="742"/>
    </row>
    <row r="1011" spans="1:19" s="761" customFormat="1" hidden="1" outlineLevel="2" collapsed="1" x14ac:dyDescent="0.2">
      <c r="A1011" s="762" t="e">
        <f ca="1">IF($H1011="UNIDADE CONSTRUTIVA",OFFSET(A1011,-1,0)+1,LARGE(A$3:A1009,1))</f>
        <v>#NUM!</v>
      </c>
      <c r="B1011" s="762">
        <f t="shared" ca="1" si="240"/>
        <v>13</v>
      </c>
      <c r="C1011" s="762">
        <f t="shared" ca="1" si="241"/>
        <v>6</v>
      </c>
      <c r="D1011" s="763">
        <f t="shared" ca="1" si="242"/>
        <v>12</v>
      </c>
      <c r="E1011" s="763">
        <f t="shared" ca="1" si="243"/>
        <v>0</v>
      </c>
      <c r="G1011" s="628"/>
      <c r="H1011" s="766" t="s">
        <v>367</v>
      </c>
      <c r="I1011" s="629" t="str">
        <f t="shared" ca="1" si="239"/>
        <v>13.006.012</v>
      </c>
      <c r="J1011" s="654" t="s">
        <v>791</v>
      </c>
      <c r="K1011" s="630"/>
      <c r="L1011" s="631"/>
      <c r="M1011" s="631"/>
      <c r="N1011" s="646">
        <f ca="1">SUM(N1012)</f>
        <v>98137.945000000007</v>
      </c>
      <c r="O1011" s="767"/>
      <c r="P1011" s="632"/>
      <c r="R1011" s="742"/>
      <c r="S1011" s="742"/>
    </row>
    <row r="1012" spans="1:19" s="761" customFormat="1" ht="22.5" hidden="1" outlineLevel="2" x14ac:dyDescent="0.2">
      <c r="A1012" s="762" t="e">
        <f ca="1">IF($H1012="UNIDADE CONSTRUTIVA",OFFSET(A1012,-1,0)+1,LARGE(A$3:A1007,1))</f>
        <v>#NUM!</v>
      </c>
      <c r="B1012" s="762">
        <f t="shared" ca="1" si="240"/>
        <v>13</v>
      </c>
      <c r="C1012" s="762">
        <f t="shared" ca="1" si="241"/>
        <v>6</v>
      </c>
      <c r="D1012" s="763">
        <f t="shared" ca="1" si="242"/>
        <v>12</v>
      </c>
      <c r="E1012" s="763">
        <f t="shared" ca="1" si="243"/>
        <v>1</v>
      </c>
      <c r="G1012" s="628"/>
      <c r="H1012" s="766" t="s">
        <v>368</v>
      </c>
      <c r="I1012" s="629" t="str">
        <f t="shared" ca="1" si="239"/>
        <v>13.006.012.001</v>
      </c>
      <c r="J1012" s="654" t="s">
        <v>837</v>
      </c>
      <c r="K1012" s="630" t="s">
        <v>1</v>
      </c>
      <c r="L1012" s="631">
        <f ca="1">SUM(L999:L1000)</f>
        <v>3326.71</v>
      </c>
      <c r="M1012" s="631">
        <f>VLOOKUP(J1012,Preços!$C$7:$F$498,4,FALSE)</f>
        <v>29.5</v>
      </c>
      <c r="N1012" s="646">
        <f ca="1">L1012*M1012</f>
        <v>98137.945000000007</v>
      </c>
      <c r="O1012" s="767"/>
      <c r="P1012" s="632" t="s">
        <v>333</v>
      </c>
      <c r="R1012" s="742"/>
      <c r="S1012" s="742"/>
    </row>
    <row r="1013" spans="1:19" s="761" customFormat="1" collapsed="1" x14ac:dyDescent="0.2">
      <c r="A1013" s="762" t="e">
        <f ca="1">IF($H1013="UNIDADE CONSTRUTIVA",OFFSET(A1013,-1,0)+1,LARGE(A$3:A1012,1))</f>
        <v>#NUM!</v>
      </c>
      <c r="B1013" s="762">
        <f t="shared" ca="1" si="240"/>
        <v>14</v>
      </c>
      <c r="C1013" s="762">
        <f t="shared" ca="1" si="241"/>
        <v>0</v>
      </c>
      <c r="D1013" s="763">
        <f t="shared" ca="1" si="242"/>
        <v>12</v>
      </c>
      <c r="E1013" s="763">
        <f t="shared" ca="1" si="243"/>
        <v>1</v>
      </c>
      <c r="G1013" s="628"/>
      <c r="H1013" s="766" t="s">
        <v>365</v>
      </c>
      <c r="I1013" s="629" t="str">
        <f t="shared" ref="I1013:I1029" ca="1" si="244">IF(H1013="Unidade Construtiva",TEXT(A1013,"00"),IF(H1013="Célula Construtiva",TEXT(B1013,"00"),IF(H1013="Etapa",CONCATENATE(TEXT(B1013,"00"),".",TEXT(C1013,"000")),IF(H1013="Subetapa",CONCATENATE(TEXT(B1013,"00"),".",TEXT(C1013,"000"),".",TEXT(D1013,"000")),IF(H1013="Serviço",CONCATENATE(TEXT(B1013,"00"),".",TEXT(C1013,"000"),".",TEXT(D1013,"000"),".",TEXT(E1013,"000")),"")))))</f>
        <v>14</v>
      </c>
      <c r="J1013" s="654" t="s">
        <v>230</v>
      </c>
      <c r="K1013" s="630"/>
      <c r="L1013" s="631"/>
      <c r="M1013" s="631"/>
      <c r="N1013" s="646">
        <f ca="1">SUM(N1014,N1034,N1054,N1074,N1094,N1111,N1126,N1142)</f>
        <v>1225835.0694580001</v>
      </c>
      <c r="O1013" s="767"/>
      <c r="P1013" s="632"/>
      <c r="R1013" s="742"/>
      <c r="S1013" s="742"/>
    </row>
    <row r="1014" spans="1:19" s="761" customFormat="1" hidden="1" outlineLevel="1" collapsed="1" x14ac:dyDescent="0.2">
      <c r="A1014" s="762" t="e">
        <f ca="1">IF($H1014="UNIDADE CONSTRUTIVA",OFFSET(A1014,-1,0)+1,LARGE(A$3:A1013,1))</f>
        <v>#NUM!</v>
      </c>
      <c r="B1014" s="762">
        <f t="shared" ca="1" si="240"/>
        <v>14</v>
      </c>
      <c r="C1014" s="762">
        <f t="shared" ca="1" si="241"/>
        <v>1</v>
      </c>
      <c r="D1014" s="763">
        <f t="shared" ca="1" si="242"/>
        <v>0</v>
      </c>
      <c r="E1014" s="763">
        <f t="shared" ca="1" si="243"/>
        <v>1</v>
      </c>
      <c r="G1014" s="628"/>
      <c r="H1014" s="766" t="s">
        <v>366</v>
      </c>
      <c r="I1014" s="629" t="str">
        <f t="shared" ca="1" si="244"/>
        <v>14.001</v>
      </c>
      <c r="J1014" s="654" t="s">
        <v>866</v>
      </c>
      <c r="K1014" s="630"/>
      <c r="L1014" s="631"/>
      <c r="M1014" s="631"/>
      <c r="N1014" s="646">
        <f>SUM(N1015,N1019,N1024,N1028)</f>
        <v>105635.87850499999</v>
      </c>
      <c r="O1014" s="767"/>
      <c r="P1014" s="632"/>
      <c r="R1014" s="742"/>
      <c r="S1014" s="742"/>
    </row>
    <row r="1015" spans="1:19" s="761" customFormat="1" hidden="1" outlineLevel="2" x14ac:dyDescent="0.2">
      <c r="A1015" s="762" t="e">
        <f ca="1">IF($H1015="UNIDADE CONSTRUTIVA",OFFSET(A1015,-1,0)+1,LARGE(A$3:A1014,1))</f>
        <v>#NUM!</v>
      </c>
      <c r="B1015" s="762">
        <f t="shared" ca="1" si="240"/>
        <v>14</v>
      </c>
      <c r="C1015" s="762">
        <f t="shared" ca="1" si="241"/>
        <v>1</v>
      </c>
      <c r="D1015" s="763">
        <f t="shared" ca="1" si="242"/>
        <v>1</v>
      </c>
      <c r="E1015" s="763">
        <f t="shared" ca="1" si="243"/>
        <v>0</v>
      </c>
      <c r="G1015" s="628"/>
      <c r="H1015" s="766" t="s">
        <v>367</v>
      </c>
      <c r="I1015" s="629" t="str">
        <f t="shared" ca="1" si="244"/>
        <v>14.001.001</v>
      </c>
      <c r="J1015" s="654" t="s">
        <v>231</v>
      </c>
      <c r="K1015" s="630"/>
      <c r="L1015" s="631"/>
      <c r="M1015" s="631"/>
      <c r="N1015" s="646">
        <f>SUM(N1016:N1018)</f>
        <v>12747.817183999998</v>
      </c>
      <c r="O1015" s="767"/>
      <c r="P1015" s="632"/>
      <c r="R1015" s="742"/>
      <c r="S1015" s="742"/>
    </row>
    <row r="1016" spans="1:19" s="761" customFormat="1" ht="22.5" hidden="1" outlineLevel="3" x14ac:dyDescent="0.2">
      <c r="A1016" s="762" t="e">
        <f ca="1">IF($H1016="UNIDADE CONSTRUTIVA",OFFSET(A1016,-1,0)+1,LARGE(A$3:A1015,1))</f>
        <v>#NUM!</v>
      </c>
      <c r="B1016" s="762">
        <f t="shared" ca="1" si="240"/>
        <v>14</v>
      </c>
      <c r="C1016" s="762">
        <f t="shared" ca="1" si="241"/>
        <v>1</v>
      </c>
      <c r="D1016" s="763">
        <f t="shared" ca="1" si="242"/>
        <v>1</v>
      </c>
      <c r="E1016" s="763">
        <f t="shared" ca="1" si="243"/>
        <v>1</v>
      </c>
      <c r="G1016" s="628"/>
      <c r="H1016" s="766" t="s">
        <v>368</v>
      </c>
      <c r="I1016" s="629" t="str">
        <f t="shared" ca="1" si="244"/>
        <v>14.001.001.001</v>
      </c>
      <c r="J1016" s="654" t="s">
        <v>1570</v>
      </c>
      <c r="K1016" s="630" t="s">
        <v>1</v>
      </c>
      <c r="L1016" s="631">
        <f>ARQ.!C72</f>
        <v>235.13</v>
      </c>
      <c r="M1016" s="631">
        <f>VLOOKUP(J1016,Preços!$C$7:$F$498,4,FALSE)</f>
        <v>52.57</v>
      </c>
      <c r="N1016" s="646">
        <f>L1016*M1016</f>
        <v>12360.784099999999</v>
      </c>
      <c r="O1016" s="767"/>
      <c r="P1016" s="632" t="s">
        <v>333</v>
      </c>
      <c r="R1016" s="742"/>
      <c r="S1016" s="742"/>
    </row>
    <row r="1017" spans="1:19" s="761" customFormat="1" ht="22.5" hidden="1" outlineLevel="3" x14ac:dyDescent="0.2">
      <c r="A1017" s="762" t="e">
        <f ca="1">IF($H1017="UNIDADE CONSTRUTIVA",OFFSET(A1017,-1,0)+1,LARGE(A$3:A1016,1))</f>
        <v>#NUM!</v>
      </c>
      <c r="B1017" s="762">
        <f ca="1">IF(H1017="UNIDADE CONSTRUTIVA",0,IF(H1017="CÉLULA CONSTRUTIVA",OFFSET(B1017,-1,0)+1,OFFSET(B1017,-1,0)))</f>
        <v>14</v>
      </c>
      <c r="C1017" s="762">
        <f ca="1">IF(H1017="CÉLULA CONSTRUTIVA",0,IF(H1017="ETAPA",OFFSET(C1017,-1,0)+1,OFFSET(C1017,-1,0)))</f>
        <v>1</v>
      </c>
      <c r="D1017" s="763">
        <f ca="1">IF(H1017="ETAPA",0,IF(H1017="SUBETAPA",OFFSET(D1017,-1,0)+1,OFFSET(D1017,-1,0)))</f>
        <v>1</v>
      </c>
      <c r="E1017" s="763">
        <f ca="1">IF(H1017="Subetapa",0,IF(H1017="serviço",OFFSET(E1017,-1,0)+1,OFFSET(E1017,-1,0)))</f>
        <v>2</v>
      </c>
      <c r="G1017" s="628"/>
      <c r="H1017" s="766" t="s">
        <v>368</v>
      </c>
      <c r="I1017" s="629" t="str">
        <f ca="1">IF(H1017="Unidade Construtiva",TEXT(A1017,"00"),IF(H1017="Célula Construtiva",TEXT(B1017,"00"),IF(H1017="Etapa",CONCATENATE(TEXT(B1017,"00"),".",TEXT(C1017,"000")),IF(H1017="Subetapa",CONCATENATE(TEXT(B1017,"00"),".",TEXT(C1017,"000"),".",TEXT(D1017,"000")),IF(H1017="Serviço",CONCATENATE(TEXT(B1017,"00"),".",TEXT(C1017,"000"),".",TEXT(D1017,"000"),".",TEXT(E1017,"000")),"")))))</f>
        <v>14.001.001.002</v>
      </c>
      <c r="J1017" s="654" t="s">
        <v>1572</v>
      </c>
      <c r="K1017" s="630" t="s">
        <v>1</v>
      </c>
      <c r="L1017" s="631">
        <f>ARQ.!C73+ARQ.!C74+ARQ.!C75</f>
        <v>56.410000000000004</v>
      </c>
      <c r="M1017" s="631">
        <f>VLOOKUP(J1017,Preços!$C$7:$F$498,4,FALSE)</f>
        <v>6.36</v>
      </c>
      <c r="N1017" s="646">
        <f>L1017*M1017</f>
        <v>358.76760000000002</v>
      </c>
      <c r="O1017" s="767"/>
      <c r="P1017" s="632" t="s">
        <v>333</v>
      </c>
      <c r="R1017" s="742"/>
      <c r="S1017" s="742"/>
    </row>
    <row r="1018" spans="1:19" s="761" customFormat="1" ht="22.5" hidden="1" outlineLevel="3" x14ac:dyDescent="0.2">
      <c r="A1018" s="762" t="e">
        <f ca="1">IF($H1018="UNIDADE CONSTRUTIVA",OFFSET(A1018,-1,0)+1,LARGE(A$3:A1016,1))</f>
        <v>#NUM!</v>
      </c>
      <c r="B1018" s="762">
        <f t="shared" ca="1" si="240"/>
        <v>14</v>
      </c>
      <c r="C1018" s="762">
        <f t="shared" ca="1" si="241"/>
        <v>1</v>
      </c>
      <c r="D1018" s="763">
        <f t="shared" ca="1" si="242"/>
        <v>1</v>
      </c>
      <c r="E1018" s="763">
        <f t="shared" ca="1" si="243"/>
        <v>3</v>
      </c>
      <c r="G1018" s="628"/>
      <c r="H1018" s="766" t="s">
        <v>368</v>
      </c>
      <c r="I1018" s="629" t="str">
        <f t="shared" ca="1" si="244"/>
        <v>14.001.001.003</v>
      </c>
      <c r="J1018" s="654" t="s">
        <v>855</v>
      </c>
      <c r="K1018" s="630" t="s">
        <v>1</v>
      </c>
      <c r="L1018" s="631">
        <f>ARQ.!C71</f>
        <v>9.9600000000000009</v>
      </c>
      <c r="M1018" s="631">
        <f>VLOOKUP(J1018,Preços!$C$7:$F$498,4,FALSE)</f>
        <v>2.8378999999999999</v>
      </c>
      <c r="N1018" s="646">
        <f>L1018*M1018</f>
        <v>28.265484000000001</v>
      </c>
      <c r="O1018" s="767"/>
      <c r="P1018" s="632" t="s">
        <v>333</v>
      </c>
      <c r="R1018" s="742"/>
      <c r="S1018" s="742"/>
    </row>
    <row r="1019" spans="1:19" s="761" customFormat="1" hidden="1" outlineLevel="2" x14ac:dyDescent="0.2">
      <c r="A1019" s="762" t="e">
        <f ca="1">IF($H1019="UNIDADE CONSTRUTIVA",OFFSET(A1019,-1,0)+1,LARGE(A$3:A1018,1))</f>
        <v>#NUM!</v>
      </c>
      <c r="B1019" s="762">
        <f t="shared" ca="1" si="240"/>
        <v>14</v>
      </c>
      <c r="C1019" s="762">
        <f t="shared" ca="1" si="241"/>
        <v>1</v>
      </c>
      <c r="D1019" s="763">
        <f t="shared" ca="1" si="242"/>
        <v>2</v>
      </c>
      <c r="E1019" s="763">
        <f t="shared" ca="1" si="243"/>
        <v>0</v>
      </c>
      <c r="G1019" s="628"/>
      <c r="H1019" s="766" t="s">
        <v>367</v>
      </c>
      <c r="I1019" s="629" t="str">
        <f t="shared" ca="1" si="244"/>
        <v>14.001.002</v>
      </c>
      <c r="J1019" s="654" t="s">
        <v>232</v>
      </c>
      <c r="K1019" s="630"/>
      <c r="L1019" s="631"/>
      <c r="M1019" s="631"/>
      <c r="N1019" s="646">
        <f>SUM(N1020:N1023)</f>
        <v>21155.474128999998</v>
      </c>
      <c r="O1019" s="767"/>
      <c r="P1019" s="632"/>
      <c r="R1019" s="742"/>
      <c r="S1019" s="742"/>
    </row>
    <row r="1020" spans="1:19" s="761" customFormat="1" ht="22.5" hidden="1" outlineLevel="3" x14ac:dyDescent="0.2">
      <c r="A1020" s="762" t="e">
        <f ca="1">IF($H1020="UNIDADE CONSTRUTIVA",OFFSET(A1020,-1,0)+1,LARGE(A$3:A1019,1))</f>
        <v>#NUM!</v>
      </c>
      <c r="B1020" s="762">
        <f t="shared" ca="1" si="240"/>
        <v>14</v>
      </c>
      <c r="C1020" s="762">
        <f t="shared" ca="1" si="241"/>
        <v>1</v>
      </c>
      <c r="D1020" s="763">
        <f t="shared" ca="1" si="242"/>
        <v>2</v>
      </c>
      <c r="E1020" s="763">
        <f t="shared" ca="1" si="243"/>
        <v>1</v>
      </c>
      <c r="G1020" s="628"/>
      <c r="H1020" s="766" t="s">
        <v>368</v>
      </c>
      <c r="I1020" s="629" t="str">
        <f t="shared" ca="1" si="244"/>
        <v>14.001.002.001</v>
      </c>
      <c r="J1020" s="654" t="s">
        <v>856</v>
      </c>
      <c r="K1020" s="630" t="s">
        <v>1</v>
      </c>
      <c r="L1020" s="631">
        <f>L1022</f>
        <v>1156.3599999999999</v>
      </c>
      <c r="M1020" s="631">
        <f>VLOOKUP(J1020,Preços!$C$7:$F$498,4,FALSE)</f>
        <v>1.0880000000000001</v>
      </c>
      <c r="N1020" s="646">
        <f>L1020*M1020</f>
        <v>1258.11968</v>
      </c>
      <c r="O1020" s="767"/>
      <c r="P1020" s="632" t="s">
        <v>333</v>
      </c>
      <c r="R1020" s="742"/>
      <c r="S1020" s="742"/>
    </row>
    <row r="1021" spans="1:19" s="761" customFormat="1" ht="22.5" hidden="1" outlineLevel="3" x14ac:dyDescent="0.2">
      <c r="A1021" s="762" t="e">
        <f ca="1">IF($H1021="UNIDADE CONSTRUTIVA",OFFSET(A1021,-1,0)+1,LARGE(A$3:A1020,1))</f>
        <v>#NUM!</v>
      </c>
      <c r="B1021" s="762">
        <f t="shared" ca="1" si="240"/>
        <v>14</v>
      </c>
      <c r="C1021" s="762">
        <f t="shared" ca="1" si="241"/>
        <v>1</v>
      </c>
      <c r="D1021" s="763">
        <f t="shared" ca="1" si="242"/>
        <v>2</v>
      </c>
      <c r="E1021" s="763">
        <f t="shared" ca="1" si="243"/>
        <v>2</v>
      </c>
      <c r="G1021" s="628"/>
      <c r="H1021" s="766" t="s">
        <v>368</v>
      </c>
      <c r="I1021" s="629" t="str">
        <f t="shared" ca="1" si="244"/>
        <v>14.001.002.002</v>
      </c>
      <c r="J1021" s="654" t="s">
        <v>857</v>
      </c>
      <c r="K1021" s="630" t="s">
        <v>1</v>
      </c>
      <c r="L1021" s="631">
        <f>L1022</f>
        <v>1156.3599999999999</v>
      </c>
      <c r="M1021" s="631">
        <f>VLOOKUP(J1021,Preços!$C$7:$F$498,4,FALSE)</f>
        <v>2.6949999999999998</v>
      </c>
      <c r="N1021" s="646">
        <f>L1021*M1021</f>
        <v>3116.3901999999994</v>
      </c>
      <c r="O1021" s="767"/>
      <c r="P1021" s="632" t="s">
        <v>333</v>
      </c>
      <c r="R1021" s="742"/>
      <c r="S1021" s="742"/>
    </row>
    <row r="1022" spans="1:19" s="761" customFormat="1" ht="22.5" hidden="1" outlineLevel="3" x14ac:dyDescent="0.2">
      <c r="A1022" s="762" t="e">
        <f ca="1">IF($H1022="UNIDADE CONSTRUTIVA",OFFSET(A1022,-1,0)+1,LARGE(A$3:A1021,1))</f>
        <v>#NUM!</v>
      </c>
      <c r="B1022" s="762">
        <f t="shared" ca="1" si="240"/>
        <v>14</v>
      </c>
      <c r="C1022" s="762">
        <f t="shared" ca="1" si="241"/>
        <v>1</v>
      </c>
      <c r="D1022" s="763">
        <f t="shared" ca="1" si="242"/>
        <v>2</v>
      </c>
      <c r="E1022" s="763">
        <f t="shared" ca="1" si="243"/>
        <v>3</v>
      </c>
      <c r="G1022" s="628"/>
      <c r="H1022" s="766" t="s">
        <v>368</v>
      </c>
      <c r="I1022" s="629" t="str">
        <f t="shared" ca="1" si="244"/>
        <v>14.001.002.003</v>
      </c>
      <c r="J1022" s="654" t="s">
        <v>858</v>
      </c>
      <c r="K1022" s="630" t="s">
        <v>1</v>
      </c>
      <c r="L1022" s="631">
        <v>1156.3599999999999</v>
      </c>
      <c r="M1022" s="631">
        <f>VLOOKUP(J1022,Preços!$C$7:$F$498,4,FALSE)</f>
        <v>14.4375</v>
      </c>
      <c r="N1022" s="646">
        <f>L1022*M1022</f>
        <v>16694.947499999998</v>
      </c>
      <c r="O1022" s="767"/>
      <c r="P1022" s="632" t="s">
        <v>333</v>
      </c>
      <c r="R1022" s="742"/>
      <c r="S1022" s="742"/>
    </row>
    <row r="1023" spans="1:19" s="761" customFormat="1" ht="22.5" hidden="1" outlineLevel="3" x14ac:dyDescent="0.2">
      <c r="A1023" s="762" t="e">
        <f ca="1">IF($H1023="UNIDADE CONSTRUTIVA",OFFSET(A1023,-1,0)+1,LARGE(A$3:A1022,1))</f>
        <v>#NUM!</v>
      </c>
      <c r="B1023" s="762">
        <f t="shared" ca="1" si="240"/>
        <v>14</v>
      </c>
      <c r="C1023" s="762">
        <f t="shared" ca="1" si="241"/>
        <v>1</v>
      </c>
      <c r="D1023" s="763">
        <f t="shared" ca="1" si="242"/>
        <v>2</v>
      </c>
      <c r="E1023" s="763">
        <f t="shared" ca="1" si="243"/>
        <v>4</v>
      </c>
      <c r="G1023" s="628"/>
      <c r="H1023" s="766" t="s">
        <v>368</v>
      </c>
      <c r="I1023" s="629" t="str">
        <f t="shared" ca="1" si="244"/>
        <v>14.001.002.004</v>
      </c>
      <c r="J1023" s="654" t="s">
        <v>880</v>
      </c>
      <c r="K1023" s="630" t="s">
        <v>1</v>
      </c>
      <c r="L1023" s="631">
        <v>30.31</v>
      </c>
      <c r="M1023" s="631">
        <f>VLOOKUP(J1023,Preços!$C$7:$F$498,4,FALSE)</f>
        <v>2.8378999999999999</v>
      </c>
      <c r="N1023" s="646">
        <f>L1023*M1023</f>
        <v>86.01674899999999</v>
      </c>
      <c r="O1023" s="767"/>
      <c r="P1023" s="632" t="s">
        <v>333</v>
      </c>
      <c r="R1023" s="742"/>
      <c r="S1023" s="742"/>
    </row>
    <row r="1024" spans="1:19" s="761" customFormat="1" hidden="1" outlineLevel="2" x14ac:dyDescent="0.2">
      <c r="A1024" s="762" t="e">
        <f ca="1">IF($H1024="UNIDADE CONSTRUTIVA",OFFSET(A1024,-1,0)+1,LARGE(A$3:A1022,1))</f>
        <v>#NUM!</v>
      </c>
      <c r="B1024" s="762">
        <f t="shared" ca="1" si="240"/>
        <v>14</v>
      </c>
      <c r="C1024" s="762">
        <f t="shared" ca="1" si="241"/>
        <v>1</v>
      </c>
      <c r="D1024" s="763">
        <f t="shared" ca="1" si="242"/>
        <v>3</v>
      </c>
      <c r="E1024" s="763">
        <f t="shared" ca="1" si="243"/>
        <v>0</v>
      </c>
      <c r="G1024" s="628"/>
      <c r="H1024" s="766" t="s">
        <v>367</v>
      </c>
      <c r="I1024" s="629" t="str">
        <f t="shared" ca="1" si="244"/>
        <v>14.001.003</v>
      </c>
      <c r="J1024" s="654" t="s">
        <v>233</v>
      </c>
      <c r="K1024" s="630"/>
      <c r="L1024" s="631"/>
      <c r="M1024" s="631"/>
      <c r="N1024" s="646">
        <f>SUM(N1025:N1027)</f>
        <v>7312.8121920000012</v>
      </c>
      <c r="O1024" s="767"/>
      <c r="P1024" s="632"/>
      <c r="R1024" s="742"/>
      <c r="S1024" s="742"/>
    </row>
    <row r="1025" spans="1:19" s="761" customFormat="1" ht="22.5" hidden="1" outlineLevel="3" x14ac:dyDescent="0.2">
      <c r="A1025" s="762" t="e">
        <f ca="1">IF($H1025="UNIDADE CONSTRUTIVA",OFFSET(A1025,-1,0)+1,LARGE(A$3:A1024,1))</f>
        <v>#NUM!</v>
      </c>
      <c r="B1025" s="762">
        <f t="shared" ca="1" si="240"/>
        <v>14</v>
      </c>
      <c r="C1025" s="762">
        <f t="shared" ca="1" si="241"/>
        <v>1</v>
      </c>
      <c r="D1025" s="763">
        <f t="shared" ca="1" si="242"/>
        <v>3</v>
      </c>
      <c r="E1025" s="763">
        <f t="shared" ca="1" si="243"/>
        <v>1</v>
      </c>
      <c r="G1025" s="628"/>
      <c r="H1025" s="766" t="s">
        <v>368</v>
      </c>
      <c r="I1025" s="629" t="str">
        <f t="shared" ca="1" si="244"/>
        <v>14.001.003.001</v>
      </c>
      <c r="J1025" s="654" t="s">
        <v>860</v>
      </c>
      <c r="K1025" s="630" t="s">
        <v>1</v>
      </c>
      <c r="L1025" s="631">
        <f>L836+L838</f>
        <v>615.57999999999993</v>
      </c>
      <c r="M1025" s="631">
        <f>VLOOKUP(J1025,Preços!$C$7:$F$498,4,FALSE)</f>
        <v>1.0880000000000001</v>
      </c>
      <c r="N1025" s="646">
        <f>L1025*M1025</f>
        <v>669.75103999999999</v>
      </c>
      <c r="O1025" s="767"/>
      <c r="P1025" s="632" t="s">
        <v>333</v>
      </c>
      <c r="R1025" s="742"/>
      <c r="S1025" s="742"/>
    </row>
    <row r="1026" spans="1:19" s="761" customFormat="1" ht="22.5" hidden="1" outlineLevel="3" x14ac:dyDescent="0.2">
      <c r="A1026" s="762" t="e">
        <f ca="1">IF($H1026="UNIDADE CONSTRUTIVA",OFFSET(A1026,-1,0)+1,LARGE(A$3:A1025,1))</f>
        <v>#NUM!</v>
      </c>
      <c r="B1026" s="762">
        <f t="shared" ca="1" si="240"/>
        <v>14</v>
      </c>
      <c r="C1026" s="762">
        <f t="shared" ca="1" si="241"/>
        <v>1</v>
      </c>
      <c r="D1026" s="763">
        <f t="shared" ca="1" si="242"/>
        <v>3</v>
      </c>
      <c r="E1026" s="763">
        <f t="shared" ca="1" si="243"/>
        <v>2</v>
      </c>
      <c r="G1026" s="628"/>
      <c r="H1026" s="766" t="s">
        <v>368</v>
      </c>
      <c r="I1026" s="629" t="str">
        <f t="shared" ca="1" si="244"/>
        <v>14.001.003.002</v>
      </c>
      <c r="J1026" s="654" t="s">
        <v>861</v>
      </c>
      <c r="K1026" s="630" t="s">
        <v>1</v>
      </c>
      <c r="L1026" s="631">
        <f>L838</f>
        <v>181.51</v>
      </c>
      <c r="M1026" s="631">
        <f>VLOOKUP(J1026,Preços!$C$7:$F$498,4,FALSE)</f>
        <v>2.6949999999999998</v>
      </c>
      <c r="N1026" s="646">
        <f>L1026*M1026</f>
        <v>489.16944999999993</v>
      </c>
      <c r="O1026" s="767"/>
      <c r="P1026" s="632" t="s">
        <v>333</v>
      </c>
      <c r="R1026" s="742"/>
      <c r="S1026" s="742"/>
    </row>
    <row r="1027" spans="1:19" s="761" customFormat="1" ht="22.5" hidden="1" outlineLevel="3" x14ac:dyDescent="0.2">
      <c r="A1027" s="762" t="e">
        <f ca="1">IF($H1027="UNIDADE CONSTRUTIVA",OFFSET(A1027,-1,0)+1,LARGE(A$3:A1026,1))</f>
        <v>#NUM!</v>
      </c>
      <c r="B1027" s="762">
        <f t="shared" ca="1" si="240"/>
        <v>14</v>
      </c>
      <c r="C1027" s="762">
        <f t="shared" ca="1" si="241"/>
        <v>1</v>
      </c>
      <c r="D1027" s="763">
        <f t="shared" ca="1" si="242"/>
        <v>3</v>
      </c>
      <c r="E1027" s="763">
        <f t="shared" ca="1" si="243"/>
        <v>3</v>
      </c>
      <c r="G1027" s="628"/>
      <c r="H1027" s="766" t="s">
        <v>368</v>
      </c>
      <c r="I1027" s="629" t="str">
        <f t="shared" ca="1" si="244"/>
        <v>14.001.003.003</v>
      </c>
      <c r="J1027" s="654" t="s">
        <v>862</v>
      </c>
      <c r="K1027" s="630" t="s">
        <v>1</v>
      </c>
      <c r="L1027" s="631">
        <f>ARQ.!C84</f>
        <v>615.58000000000004</v>
      </c>
      <c r="M1027" s="631">
        <f>VLOOKUP(J1027,Preços!$C$7:$F$498,4,FALSE)</f>
        <v>9.9969000000000001</v>
      </c>
      <c r="N1027" s="646">
        <f>L1027*M1027</f>
        <v>6153.8917020000008</v>
      </c>
      <c r="O1027" s="767"/>
      <c r="P1027" s="632" t="s">
        <v>333</v>
      </c>
      <c r="R1027" s="742"/>
      <c r="S1027" s="742"/>
    </row>
    <row r="1028" spans="1:19" s="761" customFormat="1" hidden="1" outlineLevel="2" x14ac:dyDescent="0.2">
      <c r="A1028" s="762" t="e">
        <f ca="1">IF($H1028="UNIDADE CONSTRUTIVA",OFFSET(A1028,-1,0)+1,LARGE(A$3:A1027,1))</f>
        <v>#NUM!</v>
      </c>
      <c r="B1028" s="762">
        <f t="shared" ca="1" si="240"/>
        <v>14</v>
      </c>
      <c r="C1028" s="762">
        <f t="shared" ca="1" si="241"/>
        <v>1</v>
      </c>
      <c r="D1028" s="763">
        <f t="shared" ca="1" si="242"/>
        <v>4</v>
      </c>
      <c r="E1028" s="763">
        <f t="shared" ca="1" si="243"/>
        <v>0</v>
      </c>
      <c r="G1028" s="628"/>
      <c r="H1028" s="766" t="s">
        <v>367</v>
      </c>
      <c r="I1028" s="629" t="str">
        <f t="shared" ca="1" si="244"/>
        <v>14.001.004</v>
      </c>
      <c r="J1028" s="654" t="s">
        <v>211</v>
      </c>
      <c r="K1028" s="630"/>
      <c r="L1028" s="631"/>
      <c r="M1028" s="631"/>
      <c r="N1028" s="646">
        <f>SUM(N1029:N1033)</f>
        <v>64419.774999999994</v>
      </c>
      <c r="O1028" s="767"/>
      <c r="P1028" s="767"/>
      <c r="R1028" s="742"/>
      <c r="S1028" s="742"/>
    </row>
    <row r="1029" spans="1:19" s="761" customFormat="1" ht="22.5" hidden="1" outlineLevel="3" x14ac:dyDescent="0.2">
      <c r="A1029" s="762" t="e">
        <f ca="1">IF($H1029="UNIDADE CONSTRUTIVA",OFFSET(A1029,-1,0)+1,LARGE(A$3:A1028,1))</f>
        <v>#NUM!</v>
      </c>
      <c r="B1029" s="762">
        <f t="shared" ca="1" si="240"/>
        <v>14</v>
      </c>
      <c r="C1029" s="762">
        <f t="shared" ca="1" si="241"/>
        <v>1</v>
      </c>
      <c r="D1029" s="763">
        <f t="shared" ca="1" si="242"/>
        <v>4</v>
      </c>
      <c r="E1029" s="763">
        <f t="shared" ca="1" si="243"/>
        <v>1</v>
      </c>
      <c r="G1029" s="628"/>
      <c r="H1029" s="766" t="s">
        <v>368</v>
      </c>
      <c r="I1029" s="629" t="str">
        <f t="shared" ca="1" si="244"/>
        <v>14.001.004.001</v>
      </c>
      <c r="J1029" s="654" t="s">
        <v>1571</v>
      </c>
      <c r="K1029" s="630" t="s">
        <v>1</v>
      </c>
      <c r="L1029" s="631">
        <f>L1016+L1018</f>
        <v>245.09</v>
      </c>
      <c r="M1029" s="631">
        <f>VLOOKUP(J1029,Preços!$C$7:$F$498,4,FALSE)</f>
        <v>47</v>
      </c>
      <c r="N1029" s="646">
        <f>L1029*M1029</f>
        <v>11519.23</v>
      </c>
      <c r="O1029" s="767"/>
      <c r="P1029" s="632" t="s">
        <v>333</v>
      </c>
      <c r="R1029" s="742"/>
      <c r="S1029" s="742"/>
    </row>
    <row r="1030" spans="1:19" s="761" customFormat="1" ht="22.5" hidden="1" outlineLevel="3" x14ac:dyDescent="0.2">
      <c r="A1030" s="762" t="e">
        <f ca="1">IF($H1030="UNIDADE CONSTRUTIVA",OFFSET(A1030,-1,0)+1,LARGE(A$3:A1029,1))</f>
        <v>#NUM!</v>
      </c>
      <c r="B1030" s="762">
        <f ca="1">IF(H1030="UNIDADE CONSTRUTIVA",0,IF(H1030="CÉLULA CONSTRUTIVA",OFFSET(B1030,-1,0)+1,OFFSET(B1030,-1,0)))</f>
        <v>14</v>
      </c>
      <c r="C1030" s="762">
        <f ca="1">IF(H1030="CÉLULA CONSTRUTIVA",0,IF(H1030="ETAPA",OFFSET(C1030,-1,0)+1,OFFSET(C1030,-1,0)))</f>
        <v>1</v>
      </c>
      <c r="D1030" s="763">
        <f ca="1">IF(H1030="ETAPA",0,IF(H1030="SUBETAPA",OFFSET(D1030,-1,0)+1,OFFSET(D1030,-1,0)))</f>
        <v>4</v>
      </c>
      <c r="E1030" s="763">
        <f ca="1">IF(H1030="Subetapa",0,IF(H1030="serviço",OFFSET(E1030,-1,0)+1,OFFSET(E1030,-1,0)))</f>
        <v>2</v>
      </c>
      <c r="G1030" s="628"/>
      <c r="H1030" s="766" t="s">
        <v>368</v>
      </c>
      <c r="I1030" s="629" t="str">
        <f ca="1">IF(H1030="Unidade Construtiva",TEXT(A1030,"00"),IF(H1030="Célula Construtiva",TEXT(B1030,"00"),IF(H1030="Etapa",CONCATENATE(TEXT(B1030,"00"),".",TEXT(C1030,"000")),IF(H1030="Subetapa",CONCATENATE(TEXT(B1030,"00"),".",TEXT(C1030,"000"),".",TEXT(D1030,"000")),IF(H1030="Serviço",CONCATENATE(TEXT(B1030,"00"),".",TEXT(C1030,"000"),".",TEXT(D1030,"000"),".",TEXT(E1030,"000")),"")))))</f>
        <v>14.001.004.002</v>
      </c>
      <c r="J1030" s="654" t="s">
        <v>879</v>
      </c>
      <c r="K1030" s="630" t="s">
        <v>1</v>
      </c>
      <c r="L1030" s="631">
        <f>L1017</f>
        <v>56.410000000000004</v>
      </c>
      <c r="M1030" s="631">
        <f>VLOOKUP(J1030,Preços!$C$7:$F$498,4,FALSE)</f>
        <v>18.5</v>
      </c>
      <c r="N1030" s="646">
        <f>L1030*M1030</f>
        <v>1043.585</v>
      </c>
      <c r="O1030" s="767"/>
      <c r="P1030" s="632" t="s">
        <v>333</v>
      </c>
      <c r="R1030" s="742"/>
      <c r="S1030" s="742"/>
    </row>
    <row r="1031" spans="1:19" s="761" customFormat="1" ht="22.5" hidden="1" outlineLevel="3" x14ac:dyDescent="0.2">
      <c r="A1031" s="762" t="e">
        <f ca="1">IF($H1031="UNIDADE CONSTRUTIVA",OFFSET(A1031,-1,0)+1,LARGE(A$3:A1033,1))</f>
        <v>#NUM!</v>
      </c>
      <c r="B1031" s="762">
        <f ca="1">IF(H1031="UNIDADE CONSTRUTIVA",0,IF(H1031="CÉLULA CONSTRUTIVA",OFFSET(B1031,-1,0)+1,OFFSET(B1031,-1,0)))</f>
        <v>14</v>
      </c>
      <c r="C1031" s="762">
        <f ca="1">IF(H1031="CÉLULA CONSTRUTIVA",0,IF(H1031="ETAPA",OFFSET(C1031,-1,0)+1,OFFSET(C1031,-1,0)))</f>
        <v>1</v>
      </c>
      <c r="D1031" s="763">
        <f ca="1">IF(H1031="ETAPA",0,IF(H1031="SUBETAPA",OFFSET(D1031,-1,0)+1,OFFSET(D1031,-1,0)))</f>
        <v>4</v>
      </c>
      <c r="E1031" s="763">
        <f ca="1">IF(H1031="Subetapa",0,IF(H1031="serviço",OFFSET(E1031,-1,0)+1,OFFSET(E1031,-1,0)))</f>
        <v>3</v>
      </c>
      <c r="G1031" s="628"/>
      <c r="H1031" s="766" t="s">
        <v>368</v>
      </c>
      <c r="I1031" s="629" t="str">
        <f ca="1">IF(H1031="Unidade Construtiva",TEXT(A1031,"00"),IF(H1031="Célula Construtiva",TEXT(B1031,"00"),IF(H1031="Etapa",CONCATENATE(TEXT(B1031,"00"),".",TEXT(C1031,"000")),IF(H1031="Subetapa",CONCATENATE(TEXT(B1031,"00"),".",TEXT(C1031,"000"),".",TEXT(D1031,"000")),IF(H1031="Serviço",CONCATENATE(TEXT(B1031,"00"),".",TEXT(C1031,"000"),".",TEXT(D1031,"000"),".",TEXT(E1031,"000")),"")))))</f>
        <v>14.001.004.003</v>
      </c>
      <c r="J1031" s="654" t="s">
        <v>881</v>
      </c>
      <c r="K1031" s="630" t="s">
        <v>1</v>
      </c>
      <c r="L1031" s="631">
        <f>L1023</f>
        <v>30.31</v>
      </c>
      <c r="M1031" s="631">
        <f>VLOOKUP(J1031,Preços!$C$7:$F$498,4,FALSE)</f>
        <v>12</v>
      </c>
      <c r="N1031" s="646">
        <f>L1031*M1031</f>
        <v>363.71999999999997</v>
      </c>
      <c r="O1031" s="767"/>
      <c r="P1031" s="632" t="s">
        <v>333</v>
      </c>
      <c r="R1031" s="742"/>
      <c r="S1031" s="742"/>
    </row>
    <row r="1032" spans="1:19" s="761" customFormat="1" ht="22.5" hidden="1" outlineLevel="3" x14ac:dyDescent="0.2">
      <c r="A1032" s="762" t="e">
        <f ca="1">IF($H1032="UNIDADE CONSTRUTIVA",OFFSET(A1032,-1,0)+1,LARGE(A$3:A1033,1))</f>
        <v>#NUM!</v>
      </c>
      <c r="B1032" s="762">
        <f ca="1">IF(H1032="UNIDADE CONSTRUTIVA",0,IF(H1032="CÉLULA CONSTRUTIVA",OFFSET(B1032,-1,0)+1,OFFSET(B1032,-1,0)))</f>
        <v>14</v>
      </c>
      <c r="C1032" s="762">
        <f ca="1">IF(H1032="CÉLULA CONSTRUTIVA",0,IF(H1032="ETAPA",OFFSET(C1032,-1,0)+1,OFFSET(C1032,-1,0)))</f>
        <v>1</v>
      </c>
      <c r="D1032" s="763">
        <f ca="1">IF(H1032="ETAPA",0,IF(H1032="SUBETAPA",OFFSET(D1032,-1,0)+1,OFFSET(D1032,-1,0)))</f>
        <v>4</v>
      </c>
      <c r="E1032" s="763">
        <f ca="1">IF(H1032="Subetapa",0,IF(H1032="serviço",OFFSET(E1032,-1,0)+1,OFFSET(E1032,-1,0)))</f>
        <v>4</v>
      </c>
      <c r="G1032" s="628"/>
      <c r="H1032" s="766" t="s">
        <v>368</v>
      </c>
      <c r="I1032" s="629" t="str">
        <f ca="1">IF(H1032="Unidade Construtiva",TEXT(A1032,"00"),IF(H1032="Célula Construtiva",TEXT(B1032,"00"),IF(H1032="Etapa",CONCATENATE(TEXT(B1032,"00"),".",TEXT(C1032,"000")),IF(H1032="Subetapa",CONCATENATE(TEXT(B1032,"00"),".",TEXT(C1032,"000"),".",TEXT(D1032,"000")),IF(H1032="Serviço",CONCATENATE(TEXT(B1032,"00"),".",TEXT(C1032,"000"),".",TEXT(D1032,"000"),".",TEXT(E1032,"000")),"")))))</f>
        <v>14.001.004.004</v>
      </c>
      <c r="J1032" s="654" t="s">
        <v>1573</v>
      </c>
      <c r="K1032" s="630" t="s">
        <v>1</v>
      </c>
      <c r="L1032" s="631">
        <f>L1027-L1026</f>
        <v>434.07000000000005</v>
      </c>
      <c r="M1032" s="631">
        <f>VLOOKUP(J1032,Preços!$C$7:$F$498,4,FALSE)</f>
        <v>20</v>
      </c>
      <c r="N1032" s="646">
        <f>L1032*M1032</f>
        <v>8681.4000000000015</v>
      </c>
      <c r="O1032" s="767"/>
      <c r="P1032" s="632" t="s">
        <v>333</v>
      </c>
      <c r="R1032" s="742"/>
      <c r="S1032" s="742"/>
    </row>
    <row r="1033" spans="1:19" s="761" customFormat="1" ht="22.5" hidden="1" outlineLevel="3" x14ac:dyDescent="0.2">
      <c r="A1033" s="762" t="e">
        <f ca="1">IF($H1033="UNIDADE CONSTRUTIVA",OFFSET(A1033,-1,0)+1,LARGE(A$3:A1033,1))</f>
        <v>#NUM!</v>
      </c>
      <c r="B1033" s="762">
        <f ca="1">IF(H1033="UNIDADE CONSTRUTIVA",0,IF(H1033="CÉLULA CONSTRUTIVA",OFFSET(B1033,-1,0)+1,OFFSET(B1033,-1,0)))</f>
        <v>14</v>
      </c>
      <c r="C1033" s="762">
        <f ca="1">IF(H1033="CÉLULA CONSTRUTIVA",0,IF(H1033="ETAPA",OFFSET(C1033,-1,0)+1,OFFSET(C1033,-1,0)))</f>
        <v>1</v>
      </c>
      <c r="D1033" s="763">
        <f ca="1">IF(H1033="ETAPA",0,IF(H1033="SUBETAPA",OFFSET(D1033,-1,0)+1,OFFSET(D1033,-1,0)))</f>
        <v>4</v>
      </c>
      <c r="E1033" s="763">
        <f ca="1">IF(H1033="Subetapa",0,IF(H1033="serviço",OFFSET(E1033,-1,0)+1,OFFSET(E1033,-1,0)))</f>
        <v>5</v>
      </c>
      <c r="G1033" s="628"/>
      <c r="H1033" s="766" t="s">
        <v>368</v>
      </c>
      <c r="I1033" s="629" t="str">
        <f ca="1">IF(H1033="Unidade Construtiva",TEXT(A1033,"00"),IF(H1033="Célula Construtiva",TEXT(B1033,"00"),IF(H1033="Etapa",CONCATENATE(TEXT(B1033,"00"),".",TEXT(C1033,"000")),IF(H1033="Subetapa",CONCATENATE(TEXT(B1033,"00"),".",TEXT(C1033,"000"),".",TEXT(D1033,"000")),IF(H1033="Serviço",CONCATENATE(TEXT(B1033,"00"),".",TEXT(C1033,"000"),".",TEXT(D1033,"000"),".",TEXT(E1033,"000")),"")))))</f>
        <v>14.001.004.005</v>
      </c>
      <c r="J1033" s="654" t="s">
        <v>1574</v>
      </c>
      <c r="K1033" s="630" t="s">
        <v>1</v>
      </c>
      <c r="L1033" s="631">
        <f>L1026+L1021</f>
        <v>1337.87</v>
      </c>
      <c r="M1033" s="631">
        <f>VLOOKUP(J1033,Preços!$C$7:$F$498,4,FALSE)</f>
        <v>32</v>
      </c>
      <c r="N1033" s="646">
        <f>L1033*M1033</f>
        <v>42811.839999999997</v>
      </c>
      <c r="O1033" s="767"/>
      <c r="P1033" s="632" t="s">
        <v>333</v>
      </c>
      <c r="R1033" s="742"/>
      <c r="S1033" s="742"/>
    </row>
    <row r="1034" spans="1:19" s="761" customFormat="1" ht="22.5" hidden="1" outlineLevel="1" collapsed="1" x14ac:dyDescent="0.2">
      <c r="A1034" s="762" t="e">
        <f ca="1">IF($H1034="UNIDADE CONSTRUTIVA",OFFSET(A1034,-1,0)+1,LARGE(A$3:A1033,1))</f>
        <v>#NUM!</v>
      </c>
      <c r="B1034" s="762">
        <f t="shared" ca="1" si="240"/>
        <v>14</v>
      </c>
      <c r="C1034" s="762">
        <f t="shared" ca="1" si="241"/>
        <v>2</v>
      </c>
      <c r="D1034" s="763">
        <f t="shared" ca="1" si="242"/>
        <v>0</v>
      </c>
      <c r="E1034" s="763">
        <f t="shared" ca="1" si="243"/>
        <v>5</v>
      </c>
      <c r="G1034" s="628"/>
      <c r="H1034" s="766" t="s">
        <v>366</v>
      </c>
      <c r="I1034" s="629" t="str">
        <f t="shared" ref="I1034:I1073" ca="1" si="245">IF(H1034="Unidade Construtiva",TEXT(A1034,"00"),IF(H1034="Célula Construtiva",TEXT(B1034,"00"),IF(H1034="Etapa",CONCATENATE(TEXT(B1034,"00"),".",TEXT(C1034,"000")),IF(H1034="Subetapa",CONCATENATE(TEXT(B1034,"00"),".",TEXT(C1034,"000"),".",TEXT(D1034,"000")),IF(H1034="Serviço",CONCATENATE(TEXT(B1034,"00"),".",TEXT(C1034,"000"),".",TEXT(D1034,"000"),".",TEXT(E1034,"000")),"")))))</f>
        <v>14.002</v>
      </c>
      <c r="J1034" s="654" t="s">
        <v>867</v>
      </c>
      <c r="K1034" s="630"/>
      <c r="L1034" s="631"/>
      <c r="M1034" s="631"/>
      <c r="N1034" s="646">
        <f>SUM(N1035,N1039,N1044,N1048)</f>
        <v>100912.694453</v>
      </c>
      <c r="O1034" s="767"/>
      <c r="P1034" s="632"/>
      <c r="R1034" s="742"/>
      <c r="S1034" s="742"/>
    </row>
    <row r="1035" spans="1:19" s="761" customFormat="1" hidden="1" outlineLevel="2" x14ac:dyDescent="0.2">
      <c r="A1035" s="762" t="e">
        <f ca="1">IF($H1035="UNIDADE CONSTRUTIVA",OFFSET(A1035,-1,0)+1,LARGE(A$3:A1034,1))</f>
        <v>#NUM!</v>
      </c>
      <c r="B1035" s="762">
        <f t="shared" ca="1" si="240"/>
        <v>14</v>
      </c>
      <c r="C1035" s="762">
        <f t="shared" ca="1" si="241"/>
        <v>2</v>
      </c>
      <c r="D1035" s="763">
        <f t="shared" ca="1" si="242"/>
        <v>1</v>
      </c>
      <c r="E1035" s="763">
        <f t="shared" ca="1" si="243"/>
        <v>0</v>
      </c>
      <c r="G1035" s="628"/>
      <c r="H1035" s="766" t="s">
        <v>367</v>
      </c>
      <c r="I1035" s="629" t="str">
        <f t="shared" ca="1" si="245"/>
        <v>14.002.001</v>
      </c>
      <c r="J1035" s="654" t="s">
        <v>231</v>
      </c>
      <c r="K1035" s="630"/>
      <c r="L1035" s="631"/>
      <c r="M1035" s="631"/>
      <c r="N1035" s="646">
        <f>SUM(N1036:N1038)</f>
        <v>24454.163605000002</v>
      </c>
      <c r="O1035" s="767"/>
      <c r="P1035" s="632"/>
      <c r="R1035" s="742"/>
      <c r="S1035" s="742"/>
    </row>
    <row r="1036" spans="1:19" s="761" customFormat="1" ht="22.5" hidden="1" outlineLevel="3" x14ac:dyDescent="0.2">
      <c r="A1036" s="762" t="e">
        <f ca="1">IF($H1036="UNIDADE CONSTRUTIVA",OFFSET(A1036,-1,0)+1,LARGE(A$3:A1035,1))</f>
        <v>#NUM!</v>
      </c>
      <c r="B1036" s="762">
        <f t="shared" ref="B1036:B1073" ca="1" si="246">IF(H1036="UNIDADE CONSTRUTIVA",0,IF(H1036="CÉLULA CONSTRUTIVA",OFFSET(B1036,-1,0)+1,OFFSET(B1036,-1,0)))</f>
        <v>14</v>
      </c>
      <c r="C1036" s="762">
        <f t="shared" ref="C1036:C1073" ca="1" si="247">IF(H1036="CÉLULA CONSTRUTIVA",0,IF(H1036="ETAPA",OFFSET(C1036,-1,0)+1,OFFSET(C1036,-1,0)))</f>
        <v>2</v>
      </c>
      <c r="D1036" s="763">
        <f t="shared" ref="D1036:D1073" ca="1" si="248">IF(H1036="ETAPA",0,IF(H1036="SUBETAPA",OFFSET(D1036,-1,0)+1,OFFSET(D1036,-1,0)))</f>
        <v>1</v>
      </c>
      <c r="E1036" s="763">
        <f t="shared" ref="E1036:E1073" ca="1" si="249">IF(H1036="Subetapa",0,IF(H1036="serviço",OFFSET(E1036,-1,0)+1,OFFSET(E1036,-1,0)))</f>
        <v>1</v>
      </c>
      <c r="G1036" s="628"/>
      <c r="H1036" s="766" t="s">
        <v>368</v>
      </c>
      <c r="I1036" s="629" t="str">
        <f t="shared" ca="1" si="245"/>
        <v>14.002.001.001</v>
      </c>
      <c r="J1036" s="654" t="s">
        <v>1570</v>
      </c>
      <c r="K1036" s="630" t="s">
        <v>1</v>
      </c>
      <c r="L1036" s="631">
        <f>ARQ.!C158+ARQ.!C160</f>
        <v>461.02000000000004</v>
      </c>
      <c r="M1036" s="631">
        <f>VLOOKUP(J1036,Preços!$C$7:$F$498,4,FALSE)</f>
        <v>52.57</v>
      </c>
      <c r="N1036" s="646">
        <f>L1036*M1036</f>
        <v>24235.821400000001</v>
      </c>
      <c r="O1036" s="767"/>
      <c r="P1036" s="632" t="s">
        <v>333</v>
      </c>
      <c r="R1036" s="742"/>
      <c r="S1036" s="742"/>
    </row>
    <row r="1037" spans="1:19" s="761" customFormat="1" ht="22.5" hidden="1" outlineLevel="3" x14ac:dyDescent="0.2">
      <c r="A1037" s="762" t="e">
        <f ca="1">IF($H1037="UNIDADE CONSTRUTIVA",OFFSET(A1037,-1,0)+1,LARGE(A$3:A1035,1))</f>
        <v>#NUM!</v>
      </c>
      <c r="B1037" s="762">
        <f ca="1">IF(H1037="UNIDADE CONSTRUTIVA",0,IF(H1037="CÉLULA CONSTRUTIVA",OFFSET(B1037,-1,0)+1,OFFSET(B1037,-1,0)))</f>
        <v>14</v>
      </c>
      <c r="C1037" s="762">
        <f ca="1">IF(H1037="CÉLULA CONSTRUTIVA",0,IF(H1037="ETAPA",OFFSET(C1037,-1,0)+1,OFFSET(C1037,-1,0)))</f>
        <v>2</v>
      </c>
      <c r="D1037" s="763">
        <f ca="1">IF(H1037="ETAPA",0,IF(H1037="SUBETAPA",OFFSET(D1037,-1,0)+1,OFFSET(D1037,-1,0)))</f>
        <v>1</v>
      </c>
      <c r="E1037" s="763">
        <f ca="1">IF(H1037="Subetapa",0,IF(H1037="serviço",OFFSET(E1037,-1,0)+1,OFFSET(E1037,-1,0)))</f>
        <v>2</v>
      </c>
      <c r="G1037" s="628"/>
      <c r="H1037" s="766" t="s">
        <v>368</v>
      </c>
      <c r="I1037" s="629" t="str">
        <f ca="1">IF(H1037="Unidade Construtiva",TEXT(A1037,"00"),IF(H1037="Célula Construtiva",TEXT(B1037,"00"),IF(H1037="Etapa",CONCATENATE(TEXT(B1037,"00"),".",TEXT(C1037,"000")),IF(H1037="Subetapa",CONCATENATE(TEXT(B1037,"00"),".",TEXT(C1037,"000"),".",TEXT(D1037,"000")),IF(H1037="Serviço",CONCATENATE(TEXT(B1037,"00"),".",TEXT(C1037,"000"),".",TEXT(D1037,"000"),".",TEXT(E1037,"000")),"")))))</f>
        <v>14.002.001.002</v>
      </c>
      <c r="J1037" s="654" t="s">
        <v>1572</v>
      </c>
      <c r="K1037" s="630" t="s">
        <v>1</v>
      </c>
      <c r="L1037" s="631">
        <f>ARQ.!C161+ARQ.!C162</f>
        <v>24.09</v>
      </c>
      <c r="M1037" s="631">
        <f>VLOOKUP(J1037,Preços!$C$7:$F$498,4,FALSE)</f>
        <v>6.36</v>
      </c>
      <c r="N1037" s="646">
        <f>L1037*M1037</f>
        <v>153.2124</v>
      </c>
      <c r="O1037" s="767"/>
      <c r="P1037" s="632" t="s">
        <v>333</v>
      </c>
      <c r="R1037" s="742"/>
      <c r="S1037" s="742"/>
    </row>
    <row r="1038" spans="1:19" s="761" customFormat="1" ht="22.5" hidden="1" outlineLevel="3" x14ac:dyDescent="0.2">
      <c r="A1038" s="762" t="e">
        <f ca="1">IF($H1038="UNIDADE CONSTRUTIVA",OFFSET(A1038,-1,0)+1,LARGE(A$3:A1036,1))</f>
        <v>#NUM!</v>
      </c>
      <c r="B1038" s="762">
        <f t="shared" ca="1" si="246"/>
        <v>14</v>
      </c>
      <c r="C1038" s="762">
        <f t="shared" ca="1" si="247"/>
        <v>2</v>
      </c>
      <c r="D1038" s="763">
        <f t="shared" ca="1" si="248"/>
        <v>1</v>
      </c>
      <c r="E1038" s="763">
        <f t="shared" ca="1" si="249"/>
        <v>3</v>
      </c>
      <c r="G1038" s="628"/>
      <c r="H1038" s="766" t="s">
        <v>368</v>
      </c>
      <c r="I1038" s="629" t="str">
        <f t="shared" ca="1" si="245"/>
        <v>14.002.001.003</v>
      </c>
      <c r="J1038" s="654" t="s">
        <v>855</v>
      </c>
      <c r="K1038" s="630" t="s">
        <v>1</v>
      </c>
      <c r="L1038" s="631">
        <f>ARQ.!C159</f>
        <v>22.95</v>
      </c>
      <c r="M1038" s="631">
        <f>VLOOKUP(J1038,Preços!$C$7:$F$498,4,FALSE)</f>
        <v>2.8378999999999999</v>
      </c>
      <c r="N1038" s="646">
        <f>L1038*M1038</f>
        <v>65.12980499999999</v>
      </c>
      <c r="O1038" s="767"/>
      <c r="P1038" s="632" t="s">
        <v>333</v>
      </c>
      <c r="R1038" s="742"/>
      <c r="S1038" s="742"/>
    </row>
    <row r="1039" spans="1:19" s="761" customFormat="1" hidden="1" outlineLevel="2" x14ac:dyDescent="0.2">
      <c r="A1039" s="762" t="e">
        <f ca="1">IF($H1039="UNIDADE CONSTRUTIVA",OFFSET(A1039,-1,0)+1,LARGE(A$3:A1038,1))</f>
        <v>#NUM!</v>
      </c>
      <c r="B1039" s="762">
        <f t="shared" ca="1" si="246"/>
        <v>14</v>
      </c>
      <c r="C1039" s="762">
        <f t="shared" ca="1" si="247"/>
        <v>2</v>
      </c>
      <c r="D1039" s="763">
        <f t="shared" ca="1" si="248"/>
        <v>2</v>
      </c>
      <c r="E1039" s="763">
        <f t="shared" ca="1" si="249"/>
        <v>0</v>
      </c>
      <c r="G1039" s="628"/>
      <c r="H1039" s="766" t="s">
        <v>367</v>
      </c>
      <c r="I1039" s="629" t="str">
        <f t="shared" ca="1" si="245"/>
        <v>14.002.002</v>
      </c>
      <c r="J1039" s="654" t="s">
        <v>232</v>
      </c>
      <c r="K1039" s="630"/>
      <c r="L1039" s="631"/>
      <c r="M1039" s="631"/>
      <c r="N1039" s="646">
        <f>SUM(N1040:N1043)</f>
        <v>12185.635532</v>
      </c>
      <c r="O1039" s="767"/>
      <c r="P1039" s="632"/>
      <c r="R1039" s="742"/>
      <c r="S1039" s="742"/>
    </row>
    <row r="1040" spans="1:19" s="761" customFormat="1" ht="22.5" hidden="1" outlineLevel="3" x14ac:dyDescent="0.2">
      <c r="A1040" s="762" t="e">
        <f ca="1">IF($H1040="UNIDADE CONSTRUTIVA",OFFSET(A1040,-1,0)+1,LARGE(A$3:A1039,1))</f>
        <v>#NUM!</v>
      </c>
      <c r="B1040" s="762">
        <f t="shared" ca="1" si="246"/>
        <v>14</v>
      </c>
      <c r="C1040" s="762">
        <f t="shared" ca="1" si="247"/>
        <v>2</v>
      </c>
      <c r="D1040" s="763">
        <f t="shared" ca="1" si="248"/>
        <v>2</v>
      </c>
      <c r="E1040" s="763">
        <f t="shared" ca="1" si="249"/>
        <v>1</v>
      </c>
      <c r="G1040" s="628"/>
      <c r="H1040" s="766" t="s">
        <v>368</v>
      </c>
      <c r="I1040" s="629" t="str">
        <f t="shared" ca="1" si="245"/>
        <v>14.002.002.001</v>
      </c>
      <c r="J1040" s="654" t="s">
        <v>856</v>
      </c>
      <c r="K1040" s="630" t="s">
        <v>1</v>
      </c>
      <c r="L1040" s="631">
        <f>L1042</f>
        <v>660.73</v>
      </c>
      <c r="M1040" s="631">
        <f>VLOOKUP(J1040,Preços!$C$7:$F$498,4,FALSE)</f>
        <v>1.0880000000000001</v>
      </c>
      <c r="N1040" s="646">
        <f>L1040*M1040</f>
        <v>718.8742400000001</v>
      </c>
      <c r="O1040" s="767"/>
      <c r="P1040" s="632" t="s">
        <v>333</v>
      </c>
      <c r="R1040" s="742"/>
      <c r="S1040" s="742"/>
    </row>
    <row r="1041" spans="1:19" s="761" customFormat="1" ht="22.5" hidden="1" outlineLevel="3" x14ac:dyDescent="0.2">
      <c r="A1041" s="762" t="e">
        <f ca="1">IF($H1041="UNIDADE CONSTRUTIVA",OFFSET(A1041,-1,0)+1,LARGE(A$3:A1040,1))</f>
        <v>#NUM!</v>
      </c>
      <c r="B1041" s="762">
        <f t="shared" ca="1" si="246"/>
        <v>14</v>
      </c>
      <c r="C1041" s="762">
        <f t="shared" ca="1" si="247"/>
        <v>2</v>
      </c>
      <c r="D1041" s="763">
        <f t="shared" ca="1" si="248"/>
        <v>2</v>
      </c>
      <c r="E1041" s="763">
        <f t="shared" ca="1" si="249"/>
        <v>2</v>
      </c>
      <c r="G1041" s="628"/>
      <c r="H1041" s="766" t="s">
        <v>368</v>
      </c>
      <c r="I1041" s="629" t="str">
        <f t="shared" ca="1" si="245"/>
        <v>14.002.002.002</v>
      </c>
      <c r="J1041" s="654" t="s">
        <v>857</v>
      </c>
      <c r="K1041" s="630" t="s">
        <v>1</v>
      </c>
      <c r="L1041" s="631">
        <f>L1042</f>
        <v>660.73</v>
      </c>
      <c r="M1041" s="631">
        <f>VLOOKUP(J1041,Preços!$C$7:$F$498,4,FALSE)</f>
        <v>2.6949999999999998</v>
      </c>
      <c r="N1041" s="646">
        <f>L1041*M1041</f>
        <v>1780.6673499999999</v>
      </c>
      <c r="O1041" s="767"/>
      <c r="P1041" s="632" t="s">
        <v>333</v>
      </c>
      <c r="R1041" s="742"/>
      <c r="S1041" s="742"/>
    </row>
    <row r="1042" spans="1:19" s="761" customFormat="1" ht="22.5" hidden="1" outlineLevel="3" x14ac:dyDescent="0.2">
      <c r="A1042" s="762" t="e">
        <f ca="1">IF($H1042="UNIDADE CONSTRUTIVA",OFFSET(A1042,-1,0)+1,LARGE(A$3:A1041,1))</f>
        <v>#NUM!</v>
      </c>
      <c r="B1042" s="762">
        <f t="shared" ca="1" si="246"/>
        <v>14</v>
      </c>
      <c r="C1042" s="762">
        <f t="shared" ca="1" si="247"/>
        <v>2</v>
      </c>
      <c r="D1042" s="763">
        <f t="shared" ca="1" si="248"/>
        <v>2</v>
      </c>
      <c r="E1042" s="763">
        <f t="shared" ca="1" si="249"/>
        <v>3</v>
      </c>
      <c r="G1042" s="628"/>
      <c r="H1042" s="766" t="s">
        <v>368</v>
      </c>
      <c r="I1042" s="629" t="str">
        <f t="shared" ca="1" si="245"/>
        <v>14.002.002.003</v>
      </c>
      <c r="J1042" s="654" t="s">
        <v>858</v>
      </c>
      <c r="K1042" s="630" t="s">
        <v>1</v>
      </c>
      <c r="L1042" s="631">
        <v>660.73</v>
      </c>
      <c r="M1042" s="631">
        <f>VLOOKUP(J1042,Preços!$C$7:$F$498,4,FALSE)</f>
        <v>14.4375</v>
      </c>
      <c r="N1042" s="646">
        <f>L1042*M1042</f>
        <v>9539.2893750000003</v>
      </c>
      <c r="O1042" s="767"/>
      <c r="P1042" s="632" t="s">
        <v>333</v>
      </c>
      <c r="R1042" s="742"/>
      <c r="S1042" s="742"/>
    </row>
    <row r="1043" spans="1:19" s="761" customFormat="1" ht="22.5" hidden="1" outlineLevel="3" x14ac:dyDescent="0.2">
      <c r="A1043" s="762" t="e">
        <f ca="1">IF($H1043="UNIDADE CONSTRUTIVA",OFFSET(A1043,-1,0)+1,LARGE(A$3:A1042,1))</f>
        <v>#NUM!</v>
      </c>
      <c r="B1043" s="762">
        <f t="shared" ca="1" si="246"/>
        <v>14</v>
      </c>
      <c r="C1043" s="762">
        <f t="shared" ca="1" si="247"/>
        <v>2</v>
      </c>
      <c r="D1043" s="763">
        <f t="shared" ca="1" si="248"/>
        <v>2</v>
      </c>
      <c r="E1043" s="763">
        <f t="shared" ca="1" si="249"/>
        <v>4</v>
      </c>
      <c r="G1043" s="628"/>
      <c r="H1043" s="766" t="s">
        <v>368</v>
      </c>
      <c r="I1043" s="629" t="str">
        <f t="shared" ca="1" si="245"/>
        <v>14.002.002.004</v>
      </c>
      <c r="J1043" s="654" t="s">
        <v>880</v>
      </c>
      <c r="K1043" s="630" t="s">
        <v>1</v>
      </c>
      <c r="L1043" s="631">
        <v>51.73</v>
      </c>
      <c r="M1043" s="631">
        <f>VLOOKUP(J1043,Preços!$C$7:$F$498,4,FALSE)</f>
        <v>2.8378999999999999</v>
      </c>
      <c r="N1043" s="646">
        <f>L1043*M1043</f>
        <v>146.80456699999999</v>
      </c>
      <c r="O1043" s="767"/>
      <c r="P1043" s="632" t="s">
        <v>333</v>
      </c>
      <c r="R1043" s="742"/>
      <c r="S1043" s="742"/>
    </row>
    <row r="1044" spans="1:19" s="761" customFormat="1" hidden="1" outlineLevel="2" x14ac:dyDescent="0.2">
      <c r="A1044" s="762" t="e">
        <f ca="1">IF($H1044="UNIDADE CONSTRUTIVA",OFFSET(A1044,-1,0)+1,LARGE(A$3:A1043,1))</f>
        <v>#NUM!</v>
      </c>
      <c r="B1044" s="762">
        <f t="shared" ca="1" si="246"/>
        <v>14</v>
      </c>
      <c r="C1044" s="762">
        <f t="shared" ca="1" si="247"/>
        <v>2</v>
      </c>
      <c r="D1044" s="763">
        <f t="shared" ca="1" si="248"/>
        <v>3</v>
      </c>
      <c r="E1044" s="763">
        <f t="shared" ca="1" si="249"/>
        <v>0</v>
      </c>
      <c r="G1044" s="628"/>
      <c r="H1044" s="766" t="s">
        <v>367</v>
      </c>
      <c r="I1044" s="629" t="str">
        <f t="shared" ca="1" si="245"/>
        <v>14.002.003</v>
      </c>
      <c r="J1044" s="654" t="s">
        <v>233</v>
      </c>
      <c r="K1044" s="630"/>
      <c r="L1044" s="631"/>
      <c r="M1044" s="631"/>
      <c r="N1044" s="646">
        <f>SUM(N1045:N1047)</f>
        <v>6874.4403160000002</v>
      </c>
      <c r="O1044" s="767"/>
      <c r="P1044" s="632"/>
      <c r="R1044" s="742"/>
      <c r="S1044" s="742"/>
    </row>
    <row r="1045" spans="1:19" s="761" customFormat="1" ht="22.5" hidden="1" outlineLevel="3" x14ac:dyDescent="0.2">
      <c r="A1045" s="762" t="e">
        <f ca="1">IF($H1045="UNIDADE CONSTRUTIVA",OFFSET(A1045,-1,0)+1,LARGE(A$3:A1044,1))</f>
        <v>#NUM!</v>
      </c>
      <c r="B1045" s="762">
        <f t="shared" ca="1" si="246"/>
        <v>14</v>
      </c>
      <c r="C1045" s="762">
        <f t="shared" ca="1" si="247"/>
        <v>2</v>
      </c>
      <c r="D1045" s="763">
        <f t="shared" ca="1" si="248"/>
        <v>3</v>
      </c>
      <c r="E1045" s="763">
        <f t="shared" ca="1" si="249"/>
        <v>1</v>
      </c>
      <c r="G1045" s="628"/>
      <c r="H1045" s="766" t="s">
        <v>368</v>
      </c>
      <c r="I1045" s="629" t="str">
        <f t="shared" ca="1" si="245"/>
        <v>14.002.003.001</v>
      </c>
      <c r="J1045" s="654" t="s">
        <v>860</v>
      </c>
      <c r="K1045" s="630" t="s">
        <v>1</v>
      </c>
      <c r="L1045" s="631">
        <f>L844+L846</f>
        <v>618.84</v>
      </c>
      <c r="M1045" s="631">
        <f>VLOOKUP(J1045,Preços!$C$7:$F$498,4,FALSE)</f>
        <v>1.0880000000000001</v>
      </c>
      <c r="N1045" s="646">
        <f>L1045*M1045</f>
        <v>673.29792000000009</v>
      </c>
      <c r="O1045" s="767"/>
      <c r="P1045" s="632" t="s">
        <v>333</v>
      </c>
      <c r="R1045" s="742"/>
      <c r="S1045" s="742"/>
    </row>
    <row r="1046" spans="1:19" s="761" customFormat="1" ht="22.5" hidden="1" outlineLevel="3" x14ac:dyDescent="0.2">
      <c r="A1046" s="762" t="e">
        <f ca="1">IF($H1046="UNIDADE CONSTRUTIVA",OFFSET(A1046,-1,0)+1,LARGE(A$3:A1045,1))</f>
        <v>#NUM!</v>
      </c>
      <c r="B1046" s="762">
        <f t="shared" ca="1" si="246"/>
        <v>14</v>
      </c>
      <c r="C1046" s="762">
        <f t="shared" ca="1" si="247"/>
        <v>2</v>
      </c>
      <c r="D1046" s="763">
        <f t="shared" ca="1" si="248"/>
        <v>3</v>
      </c>
      <c r="E1046" s="763">
        <f t="shared" ca="1" si="249"/>
        <v>2</v>
      </c>
      <c r="G1046" s="628"/>
      <c r="H1046" s="766" t="s">
        <v>368</v>
      </c>
      <c r="I1046" s="629" t="str">
        <f t="shared" ca="1" si="245"/>
        <v>14.002.003.002</v>
      </c>
      <c r="J1046" s="654" t="s">
        <v>861</v>
      </c>
      <c r="K1046" s="630" t="s">
        <v>1</v>
      </c>
      <c r="L1046" s="631">
        <f>L854</f>
        <v>5.44</v>
      </c>
      <c r="M1046" s="631">
        <f>VLOOKUP(J1046,Preços!$C$7:$F$498,4,FALSE)</f>
        <v>2.6949999999999998</v>
      </c>
      <c r="N1046" s="646">
        <f>L1046*M1046</f>
        <v>14.6608</v>
      </c>
      <c r="O1046" s="767"/>
      <c r="P1046" s="632" t="s">
        <v>333</v>
      </c>
      <c r="R1046" s="742"/>
      <c r="S1046" s="742"/>
    </row>
    <row r="1047" spans="1:19" s="761" customFormat="1" ht="22.5" hidden="1" outlineLevel="3" x14ac:dyDescent="0.2">
      <c r="A1047" s="762" t="e">
        <f ca="1">IF($H1047="UNIDADE CONSTRUTIVA",OFFSET(A1047,-1,0)+1,LARGE(A$3:A1046,1))</f>
        <v>#NUM!</v>
      </c>
      <c r="B1047" s="762">
        <f t="shared" ca="1" si="246"/>
        <v>14</v>
      </c>
      <c r="C1047" s="762">
        <f t="shared" ca="1" si="247"/>
        <v>2</v>
      </c>
      <c r="D1047" s="763">
        <f t="shared" ca="1" si="248"/>
        <v>3</v>
      </c>
      <c r="E1047" s="763">
        <f t="shared" ca="1" si="249"/>
        <v>3</v>
      </c>
      <c r="G1047" s="628"/>
      <c r="H1047" s="766" t="s">
        <v>368</v>
      </c>
      <c r="I1047" s="629" t="str">
        <f t="shared" ca="1" si="245"/>
        <v>14.002.003.003</v>
      </c>
      <c r="J1047" s="654" t="s">
        <v>862</v>
      </c>
      <c r="K1047" s="630" t="s">
        <v>1</v>
      </c>
      <c r="L1047" s="631">
        <f>ARQ.!C169</f>
        <v>618.84</v>
      </c>
      <c r="M1047" s="631">
        <f>VLOOKUP(J1047,Preços!$C$7:$F$498,4,FALSE)</f>
        <v>9.9969000000000001</v>
      </c>
      <c r="N1047" s="646">
        <f>L1047*M1047</f>
        <v>6186.4815960000005</v>
      </c>
      <c r="O1047" s="767"/>
      <c r="P1047" s="632" t="s">
        <v>333</v>
      </c>
      <c r="R1047" s="742"/>
      <c r="S1047" s="742"/>
    </row>
    <row r="1048" spans="1:19" s="761" customFormat="1" hidden="1" outlineLevel="2" x14ac:dyDescent="0.2">
      <c r="A1048" s="762" t="e">
        <f ca="1">IF($H1048="UNIDADE CONSTRUTIVA",OFFSET(A1048,-1,0)+1,LARGE(A$3:A1047,1))</f>
        <v>#NUM!</v>
      </c>
      <c r="B1048" s="762">
        <f t="shared" ca="1" si="246"/>
        <v>14</v>
      </c>
      <c r="C1048" s="762">
        <f t="shared" ca="1" si="247"/>
        <v>2</v>
      </c>
      <c r="D1048" s="763">
        <f t="shared" ca="1" si="248"/>
        <v>4</v>
      </c>
      <c r="E1048" s="763">
        <f t="shared" ca="1" si="249"/>
        <v>0</v>
      </c>
      <c r="G1048" s="628"/>
      <c r="H1048" s="766" t="s">
        <v>367</v>
      </c>
      <c r="I1048" s="629" t="str">
        <f t="shared" ca="1" si="245"/>
        <v>14.002.004</v>
      </c>
      <c r="J1048" s="654" t="s">
        <v>211</v>
      </c>
      <c r="K1048" s="630"/>
      <c r="L1048" s="631"/>
      <c r="M1048" s="631"/>
      <c r="N1048" s="646">
        <f>SUM(N1049:N1053)</f>
        <v>57398.455000000002</v>
      </c>
      <c r="O1048" s="767"/>
      <c r="P1048" s="632"/>
      <c r="R1048" s="742"/>
      <c r="S1048" s="742"/>
    </row>
    <row r="1049" spans="1:19" s="761" customFormat="1" ht="22.5" hidden="1" outlineLevel="3" x14ac:dyDescent="0.2">
      <c r="A1049" s="762" t="e">
        <f ca="1">IF($H1049="UNIDADE CONSTRUTIVA",OFFSET(A1049,-1,0)+1,LARGE(A$3:A1048,1))</f>
        <v>#NUM!</v>
      </c>
      <c r="B1049" s="762">
        <f t="shared" ca="1" si="246"/>
        <v>14</v>
      </c>
      <c r="C1049" s="762">
        <f t="shared" ca="1" si="247"/>
        <v>2</v>
      </c>
      <c r="D1049" s="763">
        <f t="shared" ca="1" si="248"/>
        <v>4</v>
      </c>
      <c r="E1049" s="763">
        <f t="shared" ca="1" si="249"/>
        <v>1</v>
      </c>
      <c r="G1049" s="628"/>
      <c r="H1049" s="766" t="s">
        <v>368</v>
      </c>
      <c r="I1049" s="629" t="str">
        <f t="shared" ca="1" si="245"/>
        <v>14.002.004.001</v>
      </c>
      <c r="J1049" s="654" t="s">
        <v>1571</v>
      </c>
      <c r="K1049" s="630" t="s">
        <v>1</v>
      </c>
      <c r="L1049" s="631">
        <f>L1036+L1038</f>
        <v>483.97</v>
      </c>
      <c r="M1049" s="631">
        <f>VLOOKUP(J1049,Preços!$C$7:$F$498,4,FALSE)</f>
        <v>47</v>
      </c>
      <c r="N1049" s="646">
        <f>L1049*M1049</f>
        <v>22746.59</v>
      </c>
      <c r="O1049" s="767"/>
      <c r="P1049" s="632" t="s">
        <v>333</v>
      </c>
      <c r="R1049" s="742"/>
      <c r="S1049" s="742"/>
    </row>
    <row r="1050" spans="1:19" s="761" customFormat="1" ht="22.5" hidden="1" outlineLevel="3" x14ac:dyDescent="0.2">
      <c r="A1050" s="762" t="e">
        <f ca="1">IF($H1050="UNIDADE CONSTRUTIVA",OFFSET(A1050,-1,0)+1,LARGE(A$3:A1049,1))</f>
        <v>#NUM!</v>
      </c>
      <c r="B1050" s="762">
        <f t="shared" ca="1" si="246"/>
        <v>14</v>
      </c>
      <c r="C1050" s="762">
        <f t="shared" ca="1" si="247"/>
        <v>2</v>
      </c>
      <c r="D1050" s="763">
        <f t="shared" ca="1" si="248"/>
        <v>4</v>
      </c>
      <c r="E1050" s="763">
        <f t="shared" ca="1" si="249"/>
        <v>2</v>
      </c>
      <c r="G1050" s="628"/>
      <c r="H1050" s="766" t="s">
        <v>368</v>
      </c>
      <c r="I1050" s="629" t="str">
        <f t="shared" ca="1" si="245"/>
        <v>14.002.004.002</v>
      </c>
      <c r="J1050" s="654" t="s">
        <v>879</v>
      </c>
      <c r="K1050" s="630" t="s">
        <v>1</v>
      </c>
      <c r="L1050" s="631">
        <f>L1037</f>
        <v>24.09</v>
      </c>
      <c r="M1050" s="631">
        <f>VLOOKUP(J1050,Preços!$C$7:$F$498,4,FALSE)</f>
        <v>18.5</v>
      </c>
      <c r="N1050" s="646">
        <f>L1050*M1050</f>
        <v>445.66500000000002</v>
      </c>
      <c r="O1050" s="767"/>
      <c r="P1050" s="632" t="s">
        <v>333</v>
      </c>
      <c r="R1050" s="742"/>
      <c r="S1050" s="742"/>
    </row>
    <row r="1051" spans="1:19" s="761" customFormat="1" ht="22.5" hidden="1" outlineLevel="3" x14ac:dyDescent="0.2">
      <c r="A1051" s="762" t="e">
        <f ca="1">IF($H1051="UNIDADE CONSTRUTIVA",OFFSET(A1051,-1,0)+1,LARGE(A$3:A1050,1))</f>
        <v>#NUM!</v>
      </c>
      <c r="B1051" s="762">
        <f t="shared" ca="1" si="246"/>
        <v>14</v>
      </c>
      <c r="C1051" s="762">
        <f t="shared" ca="1" si="247"/>
        <v>2</v>
      </c>
      <c r="D1051" s="763">
        <f t="shared" ca="1" si="248"/>
        <v>4</v>
      </c>
      <c r="E1051" s="763">
        <f t="shared" ca="1" si="249"/>
        <v>3</v>
      </c>
      <c r="G1051" s="628"/>
      <c r="H1051" s="766" t="s">
        <v>368</v>
      </c>
      <c r="I1051" s="629" t="str">
        <f t="shared" ca="1" si="245"/>
        <v>14.002.004.003</v>
      </c>
      <c r="J1051" s="654" t="s">
        <v>881</v>
      </c>
      <c r="K1051" s="630" t="s">
        <v>1</v>
      </c>
      <c r="L1051" s="631">
        <f>L1043</f>
        <v>51.73</v>
      </c>
      <c r="M1051" s="631">
        <f>VLOOKUP(J1051,Preços!$C$7:$F$498,4,FALSE)</f>
        <v>12</v>
      </c>
      <c r="N1051" s="646">
        <f>L1051*M1051</f>
        <v>620.76</v>
      </c>
      <c r="O1051" s="767"/>
      <c r="P1051" s="632" t="s">
        <v>333</v>
      </c>
      <c r="R1051" s="742"/>
      <c r="S1051" s="742"/>
    </row>
    <row r="1052" spans="1:19" s="761" customFormat="1" ht="22.5" hidden="1" outlineLevel="3" x14ac:dyDescent="0.2">
      <c r="A1052" s="762" t="e">
        <f ca="1">IF($H1052="UNIDADE CONSTRUTIVA",OFFSET(A1052,-1,0)+1,LARGE(A$3:A1051,1))</f>
        <v>#NUM!</v>
      </c>
      <c r="B1052" s="762">
        <f t="shared" ca="1" si="246"/>
        <v>14</v>
      </c>
      <c r="C1052" s="762">
        <f t="shared" ca="1" si="247"/>
        <v>2</v>
      </c>
      <c r="D1052" s="763">
        <f t="shared" ca="1" si="248"/>
        <v>4</v>
      </c>
      <c r="E1052" s="763">
        <f t="shared" ca="1" si="249"/>
        <v>4</v>
      </c>
      <c r="G1052" s="628"/>
      <c r="H1052" s="766" t="s">
        <v>368</v>
      </c>
      <c r="I1052" s="629" t="str">
        <f t="shared" ca="1" si="245"/>
        <v>14.002.004.004</v>
      </c>
      <c r="J1052" s="654" t="s">
        <v>1573</v>
      </c>
      <c r="K1052" s="630" t="s">
        <v>1</v>
      </c>
      <c r="L1052" s="631">
        <f>L1047-L1046</f>
        <v>613.4</v>
      </c>
      <c r="M1052" s="631">
        <f>VLOOKUP(J1052,Preços!$C$7:$F$498,4,FALSE)</f>
        <v>20</v>
      </c>
      <c r="N1052" s="646">
        <f>L1052*M1052</f>
        <v>12268</v>
      </c>
      <c r="O1052" s="767"/>
      <c r="P1052" s="632" t="s">
        <v>333</v>
      </c>
      <c r="R1052" s="742"/>
      <c r="S1052" s="742"/>
    </row>
    <row r="1053" spans="1:19" s="761" customFormat="1" ht="22.5" hidden="1" outlineLevel="3" x14ac:dyDescent="0.2">
      <c r="A1053" s="762" t="e">
        <f ca="1">IF($H1053="UNIDADE CONSTRUTIVA",OFFSET(A1053,-1,0)+1,LARGE(A$3:A1051,1))</f>
        <v>#NUM!</v>
      </c>
      <c r="B1053" s="762">
        <f t="shared" ca="1" si="246"/>
        <v>14</v>
      </c>
      <c r="C1053" s="762">
        <f t="shared" ca="1" si="247"/>
        <v>2</v>
      </c>
      <c r="D1053" s="763">
        <f t="shared" ca="1" si="248"/>
        <v>4</v>
      </c>
      <c r="E1053" s="763">
        <f t="shared" ca="1" si="249"/>
        <v>5</v>
      </c>
      <c r="G1053" s="628"/>
      <c r="H1053" s="766" t="s">
        <v>368</v>
      </c>
      <c r="I1053" s="629" t="str">
        <f t="shared" ca="1" si="245"/>
        <v>14.002.004.005</v>
      </c>
      <c r="J1053" s="654" t="s">
        <v>1574</v>
      </c>
      <c r="K1053" s="630" t="s">
        <v>1</v>
      </c>
      <c r="L1053" s="631">
        <f>L1046+L1041</f>
        <v>666.17000000000007</v>
      </c>
      <c r="M1053" s="631">
        <f>VLOOKUP(J1053,Preços!$C$7:$F$498,4,FALSE)</f>
        <v>32</v>
      </c>
      <c r="N1053" s="646">
        <f>L1053*M1053</f>
        <v>21317.440000000002</v>
      </c>
      <c r="O1053" s="767"/>
      <c r="P1053" s="632" t="s">
        <v>333</v>
      </c>
      <c r="R1053" s="742"/>
      <c r="S1053" s="742"/>
    </row>
    <row r="1054" spans="1:19" s="761" customFormat="1" ht="22.5" hidden="1" outlineLevel="1" collapsed="1" x14ac:dyDescent="0.2">
      <c r="A1054" s="762" t="e">
        <f ca="1">IF($H1054="UNIDADE CONSTRUTIVA",OFFSET(A1054,-1,0)+1,LARGE(A$3:A1053,1))</f>
        <v>#NUM!</v>
      </c>
      <c r="B1054" s="762">
        <f t="shared" ca="1" si="246"/>
        <v>14</v>
      </c>
      <c r="C1054" s="762">
        <f t="shared" ca="1" si="247"/>
        <v>3</v>
      </c>
      <c r="D1054" s="763">
        <f t="shared" ca="1" si="248"/>
        <v>0</v>
      </c>
      <c r="E1054" s="763">
        <f t="shared" ca="1" si="249"/>
        <v>5</v>
      </c>
      <c r="G1054" s="628"/>
      <c r="H1054" s="766" t="s">
        <v>366</v>
      </c>
      <c r="I1054" s="629" t="str">
        <f t="shared" ca="1" si="245"/>
        <v>14.003</v>
      </c>
      <c r="J1054" s="654" t="s">
        <v>868</v>
      </c>
      <c r="K1054" s="630"/>
      <c r="L1054" s="631"/>
      <c r="M1054" s="631"/>
      <c r="N1054" s="646">
        <f>SUM(N1055,N1059,N1064,N1068)</f>
        <v>96899.02199899999</v>
      </c>
      <c r="O1054" s="767"/>
      <c r="P1054" s="632"/>
      <c r="R1054" s="742"/>
      <c r="S1054" s="742"/>
    </row>
    <row r="1055" spans="1:19" s="761" customFormat="1" hidden="1" outlineLevel="2" x14ac:dyDescent="0.2">
      <c r="A1055" s="762" t="e">
        <f ca="1">IF($H1055="UNIDADE CONSTRUTIVA",OFFSET(A1055,-1,0)+1,LARGE(A$3:A1054,1))</f>
        <v>#NUM!</v>
      </c>
      <c r="B1055" s="762">
        <f t="shared" ca="1" si="246"/>
        <v>14</v>
      </c>
      <c r="C1055" s="762">
        <f t="shared" ca="1" si="247"/>
        <v>3</v>
      </c>
      <c r="D1055" s="763">
        <f t="shared" ca="1" si="248"/>
        <v>1</v>
      </c>
      <c r="E1055" s="763">
        <f t="shared" ca="1" si="249"/>
        <v>0</v>
      </c>
      <c r="G1055" s="628"/>
      <c r="H1055" s="766" t="s">
        <v>367</v>
      </c>
      <c r="I1055" s="629" t="str">
        <f t="shared" ca="1" si="245"/>
        <v>14.003.001</v>
      </c>
      <c r="J1055" s="654" t="s">
        <v>231</v>
      </c>
      <c r="K1055" s="630"/>
      <c r="L1055" s="631"/>
      <c r="M1055" s="631"/>
      <c r="N1055" s="646">
        <f>SUM(N1056:N1058)</f>
        <v>24454.163605000002</v>
      </c>
      <c r="O1055" s="767"/>
      <c r="P1055" s="632"/>
      <c r="R1055" s="742"/>
      <c r="S1055" s="742"/>
    </row>
    <row r="1056" spans="1:19" s="761" customFormat="1" ht="22.5" hidden="1" outlineLevel="3" x14ac:dyDescent="0.2">
      <c r="A1056" s="762" t="e">
        <f ca="1">IF($H1056="UNIDADE CONSTRUTIVA",OFFSET(A1056,-1,0)+1,LARGE(A$3:A1055,1))</f>
        <v>#NUM!</v>
      </c>
      <c r="B1056" s="762">
        <f t="shared" ca="1" si="246"/>
        <v>14</v>
      </c>
      <c r="C1056" s="762">
        <f t="shared" ca="1" si="247"/>
        <v>3</v>
      </c>
      <c r="D1056" s="763">
        <f t="shared" ca="1" si="248"/>
        <v>1</v>
      </c>
      <c r="E1056" s="763">
        <f t="shared" ca="1" si="249"/>
        <v>1</v>
      </c>
      <c r="G1056" s="628"/>
      <c r="H1056" s="766" t="s">
        <v>368</v>
      </c>
      <c r="I1056" s="629" t="str">
        <f t="shared" ca="1" si="245"/>
        <v>14.003.001.001</v>
      </c>
      <c r="J1056" s="654" t="s">
        <v>1570</v>
      </c>
      <c r="K1056" s="630" t="s">
        <v>1</v>
      </c>
      <c r="L1056" s="631">
        <f>ARQ.!C233+ARQ.!C235</f>
        <v>461.02000000000004</v>
      </c>
      <c r="M1056" s="631">
        <f>VLOOKUP(J1056,Preços!$C$7:$F$498,4,FALSE)</f>
        <v>52.57</v>
      </c>
      <c r="N1056" s="646">
        <f>L1056*M1056</f>
        <v>24235.821400000001</v>
      </c>
      <c r="O1056" s="767"/>
      <c r="P1056" s="632" t="s">
        <v>333</v>
      </c>
      <c r="R1056" s="742"/>
      <c r="S1056" s="742"/>
    </row>
    <row r="1057" spans="1:19" s="761" customFormat="1" ht="22.5" hidden="1" outlineLevel="3" x14ac:dyDescent="0.2">
      <c r="A1057" s="762" t="e">
        <f ca="1">IF($H1057="UNIDADE CONSTRUTIVA",OFFSET(A1057,-1,0)+1,LARGE(A$3:A1056,1))</f>
        <v>#NUM!</v>
      </c>
      <c r="B1057" s="762">
        <f ca="1">IF(H1057="UNIDADE CONSTRUTIVA",0,IF(H1057="CÉLULA CONSTRUTIVA",OFFSET(B1057,-1,0)+1,OFFSET(B1057,-1,0)))</f>
        <v>14</v>
      </c>
      <c r="C1057" s="762">
        <f ca="1">IF(H1057="CÉLULA CONSTRUTIVA",0,IF(H1057="ETAPA",OFFSET(C1057,-1,0)+1,OFFSET(C1057,-1,0)))</f>
        <v>3</v>
      </c>
      <c r="D1057" s="763">
        <f ca="1">IF(H1057="ETAPA",0,IF(H1057="SUBETAPA",OFFSET(D1057,-1,0)+1,OFFSET(D1057,-1,0)))</f>
        <v>1</v>
      </c>
      <c r="E1057" s="763">
        <f ca="1">IF(H1057="Subetapa",0,IF(H1057="serviço",OFFSET(E1057,-1,0)+1,OFFSET(E1057,-1,0)))</f>
        <v>2</v>
      </c>
      <c r="G1057" s="628"/>
      <c r="H1057" s="766" t="s">
        <v>368</v>
      </c>
      <c r="I1057" s="629" t="str">
        <f ca="1">IF(H1057="Unidade Construtiva",TEXT(A1057,"00"),IF(H1057="Célula Construtiva",TEXT(B1057,"00"),IF(H1057="Etapa",CONCATENATE(TEXT(B1057,"00"),".",TEXT(C1057,"000")),IF(H1057="Subetapa",CONCATENATE(TEXT(B1057,"00"),".",TEXT(C1057,"000"),".",TEXT(D1057,"000")),IF(H1057="Serviço",CONCATENATE(TEXT(B1057,"00"),".",TEXT(C1057,"000"),".",TEXT(D1057,"000"),".",TEXT(E1057,"000")),"")))))</f>
        <v>14.003.001.002</v>
      </c>
      <c r="J1057" s="654" t="s">
        <v>1572</v>
      </c>
      <c r="K1057" s="630" t="s">
        <v>1</v>
      </c>
      <c r="L1057" s="631">
        <f>ARQ.!C236+ARQ.!C237</f>
        <v>24.09</v>
      </c>
      <c r="M1057" s="631">
        <f>VLOOKUP(J1057,Preços!$C$7:$F$498,4,FALSE)</f>
        <v>6.36</v>
      </c>
      <c r="N1057" s="646">
        <f>L1057*M1057</f>
        <v>153.2124</v>
      </c>
      <c r="O1057" s="767"/>
      <c r="P1057" s="632" t="s">
        <v>333</v>
      </c>
      <c r="R1057" s="742"/>
      <c r="S1057" s="742"/>
    </row>
    <row r="1058" spans="1:19" s="761" customFormat="1" ht="22.5" hidden="1" outlineLevel="3" x14ac:dyDescent="0.2">
      <c r="A1058" s="762" t="e">
        <f ca="1">IF($H1058="UNIDADE CONSTRUTIVA",OFFSET(A1058,-1,0)+1,LARGE(A$3:A1056,1))</f>
        <v>#NUM!</v>
      </c>
      <c r="B1058" s="762">
        <f t="shared" ca="1" si="246"/>
        <v>14</v>
      </c>
      <c r="C1058" s="762">
        <f t="shared" ca="1" si="247"/>
        <v>3</v>
      </c>
      <c r="D1058" s="763">
        <f t="shared" ca="1" si="248"/>
        <v>1</v>
      </c>
      <c r="E1058" s="763">
        <f t="shared" ca="1" si="249"/>
        <v>3</v>
      </c>
      <c r="G1058" s="628"/>
      <c r="H1058" s="766" t="s">
        <v>368</v>
      </c>
      <c r="I1058" s="629" t="str">
        <f t="shared" ca="1" si="245"/>
        <v>14.003.001.003</v>
      </c>
      <c r="J1058" s="654" t="s">
        <v>855</v>
      </c>
      <c r="K1058" s="630" t="s">
        <v>1</v>
      </c>
      <c r="L1058" s="631">
        <f>ARQ.!C234</f>
        <v>22.95</v>
      </c>
      <c r="M1058" s="631">
        <f>VLOOKUP(J1058,Preços!$C$7:$F$498,4,FALSE)</f>
        <v>2.8378999999999999</v>
      </c>
      <c r="N1058" s="646">
        <f>L1058*M1058</f>
        <v>65.12980499999999</v>
      </c>
      <c r="O1058" s="767"/>
      <c r="P1058" s="632" t="s">
        <v>333</v>
      </c>
      <c r="R1058" s="742"/>
      <c r="S1058" s="742"/>
    </row>
    <row r="1059" spans="1:19" s="761" customFormat="1" hidden="1" outlineLevel="2" x14ac:dyDescent="0.2">
      <c r="A1059" s="762" t="e">
        <f ca="1">IF($H1059="UNIDADE CONSTRUTIVA",OFFSET(A1059,-1,0)+1,LARGE(A$3:A1058,1))</f>
        <v>#NUM!</v>
      </c>
      <c r="B1059" s="762">
        <f t="shared" ca="1" si="246"/>
        <v>14</v>
      </c>
      <c r="C1059" s="762">
        <f t="shared" ca="1" si="247"/>
        <v>3</v>
      </c>
      <c r="D1059" s="763">
        <f t="shared" ca="1" si="248"/>
        <v>2</v>
      </c>
      <c r="E1059" s="763">
        <f t="shared" ca="1" si="249"/>
        <v>0</v>
      </c>
      <c r="G1059" s="628"/>
      <c r="H1059" s="766" t="s">
        <v>367</v>
      </c>
      <c r="I1059" s="629" t="str">
        <f t="shared" ca="1" si="245"/>
        <v>14.003.002</v>
      </c>
      <c r="J1059" s="654" t="s">
        <v>232</v>
      </c>
      <c r="K1059" s="630"/>
      <c r="L1059" s="631"/>
      <c r="M1059" s="631"/>
      <c r="N1059" s="646">
        <f>SUM(N1060:N1063)</f>
        <v>12118.093891999999</v>
      </c>
      <c r="O1059" s="767"/>
      <c r="P1059" s="632"/>
      <c r="R1059" s="742"/>
      <c r="S1059" s="742"/>
    </row>
    <row r="1060" spans="1:19" s="761" customFormat="1" ht="22.5" hidden="1" outlineLevel="3" x14ac:dyDescent="0.2">
      <c r="A1060" s="762" t="e">
        <f ca="1">IF($H1060="UNIDADE CONSTRUTIVA",OFFSET(A1060,-1,0)+1,LARGE(A$3:A1059,1))</f>
        <v>#NUM!</v>
      </c>
      <c r="B1060" s="762">
        <f t="shared" ca="1" si="246"/>
        <v>14</v>
      </c>
      <c r="C1060" s="762">
        <f t="shared" ca="1" si="247"/>
        <v>3</v>
      </c>
      <c r="D1060" s="763">
        <f t="shared" ca="1" si="248"/>
        <v>2</v>
      </c>
      <c r="E1060" s="763">
        <f t="shared" ca="1" si="249"/>
        <v>1</v>
      </c>
      <c r="G1060" s="628"/>
      <c r="H1060" s="766" t="s">
        <v>368</v>
      </c>
      <c r="I1060" s="629" t="str">
        <f t="shared" ca="1" si="245"/>
        <v>14.003.002.001</v>
      </c>
      <c r="J1060" s="654" t="s">
        <v>856</v>
      </c>
      <c r="K1060" s="630" t="s">
        <v>1</v>
      </c>
      <c r="L1060" s="631">
        <f>L1062</f>
        <v>657.20999999999992</v>
      </c>
      <c r="M1060" s="631">
        <f>VLOOKUP(J1060,Preços!$C$7:$F$498,4,FALSE)</f>
        <v>1.0880000000000001</v>
      </c>
      <c r="N1060" s="646">
        <f>L1060*M1060</f>
        <v>715.04448000000002</v>
      </c>
      <c r="O1060" s="767"/>
      <c r="P1060" s="632" t="s">
        <v>333</v>
      </c>
      <c r="R1060" s="742"/>
      <c r="S1060" s="742"/>
    </row>
    <row r="1061" spans="1:19" s="761" customFormat="1" ht="22.5" hidden="1" outlineLevel="3" x14ac:dyDescent="0.2">
      <c r="A1061" s="762" t="e">
        <f ca="1">IF($H1061="UNIDADE CONSTRUTIVA",OFFSET(A1061,-1,0)+1,LARGE(A$3:A1060,1))</f>
        <v>#NUM!</v>
      </c>
      <c r="B1061" s="762">
        <f t="shared" ca="1" si="246"/>
        <v>14</v>
      </c>
      <c r="C1061" s="762">
        <f t="shared" ca="1" si="247"/>
        <v>3</v>
      </c>
      <c r="D1061" s="763">
        <f t="shared" ca="1" si="248"/>
        <v>2</v>
      </c>
      <c r="E1061" s="763">
        <f t="shared" ca="1" si="249"/>
        <v>2</v>
      </c>
      <c r="G1061" s="628"/>
      <c r="H1061" s="766" t="s">
        <v>368</v>
      </c>
      <c r="I1061" s="629" t="str">
        <f t="shared" ca="1" si="245"/>
        <v>14.003.002.002</v>
      </c>
      <c r="J1061" s="654" t="s">
        <v>857</v>
      </c>
      <c r="K1061" s="630" t="s">
        <v>1</v>
      </c>
      <c r="L1061" s="631">
        <f>L1062</f>
        <v>657.20999999999992</v>
      </c>
      <c r="M1061" s="631">
        <f>VLOOKUP(J1061,Preços!$C$7:$F$498,4,FALSE)</f>
        <v>2.6949999999999998</v>
      </c>
      <c r="N1061" s="646">
        <f>L1061*M1061</f>
        <v>1771.1809499999997</v>
      </c>
      <c r="O1061" s="767"/>
      <c r="P1061" s="632" t="s">
        <v>333</v>
      </c>
      <c r="R1061" s="742"/>
      <c r="S1061" s="742"/>
    </row>
    <row r="1062" spans="1:19" s="761" customFormat="1" ht="22.5" hidden="1" outlineLevel="3" x14ac:dyDescent="0.2">
      <c r="A1062" s="762" t="e">
        <f ca="1">IF($H1062="UNIDADE CONSTRUTIVA",OFFSET(A1062,-1,0)+1,LARGE(A$3:A1061,1))</f>
        <v>#NUM!</v>
      </c>
      <c r="B1062" s="762">
        <f t="shared" ca="1" si="246"/>
        <v>14</v>
      </c>
      <c r="C1062" s="762">
        <f t="shared" ca="1" si="247"/>
        <v>3</v>
      </c>
      <c r="D1062" s="763">
        <f t="shared" ca="1" si="248"/>
        <v>2</v>
      </c>
      <c r="E1062" s="763">
        <f t="shared" ca="1" si="249"/>
        <v>3</v>
      </c>
      <c r="G1062" s="628"/>
      <c r="H1062" s="766" t="s">
        <v>368</v>
      </c>
      <c r="I1062" s="629" t="str">
        <f t="shared" ca="1" si="245"/>
        <v>14.003.002.003</v>
      </c>
      <c r="J1062" s="654" t="s">
        <v>858</v>
      </c>
      <c r="K1062" s="630" t="s">
        <v>1</v>
      </c>
      <c r="L1062" s="631">
        <v>657.20999999999992</v>
      </c>
      <c r="M1062" s="631">
        <f>VLOOKUP(J1062,Preços!$C$7:$F$498,4,FALSE)</f>
        <v>14.4375</v>
      </c>
      <c r="N1062" s="646">
        <f>L1062*M1062</f>
        <v>9488.4693749999988</v>
      </c>
      <c r="O1062" s="767"/>
      <c r="P1062" s="632" t="s">
        <v>333</v>
      </c>
      <c r="R1062" s="742"/>
      <c r="S1062" s="742"/>
    </row>
    <row r="1063" spans="1:19" s="761" customFormat="1" ht="22.5" hidden="1" outlineLevel="3" x14ac:dyDescent="0.2">
      <c r="A1063" s="762" t="e">
        <f ca="1">IF($H1063="UNIDADE CONSTRUTIVA",OFFSET(A1063,-1,0)+1,LARGE(A$3:A1062,1))</f>
        <v>#NUM!</v>
      </c>
      <c r="B1063" s="762">
        <f t="shared" ca="1" si="246"/>
        <v>14</v>
      </c>
      <c r="C1063" s="762">
        <f t="shared" ca="1" si="247"/>
        <v>3</v>
      </c>
      <c r="D1063" s="763">
        <f t="shared" ca="1" si="248"/>
        <v>2</v>
      </c>
      <c r="E1063" s="763">
        <f t="shared" ca="1" si="249"/>
        <v>4</v>
      </c>
      <c r="G1063" s="628"/>
      <c r="H1063" s="766" t="s">
        <v>368</v>
      </c>
      <c r="I1063" s="629" t="str">
        <f t="shared" ca="1" si="245"/>
        <v>14.003.002.004</v>
      </c>
      <c r="J1063" s="654" t="s">
        <v>880</v>
      </c>
      <c r="K1063" s="630" t="s">
        <v>1</v>
      </c>
      <c r="L1063" s="631">
        <v>50.53</v>
      </c>
      <c r="M1063" s="631">
        <f>VLOOKUP(J1063,Preços!$C$7:$F$498,4,FALSE)</f>
        <v>2.8378999999999999</v>
      </c>
      <c r="N1063" s="646">
        <f>L1063*M1063</f>
        <v>143.39908700000001</v>
      </c>
      <c r="O1063" s="767"/>
      <c r="P1063" s="632" t="s">
        <v>333</v>
      </c>
      <c r="R1063" s="742"/>
      <c r="S1063" s="742"/>
    </row>
    <row r="1064" spans="1:19" s="761" customFormat="1" hidden="1" outlineLevel="2" x14ac:dyDescent="0.2">
      <c r="A1064" s="762" t="e">
        <f ca="1">IF($H1064="UNIDADE CONSTRUTIVA",OFFSET(A1064,-1,0)+1,LARGE(A$3:A1063,1))</f>
        <v>#NUM!</v>
      </c>
      <c r="B1064" s="762">
        <f t="shared" ca="1" si="246"/>
        <v>14</v>
      </c>
      <c r="C1064" s="762">
        <f t="shared" ca="1" si="247"/>
        <v>3</v>
      </c>
      <c r="D1064" s="763">
        <f t="shared" ca="1" si="248"/>
        <v>3</v>
      </c>
      <c r="E1064" s="763">
        <f t="shared" ca="1" si="249"/>
        <v>0</v>
      </c>
      <c r="G1064" s="628"/>
      <c r="H1064" s="766" t="s">
        <v>367</v>
      </c>
      <c r="I1064" s="629" t="str">
        <f t="shared" ca="1" si="245"/>
        <v>14.003.003</v>
      </c>
      <c r="J1064" s="654" t="s">
        <v>233</v>
      </c>
      <c r="K1064" s="630"/>
      <c r="L1064" s="631"/>
      <c r="M1064" s="631"/>
      <c r="N1064" s="646">
        <f>SUM(N1065:N1067)</f>
        <v>5512.5495020000008</v>
      </c>
      <c r="O1064" s="767"/>
      <c r="P1064" s="632"/>
      <c r="R1064" s="742"/>
      <c r="S1064" s="742"/>
    </row>
    <row r="1065" spans="1:19" s="761" customFormat="1" ht="22.5" hidden="1" outlineLevel="3" x14ac:dyDescent="0.2">
      <c r="A1065" s="762" t="e">
        <f ca="1">IF($H1065="UNIDADE CONSTRUTIVA",OFFSET(A1065,-1,0)+1,LARGE(A$3:A1064,1))</f>
        <v>#NUM!</v>
      </c>
      <c r="B1065" s="762">
        <f t="shared" ca="1" si="246"/>
        <v>14</v>
      </c>
      <c r="C1065" s="762">
        <f t="shared" ca="1" si="247"/>
        <v>3</v>
      </c>
      <c r="D1065" s="763">
        <f t="shared" ca="1" si="248"/>
        <v>3</v>
      </c>
      <c r="E1065" s="763">
        <f t="shared" ca="1" si="249"/>
        <v>1</v>
      </c>
      <c r="G1065" s="628"/>
      <c r="H1065" s="766" t="s">
        <v>368</v>
      </c>
      <c r="I1065" s="629" t="str">
        <f t="shared" ca="1" si="245"/>
        <v>14.003.003.001</v>
      </c>
      <c r="J1065" s="654" t="s">
        <v>860</v>
      </c>
      <c r="K1065" s="630" t="s">
        <v>1</v>
      </c>
      <c r="L1065" s="631">
        <f>L852+L854</f>
        <v>495.98</v>
      </c>
      <c r="M1065" s="631">
        <f>VLOOKUP(J1065,Preços!$C$7:$F$498,4,FALSE)</f>
        <v>1.0880000000000001</v>
      </c>
      <c r="N1065" s="646">
        <f>L1065*M1065</f>
        <v>539.62624000000005</v>
      </c>
      <c r="O1065" s="767"/>
      <c r="P1065" s="632" t="s">
        <v>333</v>
      </c>
      <c r="R1065" s="742"/>
      <c r="S1065" s="742"/>
    </row>
    <row r="1066" spans="1:19" s="761" customFormat="1" ht="22.5" hidden="1" outlineLevel="3" x14ac:dyDescent="0.2">
      <c r="A1066" s="762" t="e">
        <f ca="1">IF($H1066="UNIDADE CONSTRUTIVA",OFFSET(A1066,-1,0)+1,LARGE(A$3:A1065,1))</f>
        <v>#NUM!</v>
      </c>
      <c r="B1066" s="762">
        <f t="shared" ca="1" si="246"/>
        <v>14</v>
      </c>
      <c r="C1066" s="762">
        <f t="shared" ca="1" si="247"/>
        <v>3</v>
      </c>
      <c r="D1066" s="763">
        <f t="shared" ca="1" si="248"/>
        <v>3</v>
      </c>
      <c r="E1066" s="763">
        <f t="shared" ca="1" si="249"/>
        <v>2</v>
      </c>
      <c r="G1066" s="628"/>
      <c r="H1066" s="766" t="s">
        <v>368</v>
      </c>
      <c r="I1066" s="629" t="str">
        <f t="shared" ca="1" si="245"/>
        <v>14.003.003.002</v>
      </c>
      <c r="J1066" s="654" t="s">
        <v>861</v>
      </c>
      <c r="K1066" s="630" t="s">
        <v>1</v>
      </c>
      <c r="L1066" s="631">
        <f>L854</f>
        <v>5.44</v>
      </c>
      <c r="M1066" s="631">
        <f>VLOOKUP(J1066,Preços!$C$7:$F$498,4,FALSE)</f>
        <v>2.6949999999999998</v>
      </c>
      <c r="N1066" s="646">
        <f>L1066*M1066</f>
        <v>14.6608</v>
      </c>
      <c r="O1066" s="767"/>
      <c r="P1066" s="632" t="s">
        <v>333</v>
      </c>
      <c r="R1066" s="742"/>
      <c r="S1066" s="742"/>
    </row>
    <row r="1067" spans="1:19" s="761" customFormat="1" ht="22.5" hidden="1" outlineLevel="3" x14ac:dyDescent="0.2">
      <c r="A1067" s="762" t="e">
        <f ca="1">IF($H1067="UNIDADE CONSTRUTIVA",OFFSET(A1067,-1,0)+1,LARGE(A$3:A1066,1))</f>
        <v>#NUM!</v>
      </c>
      <c r="B1067" s="762">
        <f t="shared" ca="1" si="246"/>
        <v>14</v>
      </c>
      <c r="C1067" s="762">
        <f t="shared" ca="1" si="247"/>
        <v>3</v>
      </c>
      <c r="D1067" s="763">
        <f t="shared" ca="1" si="248"/>
        <v>3</v>
      </c>
      <c r="E1067" s="763">
        <f t="shared" ca="1" si="249"/>
        <v>3</v>
      </c>
      <c r="G1067" s="628"/>
      <c r="H1067" s="766" t="s">
        <v>368</v>
      </c>
      <c r="I1067" s="629" t="str">
        <f t="shared" ca="1" si="245"/>
        <v>14.003.003.003</v>
      </c>
      <c r="J1067" s="654" t="s">
        <v>862</v>
      </c>
      <c r="K1067" s="630" t="s">
        <v>1</v>
      </c>
      <c r="L1067" s="631">
        <f>ARQ.!C244</f>
        <v>495.98</v>
      </c>
      <c r="M1067" s="631">
        <f>VLOOKUP(J1067,Preços!$C$7:$F$498,4,FALSE)</f>
        <v>9.9969000000000001</v>
      </c>
      <c r="N1067" s="646">
        <f>L1067*M1067</f>
        <v>4958.2624620000006</v>
      </c>
      <c r="O1067" s="767"/>
      <c r="P1067" s="632" t="s">
        <v>333</v>
      </c>
      <c r="R1067" s="742"/>
      <c r="S1067" s="742"/>
    </row>
    <row r="1068" spans="1:19" s="761" customFormat="1" hidden="1" outlineLevel="2" x14ac:dyDescent="0.2">
      <c r="A1068" s="762" t="e">
        <f ca="1">IF($H1068="UNIDADE CONSTRUTIVA",OFFSET(A1068,-1,0)+1,LARGE(A$3:A1067,1))</f>
        <v>#NUM!</v>
      </c>
      <c r="B1068" s="762">
        <f t="shared" ca="1" si="246"/>
        <v>14</v>
      </c>
      <c r="C1068" s="762">
        <f t="shared" ca="1" si="247"/>
        <v>3</v>
      </c>
      <c r="D1068" s="763">
        <f t="shared" ca="1" si="248"/>
        <v>4</v>
      </c>
      <c r="E1068" s="763">
        <f t="shared" ca="1" si="249"/>
        <v>0</v>
      </c>
      <c r="G1068" s="628"/>
      <c r="H1068" s="766" t="s">
        <v>367</v>
      </c>
      <c r="I1068" s="629" t="str">
        <f t="shared" ca="1" si="245"/>
        <v>14.003.004</v>
      </c>
      <c r="J1068" s="654" t="s">
        <v>211</v>
      </c>
      <c r="K1068" s="630"/>
      <c r="L1068" s="631"/>
      <c r="M1068" s="631"/>
      <c r="N1068" s="646">
        <f>SUM(N1069:N1073)</f>
        <v>54814.214999999997</v>
      </c>
      <c r="O1068" s="767"/>
      <c r="P1068" s="632"/>
      <c r="R1068" s="742"/>
      <c r="S1068" s="742"/>
    </row>
    <row r="1069" spans="1:19" s="761" customFormat="1" ht="22.5" hidden="1" outlineLevel="3" x14ac:dyDescent="0.2">
      <c r="A1069" s="762" t="e">
        <f ca="1">IF($H1069="UNIDADE CONSTRUTIVA",OFFSET(A1069,-1,0)+1,LARGE(A$3:A1068,1))</f>
        <v>#NUM!</v>
      </c>
      <c r="B1069" s="762">
        <f t="shared" ca="1" si="246"/>
        <v>14</v>
      </c>
      <c r="C1069" s="762">
        <f t="shared" ca="1" si="247"/>
        <v>3</v>
      </c>
      <c r="D1069" s="763">
        <f t="shared" ca="1" si="248"/>
        <v>4</v>
      </c>
      <c r="E1069" s="763">
        <f t="shared" ca="1" si="249"/>
        <v>1</v>
      </c>
      <c r="G1069" s="628"/>
      <c r="H1069" s="766" t="s">
        <v>368</v>
      </c>
      <c r="I1069" s="629" t="str">
        <f t="shared" ca="1" si="245"/>
        <v>14.003.004.001</v>
      </c>
      <c r="J1069" s="654" t="s">
        <v>1571</v>
      </c>
      <c r="K1069" s="630" t="s">
        <v>1</v>
      </c>
      <c r="L1069" s="631">
        <f>L1056+L1058</f>
        <v>483.97</v>
      </c>
      <c r="M1069" s="631">
        <f>VLOOKUP(J1069,Preços!$C$7:$F$498,4,FALSE)</f>
        <v>47</v>
      </c>
      <c r="N1069" s="646">
        <f>L1069*M1069</f>
        <v>22746.59</v>
      </c>
      <c r="O1069" s="767"/>
      <c r="P1069" s="632" t="s">
        <v>333</v>
      </c>
      <c r="R1069" s="742"/>
      <c r="S1069" s="742"/>
    </row>
    <row r="1070" spans="1:19" s="761" customFormat="1" ht="22.5" hidden="1" outlineLevel="3" x14ac:dyDescent="0.2">
      <c r="A1070" s="762" t="e">
        <f ca="1">IF($H1070="UNIDADE CONSTRUTIVA",OFFSET(A1070,-1,0)+1,LARGE(A$3:A1069,1))</f>
        <v>#NUM!</v>
      </c>
      <c r="B1070" s="762">
        <f t="shared" ca="1" si="246"/>
        <v>14</v>
      </c>
      <c r="C1070" s="762">
        <f t="shared" ca="1" si="247"/>
        <v>3</v>
      </c>
      <c r="D1070" s="763">
        <f t="shared" ca="1" si="248"/>
        <v>4</v>
      </c>
      <c r="E1070" s="763">
        <f t="shared" ca="1" si="249"/>
        <v>2</v>
      </c>
      <c r="G1070" s="628"/>
      <c r="H1070" s="766" t="s">
        <v>368</v>
      </c>
      <c r="I1070" s="629" t="str">
        <f t="shared" ca="1" si="245"/>
        <v>14.003.004.002</v>
      </c>
      <c r="J1070" s="654" t="s">
        <v>879</v>
      </c>
      <c r="K1070" s="630" t="s">
        <v>1</v>
      </c>
      <c r="L1070" s="631">
        <f>L1057</f>
        <v>24.09</v>
      </c>
      <c r="M1070" s="631">
        <f>VLOOKUP(J1070,Preços!$C$7:$F$498,4,FALSE)</f>
        <v>18.5</v>
      </c>
      <c r="N1070" s="646">
        <f>L1070*M1070</f>
        <v>445.66500000000002</v>
      </c>
      <c r="O1070" s="767"/>
      <c r="P1070" s="632" t="s">
        <v>333</v>
      </c>
      <c r="R1070" s="742"/>
      <c r="S1070" s="742"/>
    </row>
    <row r="1071" spans="1:19" s="761" customFormat="1" ht="22.5" hidden="1" outlineLevel="3" x14ac:dyDescent="0.2">
      <c r="A1071" s="762" t="e">
        <f ca="1">IF($H1071="UNIDADE CONSTRUTIVA",OFFSET(A1071,-1,0)+1,LARGE(A$3:A1070,1))</f>
        <v>#NUM!</v>
      </c>
      <c r="B1071" s="762">
        <f t="shared" ca="1" si="246"/>
        <v>14</v>
      </c>
      <c r="C1071" s="762">
        <f t="shared" ca="1" si="247"/>
        <v>3</v>
      </c>
      <c r="D1071" s="763">
        <f t="shared" ca="1" si="248"/>
        <v>4</v>
      </c>
      <c r="E1071" s="763">
        <f t="shared" ca="1" si="249"/>
        <v>3</v>
      </c>
      <c r="G1071" s="628"/>
      <c r="H1071" s="766" t="s">
        <v>368</v>
      </c>
      <c r="I1071" s="629" t="str">
        <f t="shared" ca="1" si="245"/>
        <v>14.003.004.003</v>
      </c>
      <c r="J1071" s="654" t="s">
        <v>881</v>
      </c>
      <c r="K1071" s="630" t="s">
        <v>1</v>
      </c>
      <c r="L1071" s="631">
        <f>L1063</f>
        <v>50.53</v>
      </c>
      <c r="M1071" s="631">
        <f>VLOOKUP(J1071,Preços!$C$7:$F$498,4,FALSE)</f>
        <v>12</v>
      </c>
      <c r="N1071" s="646">
        <f>L1071*M1071</f>
        <v>606.36</v>
      </c>
      <c r="O1071" s="767"/>
      <c r="P1071" s="632" t="s">
        <v>333</v>
      </c>
      <c r="R1071" s="742"/>
      <c r="S1071" s="742"/>
    </row>
    <row r="1072" spans="1:19" s="761" customFormat="1" ht="22.5" hidden="1" outlineLevel="3" x14ac:dyDescent="0.2">
      <c r="A1072" s="762" t="e">
        <f ca="1">IF($H1072="UNIDADE CONSTRUTIVA",OFFSET(A1072,-1,0)+1,LARGE(A$3:A1071,1))</f>
        <v>#NUM!</v>
      </c>
      <c r="B1072" s="762">
        <f ca="1">IF(H1072="UNIDADE CONSTRUTIVA",0,IF(H1072="CÉLULA CONSTRUTIVA",OFFSET(B1072,-1,0)+1,OFFSET(B1072,-1,0)))</f>
        <v>14</v>
      </c>
      <c r="C1072" s="762">
        <f ca="1">IF(H1072="CÉLULA CONSTRUTIVA",0,IF(H1072="ETAPA",OFFSET(C1072,-1,0)+1,OFFSET(C1072,-1,0)))</f>
        <v>3</v>
      </c>
      <c r="D1072" s="763">
        <f ca="1">IF(H1072="ETAPA",0,IF(H1072="SUBETAPA",OFFSET(D1072,-1,0)+1,OFFSET(D1072,-1,0)))</f>
        <v>4</v>
      </c>
      <c r="E1072" s="763">
        <f ca="1">IF(H1072="Subetapa",0,IF(H1072="serviço",OFFSET(E1072,-1,0)+1,OFFSET(E1072,-1,0)))</f>
        <v>4</v>
      </c>
      <c r="G1072" s="628"/>
      <c r="H1072" s="766" t="s">
        <v>368</v>
      </c>
      <c r="I1072" s="629" t="str">
        <f ca="1">IF(H1072="Unidade Construtiva",TEXT(A1072,"00"),IF(H1072="Célula Construtiva",TEXT(B1072,"00"),IF(H1072="Etapa",CONCATENATE(TEXT(B1072,"00"),".",TEXT(C1072,"000")),IF(H1072="Subetapa",CONCATENATE(TEXT(B1072,"00"),".",TEXT(C1072,"000"),".",TEXT(D1072,"000")),IF(H1072="Serviço",CONCATENATE(TEXT(B1072,"00"),".",TEXT(C1072,"000"),".",TEXT(D1072,"000"),".",TEXT(E1072,"000")),"")))))</f>
        <v>14.003.004.004</v>
      </c>
      <c r="J1072" s="654" t="s">
        <v>1573</v>
      </c>
      <c r="K1072" s="630" t="s">
        <v>1</v>
      </c>
      <c r="L1072" s="631">
        <f>L1067-L1066</f>
        <v>490.54</v>
      </c>
      <c r="M1072" s="631">
        <f>VLOOKUP(J1072,Preços!$C$7:$F$498,4,FALSE)</f>
        <v>20</v>
      </c>
      <c r="N1072" s="646">
        <f>L1072*M1072</f>
        <v>9810.8000000000011</v>
      </c>
      <c r="O1072" s="767"/>
      <c r="P1072" s="632" t="s">
        <v>333</v>
      </c>
      <c r="R1072" s="742"/>
      <c r="S1072" s="742"/>
    </row>
    <row r="1073" spans="1:19" s="761" customFormat="1" ht="22.5" hidden="1" outlineLevel="3" x14ac:dyDescent="0.2">
      <c r="A1073" s="762" t="e">
        <f ca="1">IF($H1073="UNIDADE CONSTRUTIVA",OFFSET(A1073,-1,0)+1,LARGE(A$3:A1071,1))</f>
        <v>#NUM!</v>
      </c>
      <c r="B1073" s="762">
        <f t="shared" ca="1" si="246"/>
        <v>14</v>
      </c>
      <c r="C1073" s="762">
        <f t="shared" ca="1" si="247"/>
        <v>3</v>
      </c>
      <c r="D1073" s="763">
        <f t="shared" ca="1" si="248"/>
        <v>4</v>
      </c>
      <c r="E1073" s="763">
        <f t="shared" ca="1" si="249"/>
        <v>5</v>
      </c>
      <c r="G1073" s="628"/>
      <c r="H1073" s="766" t="s">
        <v>368</v>
      </c>
      <c r="I1073" s="629" t="str">
        <f t="shared" ca="1" si="245"/>
        <v>14.003.004.005</v>
      </c>
      <c r="J1073" s="654" t="s">
        <v>1574</v>
      </c>
      <c r="K1073" s="630" t="s">
        <v>1</v>
      </c>
      <c r="L1073" s="631">
        <f>L1066+L1061</f>
        <v>662.65</v>
      </c>
      <c r="M1073" s="631">
        <f>VLOOKUP(J1073,Preços!$C$7:$F$498,4,FALSE)</f>
        <v>32</v>
      </c>
      <c r="N1073" s="646">
        <f>L1073*M1073</f>
        <v>21204.799999999999</v>
      </c>
      <c r="O1073" s="767"/>
      <c r="P1073" s="632" t="s">
        <v>333</v>
      </c>
      <c r="R1073" s="742"/>
      <c r="S1073" s="742"/>
    </row>
    <row r="1074" spans="1:19" s="761" customFormat="1" ht="22.5" hidden="1" outlineLevel="1" collapsed="1" x14ac:dyDescent="0.2">
      <c r="A1074" s="762" t="e">
        <f ca="1">IF($H1074="UNIDADE CONSTRUTIVA",OFFSET(A1074,-1,0)+1,LARGE(A$3:A975,1))</f>
        <v>#NUM!</v>
      </c>
      <c r="B1074" s="762">
        <f t="shared" ref="B1074:B1093" ca="1" si="250">IF(H1074="UNIDADE CONSTRUTIVA",0,IF(H1074="CÉLULA CONSTRUTIVA",OFFSET(B1074,-1,0)+1,OFFSET(B1074,-1,0)))</f>
        <v>14</v>
      </c>
      <c r="C1074" s="762">
        <f t="shared" ref="C1074:C1093" ca="1" si="251">IF(H1074="CÉLULA CONSTRUTIVA",0,IF(H1074="ETAPA",OFFSET(C1074,-1,0)+1,OFFSET(C1074,-1,0)))</f>
        <v>4</v>
      </c>
      <c r="D1074" s="763">
        <f t="shared" ref="D1074:D1093" ca="1" si="252">IF(H1074="ETAPA",0,IF(H1074="SUBETAPA",OFFSET(D1074,-1,0)+1,OFFSET(D1074,-1,0)))</f>
        <v>0</v>
      </c>
      <c r="E1074" s="763">
        <f t="shared" ref="E1074:E1093" ca="1" si="253">IF(H1074="Subetapa",0,IF(H1074="serviço",OFFSET(E1074,-1,0)+1,OFFSET(E1074,-1,0)))</f>
        <v>5</v>
      </c>
      <c r="G1074" s="628"/>
      <c r="H1074" s="766" t="s">
        <v>366</v>
      </c>
      <c r="I1074" s="629" t="str">
        <f t="shared" ref="I1074:I1093" ca="1" si="254">IF(H1074="Unidade Construtiva",TEXT(A1074,"00"),IF(H1074="Célula Construtiva",TEXT(B1074,"00"),IF(H1074="Etapa",CONCATENATE(TEXT(B1074,"00"),".",TEXT(C1074,"000")),IF(H1074="Subetapa",CONCATENATE(TEXT(B1074,"00"),".",TEXT(C1074,"000"),".",TEXT(D1074,"000")),IF(H1074="Serviço",CONCATENATE(TEXT(B1074,"00"),".",TEXT(C1074,"000"),".",TEXT(D1074,"000"),".",TEXT(E1074,"000")),"")))))</f>
        <v>14.004</v>
      </c>
      <c r="J1074" s="654" t="s">
        <v>869</v>
      </c>
      <c r="K1074" s="630"/>
      <c r="L1074" s="631"/>
      <c r="M1074" s="631"/>
      <c r="N1074" s="646">
        <f>SUM(N1075,N1079,N1084,N1088)</f>
        <v>122316.710945</v>
      </c>
      <c r="O1074" s="767"/>
      <c r="P1074" s="632"/>
      <c r="R1074" s="742"/>
      <c r="S1074" s="742"/>
    </row>
    <row r="1075" spans="1:19" s="761" customFormat="1" hidden="1" outlineLevel="2" x14ac:dyDescent="0.2">
      <c r="A1075" s="762" t="e">
        <f ca="1">IF($H1075="UNIDADE CONSTRUTIVA",OFFSET(A1075,-1,0)+1,LARGE(A$3:A1074,1))</f>
        <v>#NUM!</v>
      </c>
      <c r="B1075" s="762">
        <f t="shared" ca="1" si="250"/>
        <v>14</v>
      </c>
      <c r="C1075" s="762">
        <f t="shared" ca="1" si="251"/>
        <v>4</v>
      </c>
      <c r="D1075" s="763">
        <f t="shared" ca="1" si="252"/>
        <v>1</v>
      </c>
      <c r="E1075" s="763">
        <f t="shared" ca="1" si="253"/>
        <v>0</v>
      </c>
      <c r="G1075" s="628"/>
      <c r="H1075" s="766" t="s">
        <v>367</v>
      </c>
      <c r="I1075" s="629" t="str">
        <f t="shared" ca="1" si="254"/>
        <v>14.004.001</v>
      </c>
      <c r="J1075" s="654" t="s">
        <v>231</v>
      </c>
      <c r="K1075" s="630"/>
      <c r="L1075" s="631"/>
      <c r="M1075" s="631"/>
      <c r="N1075" s="646">
        <f>SUM(N1076:N1078)</f>
        <v>26287.176874000001</v>
      </c>
      <c r="O1075" s="767"/>
      <c r="P1075" s="632"/>
      <c r="R1075" s="742"/>
      <c r="S1075" s="742"/>
    </row>
    <row r="1076" spans="1:19" s="761" customFormat="1" ht="22.5" hidden="1" outlineLevel="3" x14ac:dyDescent="0.2">
      <c r="A1076" s="762" t="e">
        <f ca="1">IF($H1076="UNIDADE CONSTRUTIVA",OFFSET(A1076,-1,0)+1,LARGE(A$3:A1075,1))</f>
        <v>#NUM!</v>
      </c>
      <c r="B1076" s="762">
        <f t="shared" ca="1" si="250"/>
        <v>14</v>
      </c>
      <c r="C1076" s="762">
        <f t="shared" ca="1" si="251"/>
        <v>4</v>
      </c>
      <c r="D1076" s="763">
        <f t="shared" ca="1" si="252"/>
        <v>1</v>
      </c>
      <c r="E1076" s="763">
        <f t="shared" ca="1" si="253"/>
        <v>1</v>
      </c>
      <c r="G1076" s="628"/>
      <c r="H1076" s="766" t="s">
        <v>368</v>
      </c>
      <c r="I1076" s="629" t="str">
        <f t="shared" ca="1" si="254"/>
        <v>14.004.001.001</v>
      </c>
      <c r="J1076" s="654" t="s">
        <v>1570</v>
      </c>
      <c r="K1076" s="630" t="s">
        <v>1</v>
      </c>
      <c r="L1076" s="631">
        <f>ARQ.!C307+ARQ.!C309</f>
        <v>495.25</v>
      </c>
      <c r="M1076" s="631">
        <f>VLOOKUP(J1076,Preços!$C$7:$F$498,4,FALSE)</f>
        <v>52.57</v>
      </c>
      <c r="N1076" s="646">
        <f>L1076*M1076</f>
        <v>26035.2925</v>
      </c>
      <c r="O1076" s="767"/>
      <c r="P1076" s="632" t="s">
        <v>333</v>
      </c>
      <c r="R1076" s="742"/>
      <c r="S1076" s="742"/>
    </row>
    <row r="1077" spans="1:19" s="761" customFormat="1" ht="22.5" hidden="1" outlineLevel="3" x14ac:dyDescent="0.2">
      <c r="A1077" s="762" t="e">
        <f ca="1">IF($H1077="UNIDADE CONSTRUTIVA",OFFSET(A1077,-1,0)+1,LARGE(A$3:A1076,1))</f>
        <v>#NUM!</v>
      </c>
      <c r="B1077" s="762">
        <f ca="1">IF(H1077="UNIDADE CONSTRUTIVA",0,IF(H1077="CÉLULA CONSTRUTIVA",OFFSET(B1077,-1,0)+1,OFFSET(B1077,-1,0)))</f>
        <v>14</v>
      </c>
      <c r="C1077" s="762">
        <f ca="1">IF(H1077="CÉLULA CONSTRUTIVA",0,IF(H1077="ETAPA",OFFSET(C1077,-1,0)+1,OFFSET(C1077,-1,0)))</f>
        <v>4</v>
      </c>
      <c r="D1077" s="763">
        <f ca="1">IF(H1077="ETAPA",0,IF(H1077="SUBETAPA",OFFSET(D1077,-1,0)+1,OFFSET(D1077,-1,0)))</f>
        <v>1</v>
      </c>
      <c r="E1077" s="763">
        <f ca="1">IF(H1077="Subetapa",0,IF(H1077="serviço",OFFSET(E1077,-1,0)+1,OFFSET(E1077,-1,0)))</f>
        <v>2</v>
      </c>
      <c r="G1077" s="628"/>
      <c r="H1077" s="766" t="s">
        <v>368</v>
      </c>
      <c r="I1077" s="629" t="str">
        <f ca="1">IF(H1077="Unidade Construtiva",TEXT(A1077,"00"),IF(H1077="Célula Construtiva",TEXT(B1077,"00"),IF(H1077="Etapa",CONCATENATE(TEXT(B1077,"00"),".",TEXT(C1077,"000")),IF(H1077="Subetapa",CONCATENATE(TEXT(B1077,"00"),".",TEXT(C1077,"000"),".",TEXT(D1077,"000")),IF(H1077="Serviço",CONCATENATE(TEXT(B1077,"00"),".",TEXT(C1077,"000"),".",TEXT(D1077,"000"),".",TEXT(E1077,"000")),"")))))</f>
        <v>14.004.001.002</v>
      </c>
      <c r="J1077" s="654" t="s">
        <v>1572</v>
      </c>
      <c r="K1077" s="630" t="s">
        <v>1</v>
      </c>
      <c r="L1077" s="631">
        <f>ARQ.!C310+ARQ.!C311</f>
        <v>27.53</v>
      </c>
      <c r="M1077" s="631">
        <f>VLOOKUP(J1077,Preços!$C$7:$F$498,4,FALSE)</f>
        <v>6.36</v>
      </c>
      <c r="N1077" s="646">
        <f>L1077*M1077</f>
        <v>175.09080000000003</v>
      </c>
      <c r="O1077" s="767"/>
      <c r="P1077" s="632" t="s">
        <v>333</v>
      </c>
      <c r="R1077" s="742"/>
      <c r="S1077" s="742"/>
    </row>
    <row r="1078" spans="1:19" s="761" customFormat="1" ht="22.5" hidden="1" outlineLevel="3" x14ac:dyDescent="0.2">
      <c r="A1078" s="762" t="e">
        <f ca="1">IF($H1078="UNIDADE CONSTRUTIVA",OFFSET(A1078,-1,0)+1,LARGE(A$3:A1076,1))</f>
        <v>#NUM!</v>
      </c>
      <c r="B1078" s="762">
        <f t="shared" ca="1" si="250"/>
        <v>14</v>
      </c>
      <c r="C1078" s="762">
        <f t="shared" ca="1" si="251"/>
        <v>4</v>
      </c>
      <c r="D1078" s="763">
        <f t="shared" ca="1" si="252"/>
        <v>1</v>
      </c>
      <c r="E1078" s="763">
        <f t="shared" ca="1" si="253"/>
        <v>3</v>
      </c>
      <c r="G1078" s="628"/>
      <c r="H1078" s="766" t="s">
        <v>368</v>
      </c>
      <c r="I1078" s="629" t="str">
        <f t="shared" ca="1" si="254"/>
        <v>14.004.001.003</v>
      </c>
      <c r="J1078" s="654" t="s">
        <v>855</v>
      </c>
      <c r="K1078" s="630" t="s">
        <v>1</v>
      </c>
      <c r="L1078" s="631">
        <f>ARQ.!C308</f>
        <v>27.06</v>
      </c>
      <c r="M1078" s="631">
        <f>VLOOKUP(J1078,Preços!$C$7:$F$498,4,FALSE)</f>
        <v>2.8378999999999999</v>
      </c>
      <c r="N1078" s="646">
        <f>L1078*M1078</f>
        <v>76.793573999999992</v>
      </c>
      <c r="O1078" s="767"/>
      <c r="P1078" s="632" t="s">
        <v>333</v>
      </c>
      <c r="R1078" s="742"/>
      <c r="S1078" s="742"/>
    </row>
    <row r="1079" spans="1:19" s="761" customFormat="1" hidden="1" outlineLevel="2" x14ac:dyDescent="0.2">
      <c r="A1079" s="762" t="e">
        <f ca="1">IF($H1079="UNIDADE CONSTRUTIVA",OFFSET(A1079,-1,0)+1,LARGE(A$3:A1078,1))</f>
        <v>#NUM!</v>
      </c>
      <c r="B1079" s="762">
        <f t="shared" ca="1" si="250"/>
        <v>14</v>
      </c>
      <c r="C1079" s="762">
        <f t="shared" ca="1" si="251"/>
        <v>4</v>
      </c>
      <c r="D1079" s="763">
        <f t="shared" ca="1" si="252"/>
        <v>2</v>
      </c>
      <c r="E1079" s="763">
        <f t="shared" ca="1" si="253"/>
        <v>0</v>
      </c>
      <c r="G1079" s="628"/>
      <c r="H1079" s="766" t="s">
        <v>367</v>
      </c>
      <c r="I1079" s="629" t="str">
        <f t="shared" ca="1" si="254"/>
        <v>14.004.002</v>
      </c>
      <c r="J1079" s="654" t="s">
        <v>232</v>
      </c>
      <c r="K1079" s="630"/>
      <c r="L1079" s="631"/>
      <c r="M1079" s="631"/>
      <c r="N1079" s="646">
        <f>SUM(N1080:N1083)</f>
        <v>18466.620434</v>
      </c>
      <c r="O1079" s="767"/>
      <c r="P1079" s="632"/>
      <c r="R1079" s="742"/>
      <c r="S1079" s="742"/>
    </row>
    <row r="1080" spans="1:19" s="761" customFormat="1" ht="22.5" hidden="1" outlineLevel="3" x14ac:dyDescent="0.2">
      <c r="A1080" s="762" t="e">
        <f ca="1">IF($H1080="UNIDADE CONSTRUTIVA",OFFSET(A1080,-1,0)+1,LARGE(A$3:A1079,1))</f>
        <v>#NUM!</v>
      </c>
      <c r="B1080" s="762">
        <f t="shared" ca="1" si="250"/>
        <v>14</v>
      </c>
      <c r="C1080" s="762">
        <f t="shared" ca="1" si="251"/>
        <v>4</v>
      </c>
      <c r="D1080" s="763">
        <f t="shared" ca="1" si="252"/>
        <v>2</v>
      </c>
      <c r="E1080" s="763">
        <f t="shared" ca="1" si="253"/>
        <v>1</v>
      </c>
      <c r="G1080" s="628"/>
      <c r="H1080" s="766" t="s">
        <v>368</v>
      </c>
      <c r="I1080" s="629" t="str">
        <f t="shared" ca="1" si="254"/>
        <v>14.004.002.001</v>
      </c>
      <c r="J1080" s="654" t="s">
        <v>856</v>
      </c>
      <c r="K1080" s="630" t="s">
        <v>1</v>
      </c>
      <c r="L1080" s="631">
        <f>L1082</f>
        <v>1005.89</v>
      </c>
      <c r="M1080" s="631">
        <f>VLOOKUP(J1080,Preços!$C$7:$F$498,4,FALSE)</f>
        <v>1.0880000000000001</v>
      </c>
      <c r="N1080" s="646">
        <f>L1080*M1080</f>
        <v>1094.40832</v>
      </c>
      <c r="O1080" s="767"/>
      <c r="P1080" s="632" t="s">
        <v>333</v>
      </c>
      <c r="R1080" s="742"/>
      <c r="S1080" s="742"/>
    </row>
    <row r="1081" spans="1:19" s="761" customFormat="1" ht="22.5" hidden="1" outlineLevel="3" x14ac:dyDescent="0.2">
      <c r="A1081" s="762" t="e">
        <f ca="1">IF($H1081="UNIDADE CONSTRUTIVA",OFFSET(A1081,-1,0)+1,LARGE(A$3:A1080,1))</f>
        <v>#NUM!</v>
      </c>
      <c r="B1081" s="762">
        <f t="shared" ca="1" si="250"/>
        <v>14</v>
      </c>
      <c r="C1081" s="762">
        <f t="shared" ca="1" si="251"/>
        <v>4</v>
      </c>
      <c r="D1081" s="763">
        <f t="shared" ca="1" si="252"/>
        <v>2</v>
      </c>
      <c r="E1081" s="763">
        <f t="shared" ca="1" si="253"/>
        <v>2</v>
      </c>
      <c r="G1081" s="628"/>
      <c r="H1081" s="766" t="s">
        <v>368</v>
      </c>
      <c r="I1081" s="629" t="str">
        <f t="shared" ca="1" si="254"/>
        <v>14.004.002.002</v>
      </c>
      <c r="J1081" s="654" t="s">
        <v>857</v>
      </c>
      <c r="K1081" s="630" t="s">
        <v>1</v>
      </c>
      <c r="L1081" s="631">
        <f>L1082</f>
        <v>1005.89</v>
      </c>
      <c r="M1081" s="631">
        <f>VLOOKUP(J1081,Preços!$C$7:$F$498,4,FALSE)</f>
        <v>2.6949999999999998</v>
      </c>
      <c r="N1081" s="646">
        <f>L1081*M1081</f>
        <v>2710.8735499999998</v>
      </c>
      <c r="O1081" s="767"/>
      <c r="P1081" s="632" t="s">
        <v>333</v>
      </c>
      <c r="R1081" s="742"/>
      <c r="S1081" s="742"/>
    </row>
    <row r="1082" spans="1:19" s="761" customFormat="1" ht="22.5" hidden="1" outlineLevel="3" x14ac:dyDescent="0.2">
      <c r="A1082" s="762" t="e">
        <f ca="1">IF($H1082="UNIDADE CONSTRUTIVA",OFFSET(A1082,-1,0)+1,LARGE(A$3:A1081,1))</f>
        <v>#NUM!</v>
      </c>
      <c r="B1082" s="762">
        <f t="shared" ca="1" si="250"/>
        <v>14</v>
      </c>
      <c r="C1082" s="762">
        <f t="shared" ca="1" si="251"/>
        <v>4</v>
      </c>
      <c r="D1082" s="763">
        <f t="shared" ca="1" si="252"/>
        <v>2</v>
      </c>
      <c r="E1082" s="763">
        <f t="shared" ca="1" si="253"/>
        <v>3</v>
      </c>
      <c r="G1082" s="628"/>
      <c r="H1082" s="766" t="s">
        <v>368</v>
      </c>
      <c r="I1082" s="629" t="str">
        <f t="shared" ca="1" si="254"/>
        <v>14.004.002.003</v>
      </c>
      <c r="J1082" s="654" t="s">
        <v>858</v>
      </c>
      <c r="K1082" s="630" t="s">
        <v>1</v>
      </c>
      <c r="L1082" s="631">
        <v>1005.89</v>
      </c>
      <c r="M1082" s="631">
        <f>VLOOKUP(J1082,Preços!$C$7:$F$498,4,FALSE)</f>
        <v>14.4375</v>
      </c>
      <c r="N1082" s="646">
        <f>L1082*M1082</f>
        <v>14522.536875</v>
      </c>
      <c r="O1082" s="767"/>
      <c r="P1082" s="632" t="s">
        <v>333</v>
      </c>
      <c r="R1082" s="742"/>
      <c r="S1082" s="742"/>
    </row>
    <row r="1083" spans="1:19" s="761" customFormat="1" ht="22.5" hidden="1" outlineLevel="3" x14ac:dyDescent="0.2">
      <c r="A1083" s="762" t="e">
        <f ca="1">IF($H1083="UNIDADE CONSTRUTIVA",OFFSET(A1083,-1,0)+1,LARGE(A$3:A1082,1))</f>
        <v>#NUM!</v>
      </c>
      <c r="B1083" s="762">
        <f t="shared" ca="1" si="250"/>
        <v>14</v>
      </c>
      <c r="C1083" s="762">
        <f t="shared" ca="1" si="251"/>
        <v>4</v>
      </c>
      <c r="D1083" s="763">
        <f t="shared" ca="1" si="252"/>
        <v>2</v>
      </c>
      <c r="E1083" s="763">
        <f t="shared" ca="1" si="253"/>
        <v>4</v>
      </c>
      <c r="G1083" s="628"/>
      <c r="H1083" s="766" t="s">
        <v>368</v>
      </c>
      <c r="I1083" s="629" t="str">
        <f t="shared" ca="1" si="254"/>
        <v>14.004.002.004</v>
      </c>
      <c r="J1083" s="654" t="s">
        <v>880</v>
      </c>
      <c r="K1083" s="630" t="s">
        <v>1</v>
      </c>
      <c r="L1083" s="631">
        <v>48.91</v>
      </c>
      <c r="M1083" s="631">
        <f>VLOOKUP(J1083,Preços!$C$7:$F$498,4,FALSE)</f>
        <v>2.8378999999999999</v>
      </c>
      <c r="N1083" s="646">
        <f>L1083*M1083</f>
        <v>138.80168899999998</v>
      </c>
      <c r="O1083" s="767"/>
      <c r="P1083" s="632" t="s">
        <v>333</v>
      </c>
      <c r="R1083" s="742"/>
      <c r="S1083" s="742"/>
    </row>
    <row r="1084" spans="1:19" s="761" customFormat="1" hidden="1" outlineLevel="2" x14ac:dyDescent="0.2">
      <c r="A1084" s="762" t="e">
        <f ca="1">IF($H1084="UNIDADE CONSTRUTIVA",OFFSET(A1084,-1,0)+1,LARGE(A$3:A1083,1))</f>
        <v>#NUM!</v>
      </c>
      <c r="B1084" s="762">
        <f t="shared" ca="1" si="250"/>
        <v>14</v>
      </c>
      <c r="C1084" s="762">
        <f t="shared" ca="1" si="251"/>
        <v>4</v>
      </c>
      <c r="D1084" s="763">
        <f t="shared" ca="1" si="252"/>
        <v>3</v>
      </c>
      <c r="E1084" s="763">
        <f t="shared" ca="1" si="253"/>
        <v>0</v>
      </c>
      <c r="G1084" s="628"/>
      <c r="H1084" s="766" t="s">
        <v>367</v>
      </c>
      <c r="I1084" s="629" t="str">
        <f t="shared" ca="1" si="254"/>
        <v>14.004.003</v>
      </c>
      <c r="J1084" s="654" t="s">
        <v>233</v>
      </c>
      <c r="K1084" s="630"/>
      <c r="L1084" s="631"/>
      <c r="M1084" s="631"/>
      <c r="N1084" s="646">
        <f>SUM(N1085:N1087)</f>
        <v>7021.7586369999999</v>
      </c>
      <c r="O1084" s="767"/>
      <c r="P1084" s="632"/>
      <c r="R1084" s="742"/>
      <c r="S1084" s="742"/>
    </row>
    <row r="1085" spans="1:19" s="761" customFormat="1" ht="22.5" hidden="1" outlineLevel="3" x14ac:dyDescent="0.2">
      <c r="A1085" s="762" t="e">
        <f ca="1">IF($H1085="UNIDADE CONSTRUTIVA",OFFSET(A1085,-1,0)+1,LARGE(A$3:A1084,1))</f>
        <v>#NUM!</v>
      </c>
      <c r="B1085" s="762">
        <f t="shared" ca="1" si="250"/>
        <v>14</v>
      </c>
      <c r="C1085" s="762">
        <f t="shared" ca="1" si="251"/>
        <v>4</v>
      </c>
      <c r="D1085" s="763">
        <f t="shared" ca="1" si="252"/>
        <v>3</v>
      </c>
      <c r="E1085" s="763">
        <f t="shared" ca="1" si="253"/>
        <v>1</v>
      </c>
      <c r="G1085" s="628"/>
      <c r="H1085" s="766" t="s">
        <v>368</v>
      </c>
      <c r="I1085" s="629" t="str">
        <f t="shared" ca="1" si="254"/>
        <v>14.004.003.001</v>
      </c>
      <c r="J1085" s="654" t="s">
        <v>860</v>
      </c>
      <c r="K1085" s="630" t="s">
        <v>1</v>
      </c>
      <c r="L1085" s="631">
        <f>L860+L862</f>
        <v>632.13000000000011</v>
      </c>
      <c r="M1085" s="631">
        <f>VLOOKUP(J1085,Preços!$C$7:$F$498,4,FALSE)</f>
        <v>1.0880000000000001</v>
      </c>
      <c r="N1085" s="646">
        <f>L1085*M1085</f>
        <v>687.7574400000002</v>
      </c>
      <c r="O1085" s="767"/>
      <c r="P1085" s="632" t="s">
        <v>333</v>
      </c>
      <c r="R1085" s="742"/>
      <c r="S1085" s="742"/>
    </row>
    <row r="1086" spans="1:19" s="761" customFormat="1" ht="22.5" hidden="1" outlineLevel="3" x14ac:dyDescent="0.2">
      <c r="A1086" s="762" t="e">
        <f ca="1">IF($H1086="UNIDADE CONSTRUTIVA",OFFSET(A1086,-1,0)+1,LARGE(A$3:A1085,1))</f>
        <v>#NUM!</v>
      </c>
      <c r="B1086" s="762">
        <f t="shared" ca="1" si="250"/>
        <v>14</v>
      </c>
      <c r="C1086" s="762">
        <f t="shared" ca="1" si="251"/>
        <v>4</v>
      </c>
      <c r="D1086" s="763">
        <f t="shared" ca="1" si="252"/>
        <v>3</v>
      </c>
      <c r="E1086" s="763">
        <f t="shared" ca="1" si="253"/>
        <v>2</v>
      </c>
      <c r="G1086" s="628"/>
      <c r="H1086" s="766" t="s">
        <v>368</v>
      </c>
      <c r="I1086" s="629" t="str">
        <f t="shared" ca="1" si="254"/>
        <v>14.004.003.002</v>
      </c>
      <c r="J1086" s="654" t="s">
        <v>861</v>
      </c>
      <c r="K1086" s="630" t="s">
        <v>1</v>
      </c>
      <c r="L1086" s="631">
        <f>L862</f>
        <v>5.44</v>
      </c>
      <c r="M1086" s="631">
        <f>VLOOKUP(J1086,Preços!$C$7:$F$498,4,FALSE)</f>
        <v>2.6949999999999998</v>
      </c>
      <c r="N1086" s="646">
        <f>L1086*M1086</f>
        <v>14.6608</v>
      </c>
      <c r="O1086" s="767"/>
      <c r="P1086" s="632" t="s">
        <v>333</v>
      </c>
      <c r="R1086" s="742"/>
      <c r="S1086" s="742"/>
    </row>
    <row r="1087" spans="1:19" s="761" customFormat="1" ht="22.5" hidden="1" outlineLevel="3" x14ac:dyDescent="0.2">
      <c r="A1087" s="762" t="e">
        <f ca="1">IF($H1087="UNIDADE CONSTRUTIVA",OFFSET(A1087,-1,0)+1,LARGE(A$3:A1086,1))</f>
        <v>#NUM!</v>
      </c>
      <c r="B1087" s="762">
        <f t="shared" ca="1" si="250"/>
        <v>14</v>
      </c>
      <c r="C1087" s="762">
        <f t="shared" ca="1" si="251"/>
        <v>4</v>
      </c>
      <c r="D1087" s="763">
        <f t="shared" ca="1" si="252"/>
        <v>3</v>
      </c>
      <c r="E1087" s="763">
        <f t="shared" ca="1" si="253"/>
        <v>3</v>
      </c>
      <c r="G1087" s="628"/>
      <c r="H1087" s="766" t="s">
        <v>368</v>
      </c>
      <c r="I1087" s="629" t="str">
        <f t="shared" ca="1" si="254"/>
        <v>14.004.003.003</v>
      </c>
      <c r="J1087" s="654" t="s">
        <v>862</v>
      </c>
      <c r="K1087" s="630" t="s">
        <v>1</v>
      </c>
      <c r="L1087" s="631">
        <f>ARQ.!C318</f>
        <v>632.13</v>
      </c>
      <c r="M1087" s="631">
        <f>VLOOKUP(J1087,Preços!$C$7:$F$498,4,FALSE)</f>
        <v>9.9969000000000001</v>
      </c>
      <c r="N1087" s="646">
        <f>L1087*M1087</f>
        <v>6319.3403969999999</v>
      </c>
      <c r="O1087" s="767"/>
      <c r="P1087" s="632" t="s">
        <v>333</v>
      </c>
      <c r="R1087" s="742"/>
      <c r="S1087" s="742"/>
    </row>
    <row r="1088" spans="1:19" s="761" customFormat="1" hidden="1" outlineLevel="2" x14ac:dyDescent="0.2">
      <c r="A1088" s="762" t="e">
        <f ca="1">IF($H1088="UNIDADE CONSTRUTIVA",OFFSET(A1088,-1,0)+1,LARGE(A$3:A1087,1))</f>
        <v>#NUM!</v>
      </c>
      <c r="B1088" s="762">
        <f t="shared" ca="1" si="250"/>
        <v>14</v>
      </c>
      <c r="C1088" s="762">
        <f t="shared" ca="1" si="251"/>
        <v>4</v>
      </c>
      <c r="D1088" s="763">
        <f t="shared" ca="1" si="252"/>
        <v>4</v>
      </c>
      <c r="E1088" s="763">
        <f t="shared" ca="1" si="253"/>
        <v>0</v>
      </c>
      <c r="G1088" s="628"/>
      <c r="H1088" s="766" t="s">
        <v>367</v>
      </c>
      <c r="I1088" s="629" t="str">
        <f t="shared" ca="1" si="254"/>
        <v>14.004.004</v>
      </c>
      <c r="J1088" s="654" t="s">
        <v>211</v>
      </c>
      <c r="K1088" s="630"/>
      <c r="L1088" s="631"/>
      <c r="M1088" s="631"/>
      <c r="N1088" s="646">
        <f>SUM(N1089:N1093)</f>
        <v>70541.154999999999</v>
      </c>
      <c r="O1088" s="767"/>
      <c r="P1088" s="632"/>
      <c r="R1088" s="742"/>
      <c r="S1088" s="742"/>
    </row>
    <row r="1089" spans="1:19" s="761" customFormat="1" ht="22.5" hidden="1" outlineLevel="3" x14ac:dyDescent="0.2">
      <c r="A1089" s="762" t="e">
        <f ca="1">IF($H1089="UNIDADE CONSTRUTIVA",OFFSET(A1089,-1,0)+1,LARGE(A$3:A1088,1))</f>
        <v>#NUM!</v>
      </c>
      <c r="B1089" s="762">
        <f t="shared" ca="1" si="250"/>
        <v>14</v>
      </c>
      <c r="C1089" s="762">
        <f t="shared" ca="1" si="251"/>
        <v>4</v>
      </c>
      <c r="D1089" s="763">
        <f t="shared" ca="1" si="252"/>
        <v>4</v>
      </c>
      <c r="E1089" s="763">
        <f t="shared" ca="1" si="253"/>
        <v>1</v>
      </c>
      <c r="G1089" s="628"/>
      <c r="H1089" s="766" t="s">
        <v>368</v>
      </c>
      <c r="I1089" s="629" t="str">
        <f t="shared" ca="1" si="254"/>
        <v>14.004.004.001</v>
      </c>
      <c r="J1089" s="654" t="s">
        <v>1571</v>
      </c>
      <c r="K1089" s="630" t="s">
        <v>1</v>
      </c>
      <c r="L1089" s="631">
        <f>L1076+L1078</f>
        <v>522.30999999999995</v>
      </c>
      <c r="M1089" s="631">
        <f>VLOOKUP(J1089,Preços!$C$7:$F$498,4,FALSE)</f>
        <v>47</v>
      </c>
      <c r="N1089" s="646">
        <f>L1089*M1089</f>
        <v>24548.569999999996</v>
      </c>
      <c r="O1089" s="767"/>
      <c r="P1089" s="632" t="s">
        <v>333</v>
      </c>
      <c r="R1089" s="742"/>
      <c r="S1089" s="742"/>
    </row>
    <row r="1090" spans="1:19" s="761" customFormat="1" ht="22.5" hidden="1" outlineLevel="3" x14ac:dyDescent="0.2">
      <c r="A1090" s="762" t="e">
        <f ca="1">IF($H1090="UNIDADE CONSTRUTIVA",OFFSET(A1090,-1,0)+1,LARGE(A$3:A1089,1))</f>
        <v>#NUM!</v>
      </c>
      <c r="B1090" s="762">
        <f t="shared" ca="1" si="250"/>
        <v>14</v>
      </c>
      <c r="C1090" s="762">
        <f t="shared" ca="1" si="251"/>
        <v>4</v>
      </c>
      <c r="D1090" s="763">
        <f t="shared" ca="1" si="252"/>
        <v>4</v>
      </c>
      <c r="E1090" s="763">
        <f t="shared" ca="1" si="253"/>
        <v>2</v>
      </c>
      <c r="G1090" s="628"/>
      <c r="H1090" s="766" t="s">
        <v>368</v>
      </c>
      <c r="I1090" s="629" t="str">
        <f t="shared" ca="1" si="254"/>
        <v>14.004.004.002</v>
      </c>
      <c r="J1090" s="654" t="s">
        <v>879</v>
      </c>
      <c r="K1090" s="630" t="s">
        <v>1</v>
      </c>
      <c r="L1090" s="631">
        <f>L1077</f>
        <v>27.53</v>
      </c>
      <c r="M1090" s="631">
        <f>VLOOKUP(J1090,Preços!$C$7:$F$498,4,FALSE)</f>
        <v>18.5</v>
      </c>
      <c r="N1090" s="646">
        <f>L1090*M1090</f>
        <v>509.30500000000001</v>
      </c>
      <c r="O1090" s="767"/>
      <c r="P1090" s="632" t="s">
        <v>333</v>
      </c>
      <c r="R1090" s="742"/>
      <c r="S1090" s="742"/>
    </row>
    <row r="1091" spans="1:19" s="761" customFormat="1" ht="22.5" hidden="1" outlineLevel="3" x14ac:dyDescent="0.2">
      <c r="A1091" s="762" t="e">
        <f ca="1">IF($H1091="UNIDADE CONSTRUTIVA",OFFSET(A1091,-1,0)+1,LARGE(A$3:A1090,1))</f>
        <v>#NUM!</v>
      </c>
      <c r="B1091" s="762">
        <f t="shared" ca="1" si="250"/>
        <v>14</v>
      </c>
      <c r="C1091" s="762">
        <f t="shared" ca="1" si="251"/>
        <v>4</v>
      </c>
      <c r="D1091" s="763">
        <f t="shared" ca="1" si="252"/>
        <v>4</v>
      </c>
      <c r="E1091" s="763">
        <f t="shared" ca="1" si="253"/>
        <v>3</v>
      </c>
      <c r="G1091" s="628"/>
      <c r="H1091" s="766" t="s">
        <v>368</v>
      </c>
      <c r="I1091" s="629" t="str">
        <f t="shared" ca="1" si="254"/>
        <v>14.004.004.003</v>
      </c>
      <c r="J1091" s="654" t="s">
        <v>881</v>
      </c>
      <c r="K1091" s="630" t="s">
        <v>1</v>
      </c>
      <c r="L1091" s="631">
        <f>L1083</f>
        <v>48.91</v>
      </c>
      <c r="M1091" s="631">
        <f>VLOOKUP(J1091,Preços!$C$7:$F$498,4,FALSE)</f>
        <v>12</v>
      </c>
      <c r="N1091" s="646">
        <f>L1091*M1091</f>
        <v>586.91999999999996</v>
      </c>
      <c r="O1091" s="767"/>
      <c r="P1091" s="632" t="s">
        <v>333</v>
      </c>
      <c r="R1091" s="742"/>
      <c r="S1091" s="742"/>
    </row>
    <row r="1092" spans="1:19" s="761" customFormat="1" ht="22.5" hidden="1" outlineLevel="3" x14ac:dyDescent="0.2">
      <c r="A1092" s="762" t="e">
        <f ca="1">IF($H1092="UNIDADE CONSTRUTIVA",OFFSET(A1092,-1,0)+1,LARGE(A$3:A1091,1))</f>
        <v>#NUM!</v>
      </c>
      <c r="B1092" s="762">
        <f t="shared" ca="1" si="250"/>
        <v>14</v>
      </c>
      <c r="C1092" s="762">
        <f t="shared" ca="1" si="251"/>
        <v>4</v>
      </c>
      <c r="D1092" s="763">
        <f t="shared" ca="1" si="252"/>
        <v>4</v>
      </c>
      <c r="E1092" s="763">
        <f t="shared" ca="1" si="253"/>
        <v>4</v>
      </c>
      <c r="G1092" s="628"/>
      <c r="H1092" s="766" t="s">
        <v>368</v>
      </c>
      <c r="I1092" s="629" t="str">
        <f t="shared" ca="1" si="254"/>
        <v>14.004.004.004</v>
      </c>
      <c r="J1092" s="654" t="s">
        <v>1573</v>
      </c>
      <c r="K1092" s="630" t="s">
        <v>1</v>
      </c>
      <c r="L1092" s="631">
        <f>L1087-L1086</f>
        <v>626.68999999999994</v>
      </c>
      <c r="M1092" s="631">
        <f>VLOOKUP(J1092,Preços!$C$7:$F$498,4,FALSE)</f>
        <v>20</v>
      </c>
      <c r="N1092" s="646">
        <f>L1092*M1092</f>
        <v>12533.8</v>
      </c>
      <c r="O1092" s="767"/>
      <c r="P1092" s="632" t="s">
        <v>333</v>
      </c>
      <c r="R1092" s="742"/>
      <c r="S1092" s="742"/>
    </row>
    <row r="1093" spans="1:19" s="761" customFormat="1" ht="22.5" hidden="1" outlineLevel="3" x14ac:dyDescent="0.2">
      <c r="A1093" s="762" t="e">
        <f ca="1">IF($H1093="UNIDADE CONSTRUTIVA",OFFSET(A1093,-1,0)+1,LARGE(A$3:A1091,1))</f>
        <v>#NUM!</v>
      </c>
      <c r="B1093" s="762">
        <f t="shared" ca="1" si="250"/>
        <v>14</v>
      </c>
      <c r="C1093" s="762">
        <f t="shared" ca="1" si="251"/>
        <v>4</v>
      </c>
      <c r="D1093" s="763">
        <f t="shared" ca="1" si="252"/>
        <v>4</v>
      </c>
      <c r="E1093" s="763">
        <f t="shared" ca="1" si="253"/>
        <v>5</v>
      </c>
      <c r="G1093" s="628"/>
      <c r="H1093" s="766" t="s">
        <v>368</v>
      </c>
      <c r="I1093" s="629" t="str">
        <f t="shared" ca="1" si="254"/>
        <v>14.004.004.005</v>
      </c>
      <c r="J1093" s="654" t="s">
        <v>1574</v>
      </c>
      <c r="K1093" s="630" t="s">
        <v>1</v>
      </c>
      <c r="L1093" s="631">
        <f>L1086+L1081</f>
        <v>1011.33</v>
      </c>
      <c r="M1093" s="631">
        <f>VLOOKUP(J1093,Preços!$C$7:$F$498,4,FALSE)</f>
        <v>32</v>
      </c>
      <c r="N1093" s="646">
        <f>L1093*M1093</f>
        <v>32362.560000000001</v>
      </c>
      <c r="O1093" s="767"/>
      <c r="P1093" s="632" t="s">
        <v>333</v>
      </c>
      <c r="R1093" s="742"/>
      <c r="S1093" s="742"/>
    </row>
    <row r="1094" spans="1:19" s="761" customFormat="1" hidden="1" outlineLevel="1" collapsed="1" x14ac:dyDescent="0.2">
      <c r="A1094" s="762" t="e">
        <f ca="1">IF($H1094="UNIDADE CONSTRUTIVA",OFFSET(A1094,-1,0)+1,LARGE(A$3:A993,1))</f>
        <v>#NUM!</v>
      </c>
      <c r="B1094" s="762">
        <f t="shared" ref="B1094:B1110" ca="1" si="255">IF(H1094="UNIDADE CONSTRUTIVA",0,IF(H1094="CÉLULA CONSTRUTIVA",OFFSET(B1094,-1,0)+1,OFFSET(B1094,-1,0)))</f>
        <v>14</v>
      </c>
      <c r="C1094" s="762">
        <f t="shared" ref="C1094:C1110" ca="1" si="256">IF(H1094="CÉLULA CONSTRUTIVA",0,IF(H1094="ETAPA",OFFSET(C1094,-1,0)+1,OFFSET(C1094,-1,0)))</f>
        <v>5</v>
      </c>
      <c r="D1094" s="763">
        <f t="shared" ref="D1094:D1110" ca="1" si="257">IF(H1094="ETAPA",0,IF(H1094="SUBETAPA",OFFSET(D1094,-1,0)+1,OFFSET(D1094,-1,0)))</f>
        <v>0</v>
      </c>
      <c r="E1094" s="763">
        <f t="shared" ref="E1094:E1110" ca="1" si="258">IF(H1094="Subetapa",0,IF(H1094="serviço",OFFSET(E1094,-1,0)+1,OFFSET(E1094,-1,0)))</f>
        <v>5</v>
      </c>
      <c r="G1094" s="628"/>
      <c r="H1094" s="766" t="s">
        <v>366</v>
      </c>
      <c r="I1094" s="629" t="str">
        <f t="shared" ref="I1094:I1110" ca="1" si="259">IF(H1094="Unidade Construtiva",TEXT(A1094,"00"),IF(H1094="Célula Construtiva",TEXT(B1094,"00"),IF(H1094="Etapa",CONCATENATE(TEXT(B1094,"00"),".",TEXT(C1094,"000")),IF(H1094="Subetapa",CONCATENATE(TEXT(B1094,"00"),".",TEXT(C1094,"000"),".",TEXT(D1094,"000")),IF(H1094="Serviço",CONCATENATE(TEXT(B1094,"00"),".",TEXT(C1094,"000"),".",TEXT(D1094,"000"),".",TEXT(E1094,"000")),"")))))</f>
        <v>14.005</v>
      </c>
      <c r="J1094" s="654" t="s">
        <v>870</v>
      </c>
      <c r="K1094" s="630"/>
      <c r="L1094" s="631"/>
      <c r="M1094" s="631"/>
      <c r="N1094" s="646">
        <f>SUM(N1095,N1097,N1102,N1106)</f>
        <v>38292.64675</v>
      </c>
      <c r="O1094" s="767"/>
      <c r="P1094" s="632"/>
      <c r="R1094" s="742"/>
      <c r="S1094" s="742"/>
    </row>
    <row r="1095" spans="1:19" s="761" customFormat="1" hidden="1" outlineLevel="2" x14ac:dyDescent="0.2">
      <c r="A1095" s="762" t="e">
        <f ca="1">IF($H1095="UNIDADE CONSTRUTIVA",OFFSET(A1095,-1,0)+1,LARGE(A$3:A1094,1))</f>
        <v>#NUM!</v>
      </c>
      <c r="B1095" s="762">
        <f t="shared" ca="1" si="255"/>
        <v>14</v>
      </c>
      <c r="C1095" s="762">
        <f t="shared" ca="1" si="256"/>
        <v>5</v>
      </c>
      <c r="D1095" s="763">
        <f t="shared" ca="1" si="257"/>
        <v>1</v>
      </c>
      <c r="E1095" s="763">
        <f t="shared" ca="1" si="258"/>
        <v>0</v>
      </c>
      <c r="G1095" s="628"/>
      <c r="H1095" s="766" t="s">
        <v>367</v>
      </c>
      <c r="I1095" s="629" t="str">
        <f t="shared" ca="1" si="259"/>
        <v>14.005.001</v>
      </c>
      <c r="J1095" s="654" t="s">
        <v>231</v>
      </c>
      <c r="K1095" s="630"/>
      <c r="L1095" s="631"/>
      <c r="M1095" s="631"/>
      <c r="N1095" s="646">
        <f>SUM(N1096)</f>
        <v>178.39800000000002</v>
      </c>
      <c r="O1095" s="767"/>
      <c r="P1095" s="632"/>
      <c r="R1095" s="742"/>
      <c r="S1095" s="742"/>
    </row>
    <row r="1096" spans="1:19" s="761" customFormat="1" ht="22.5" hidden="1" outlineLevel="3" x14ac:dyDescent="0.2">
      <c r="A1096" s="762" t="e">
        <f ca="1">IF($H1096="UNIDADE CONSTRUTIVA",OFFSET(A1096,-1,0)+1,LARGE(A$3:A1095,1))</f>
        <v>#NUM!</v>
      </c>
      <c r="B1096" s="762">
        <f t="shared" ca="1" si="255"/>
        <v>14</v>
      </c>
      <c r="C1096" s="762">
        <f t="shared" ca="1" si="256"/>
        <v>5</v>
      </c>
      <c r="D1096" s="763">
        <f t="shared" ca="1" si="257"/>
        <v>1</v>
      </c>
      <c r="E1096" s="763">
        <f t="shared" ca="1" si="258"/>
        <v>1</v>
      </c>
      <c r="G1096" s="628"/>
      <c r="H1096" s="766" t="s">
        <v>368</v>
      </c>
      <c r="I1096" s="629" t="str">
        <f t="shared" ca="1" si="259"/>
        <v>14.005.001.001</v>
      </c>
      <c r="J1096" s="654" t="s">
        <v>1572</v>
      </c>
      <c r="K1096" s="630" t="s">
        <v>1</v>
      </c>
      <c r="L1096" s="631">
        <f>SUM(ARQ.!C417:C419)</f>
        <v>28.05</v>
      </c>
      <c r="M1096" s="631">
        <f>VLOOKUP(J1096,Preços!$C$7:$F$498,4,FALSE)</f>
        <v>6.36</v>
      </c>
      <c r="N1096" s="646">
        <f>L1096*M1096</f>
        <v>178.39800000000002</v>
      </c>
      <c r="O1096" s="767"/>
      <c r="P1096" s="632" t="s">
        <v>333</v>
      </c>
      <c r="R1096" s="742"/>
      <c r="S1096" s="742"/>
    </row>
    <row r="1097" spans="1:19" s="761" customFormat="1" hidden="1" outlineLevel="2" x14ac:dyDescent="0.2">
      <c r="A1097" s="762" t="e">
        <f ca="1">IF($H1097="UNIDADE CONSTRUTIVA",OFFSET(A1097,-1,0)+1,LARGE(A$3:A1096,1))</f>
        <v>#NUM!</v>
      </c>
      <c r="B1097" s="762">
        <f t="shared" ca="1" si="255"/>
        <v>14</v>
      </c>
      <c r="C1097" s="762">
        <f t="shared" ca="1" si="256"/>
        <v>5</v>
      </c>
      <c r="D1097" s="763">
        <f t="shared" ca="1" si="257"/>
        <v>2</v>
      </c>
      <c r="E1097" s="763">
        <f t="shared" ca="1" si="258"/>
        <v>0</v>
      </c>
      <c r="G1097" s="628"/>
      <c r="H1097" s="766" t="s">
        <v>367</v>
      </c>
      <c r="I1097" s="629" t="str">
        <f t="shared" ca="1" si="259"/>
        <v>14.005.002</v>
      </c>
      <c r="J1097" s="654" t="s">
        <v>232</v>
      </c>
      <c r="K1097" s="630"/>
      <c r="L1097" s="631"/>
      <c r="M1097" s="631"/>
      <c r="N1097" s="646">
        <f>SUM(N1098:N1101)</f>
        <v>9966.9160049999991</v>
      </c>
      <c r="O1097" s="767"/>
      <c r="P1097" s="632"/>
      <c r="R1097" s="742"/>
      <c r="S1097" s="742"/>
    </row>
    <row r="1098" spans="1:19" s="761" customFormat="1" ht="22.5" hidden="1" outlineLevel="3" x14ac:dyDescent="0.2">
      <c r="A1098" s="762" t="e">
        <f ca="1">IF($H1098="UNIDADE CONSTRUTIVA",OFFSET(A1098,-1,0)+1,LARGE(A$3:A1097,1))</f>
        <v>#NUM!</v>
      </c>
      <c r="B1098" s="762">
        <f t="shared" ca="1" si="255"/>
        <v>14</v>
      </c>
      <c r="C1098" s="762">
        <f t="shared" ca="1" si="256"/>
        <v>5</v>
      </c>
      <c r="D1098" s="763">
        <f t="shared" ca="1" si="257"/>
        <v>2</v>
      </c>
      <c r="E1098" s="763">
        <f t="shared" ca="1" si="258"/>
        <v>1</v>
      </c>
      <c r="G1098" s="628"/>
      <c r="H1098" s="766" t="s">
        <v>368</v>
      </c>
      <c r="I1098" s="629" t="str">
        <f t="shared" ca="1" si="259"/>
        <v>14.005.002.001</v>
      </c>
      <c r="J1098" s="654" t="s">
        <v>856</v>
      </c>
      <c r="K1098" s="630" t="s">
        <v>1</v>
      </c>
      <c r="L1098" s="631">
        <f>L1100+L1101</f>
        <v>551.12</v>
      </c>
      <c r="M1098" s="631">
        <f>VLOOKUP(J1098,Preços!$C$7:$F$498,4,FALSE)</f>
        <v>1.0880000000000001</v>
      </c>
      <c r="N1098" s="646">
        <f>L1098*M1098</f>
        <v>599.61856</v>
      </c>
      <c r="O1098" s="767"/>
      <c r="P1098" s="632" t="s">
        <v>333</v>
      </c>
      <c r="R1098" s="742"/>
      <c r="S1098" s="742"/>
    </row>
    <row r="1099" spans="1:19" s="761" customFormat="1" ht="22.5" hidden="1" outlineLevel="3" x14ac:dyDescent="0.2">
      <c r="A1099" s="762" t="e">
        <f ca="1">IF($H1099="UNIDADE CONSTRUTIVA",OFFSET(A1099,-1,0)+1,LARGE(A$3:A1098,1))</f>
        <v>#NUM!</v>
      </c>
      <c r="B1099" s="762">
        <f t="shared" ca="1" si="255"/>
        <v>14</v>
      </c>
      <c r="C1099" s="762">
        <f t="shared" ca="1" si="256"/>
        <v>5</v>
      </c>
      <c r="D1099" s="763">
        <f t="shared" ca="1" si="257"/>
        <v>2</v>
      </c>
      <c r="E1099" s="763">
        <f t="shared" ca="1" si="258"/>
        <v>2</v>
      </c>
      <c r="G1099" s="628"/>
      <c r="H1099" s="766" t="s">
        <v>368</v>
      </c>
      <c r="I1099" s="629" t="str">
        <f t="shared" ca="1" si="259"/>
        <v>14.005.002.002</v>
      </c>
      <c r="J1099" s="654" t="s">
        <v>857</v>
      </c>
      <c r="K1099" s="630" t="s">
        <v>1</v>
      </c>
      <c r="L1099" s="631">
        <f>L1100</f>
        <v>535.61</v>
      </c>
      <c r="M1099" s="631">
        <f>VLOOKUP(J1099,Preços!$C$7:$F$498,4,FALSE)</f>
        <v>2.6949999999999998</v>
      </c>
      <c r="N1099" s="646">
        <f>L1099*M1099</f>
        <v>1443.4689499999999</v>
      </c>
      <c r="O1099" s="767"/>
      <c r="P1099" s="632" t="s">
        <v>333</v>
      </c>
      <c r="R1099" s="742"/>
      <c r="S1099" s="742"/>
    </row>
    <row r="1100" spans="1:19" s="761" customFormat="1" ht="22.5" hidden="1" outlineLevel="3" x14ac:dyDescent="0.2">
      <c r="A1100" s="762" t="e">
        <f ca="1">IF($H1100="UNIDADE CONSTRUTIVA",OFFSET(A1100,-1,0)+1,LARGE(A$3:A1099,1))</f>
        <v>#NUM!</v>
      </c>
      <c r="B1100" s="762">
        <f t="shared" ca="1" si="255"/>
        <v>14</v>
      </c>
      <c r="C1100" s="762">
        <f t="shared" ca="1" si="256"/>
        <v>5</v>
      </c>
      <c r="D1100" s="763">
        <f t="shared" ca="1" si="257"/>
        <v>2</v>
      </c>
      <c r="E1100" s="763">
        <f t="shared" ca="1" si="258"/>
        <v>3</v>
      </c>
      <c r="G1100" s="628"/>
      <c r="H1100" s="766" t="s">
        <v>368</v>
      </c>
      <c r="I1100" s="629" t="str">
        <f t="shared" ca="1" si="259"/>
        <v>14.005.002.003</v>
      </c>
      <c r="J1100" s="654" t="s">
        <v>858</v>
      </c>
      <c r="K1100" s="630" t="s">
        <v>1</v>
      </c>
      <c r="L1100" s="631">
        <v>535.61</v>
      </c>
      <c r="M1100" s="631">
        <f>VLOOKUP(J1100,Preços!$C$7:$F$498,4,FALSE)</f>
        <v>14.4375</v>
      </c>
      <c r="N1100" s="646">
        <f>L1100*M1100</f>
        <v>7732.8693750000002</v>
      </c>
      <c r="O1100" s="767"/>
      <c r="P1100" s="632" t="s">
        <v>333</v>
      </c>
      <c r="R1100" s="742"/>
      <c r="S1100" s="742"/>
    </row>
    <row r="1101" spans="1:19" s="761" customFormat="1" ht="22.5" hidden="1" outlineLevel="3" x14ac:dyDescent="0.2">
      <c r="A1101" s="762" t="e">
        <f ca="1">IF($H1101="UNIDADE CONSTRUTIVA",OFFSET(A1101,-1,0)+1,LARGE(A$3:A1100,1))</f>
        <v>#NUM!</v>
      </c>
      <c r="B1101" s="762">
        <f t="shared" ca="1" si="255"/>
        <v>14</v>
      </c>
      <c r="C1101" s="762">
        <f t="shared" ca="1" si="256"/>
        <v>5</v>
      </c>
      <c r="D1101" s="763">
        <f t="shared" ca="1" si="257"/>
        <v>2</v>
      </c>
      <c r="E1101" s="763">
        <f t="shared" ca="1" si="258"/>
        <v>4</v>
      </c>
      <c r="G1101" s="628"/>
      <c r="H1101" s="766" t="s">
        <v>368</v>
      </c>
      <c r="I1101" s="629" t="str">
        <f t="shared" ca="1" si="259"/>
        <v>14.005.002.004</v>
      </c>
      <c r="J1101" s="654" t="s">
        <v>859</v>
      </c>
      <c r="K1101" s="630" t="s">
        <v>1</v>
      </c>
      <c r="L1101" s="631">
        <v>15.51</v>
      </c>
      <c r="M1101" s="631">
        <f>VLOOKUP(J1101,Preços!$C$7:$F$498,4,FALSE)</f>
        <v>12.311999999999999</v>
      </c>
      <c r="N1101" s="646">
        <f>L1101*M1101</f>
        <v>190.95911999999998</v>
      </c>
      <c r="O1101" s="767"/>
      <c r="P1101" s="632" t="s">
        <v>333</v>
      </c>
      <c r="R1101" s="742"/>
      <c r="S1101" s="742"/>
    </row>
    <row r="1102" spans="1:19" s="761" customFormat="1" hidden="1" outlineLevel="2" x14ac:dyDescent="0.2">
      <c r="A1102" s="762" t="e">
        <f ca="1">IF($H1102="UNIDADE CONSTRUTIVA",OFFSET(A1102,-1,0)+1,LARGE(A$3:A1101,1))</f>
        <v>#NUM!</v>
      </c>
      <c r="B1102" s="762">
        <f t="shared" ca="1" si="255"/>
        <v>14</v>
      </c>
      <c r="C1102" s="762">
        <f t="shared" ca="1" si="256"/>
        <v>5</v>
      </c>
      <c r="D1102" s="763">
        <f t="shared" ca="1" si="257"/>
        <v>3</v>
      </c>
      <c r="E1102" s="763">
        <f t="shared" ca="1" si="258"/>
        <v>0</v>
      </c>
      <c r="G1102" s="628"/>
      <c r="H1102" s="766" t="s">
        <v>367</v>
      </c>
      <c r="I1102" s="629" t="str">
        <f t="shared" ca="1" si="259"/>
        <v>14.005.003</v>
      </c>
      <c r="J1102" s="654" t="s">
        <v>233</v>
      </c>
      <c r="K1102" s="630"/>
      <c r="L1102" s="631"/>
      <c r="M1102" s="631"/>
      <c r="N1102" s="646">
        <f>SUM(N1103:N1105)</f>
        <v>3136.5677449999998</v>
      </c>
      <c r="O1102" s="767"/>
      <c r="P1102" s="632"/>
      <c r="R1102" s="742"/>
      <c r="S1102" s="742"/>
    </row>
    <row r="1103" spans="1:19" s="761" customFormat="1" ht="22.5" hidden="1" outlineLevel="3" x14ac:dyDescent="0.2">
      <c r="A1103" s="762" t="e">
        <f ca="1">IF($H1103="UNIDADE CONSTRUTIVA",OFFSET(A1103,-1,0)+1,LARGE(A$3:A1102,1))</f>
        <v>#NUM!</v>
      </c>
      <c r="B1103" s="762">
        <f t="shared" ca="1" si="255"/>
        <v>14</v>
      </c>
      <c r="C1103" s="762">
        <f t="shared" ca="1" si="256"/>
        <v>5</v>
      </c>
      <c r="D1103" s="763">
        <f t="shared" ca="1" si="257"/>
        <v>3</v>
      </c>
      <c r="E1103" s="763">
        <f t="shared" ca="1" si="258"/>
        <v>1</v>
      </c>
      <c r="G1103" s="628"/>
      <c r="H1103" s="766" t="s">
        <v>368</v>
      </c>
      <c r="I1103" s="629" t="str">
        <f t="shared" ca="1" si="259"/>
        <v>14.005.003.001</v>
      </c>
      <c r="J1103" s="654" t="s">
        <v>860</v>
      </c>
      <c r="K1103" s="630" t="s">
        <v>1</v>
      </c>
      <c r="L1103" s="631">
        <f>L868+L870</f>
        <v>235.85999999999999</v>
      </c>
      <c r="M1103" s="631">
        <f>VLOOKUP(J1103,Preços!$C$7:$F$498,4,FALSE)</f>
        <v>1.0880000000000001</v>
      </c>
      <c r="N1103" s="646">
        <f>L1103*M1103</f>
        <v>256.61568</v>
      </c>
      <c r="O1103" s="767"/>
      <c r="P1103" s="632" t="s">
        <v>333</v>
      </c>
      <c r="R1103" s="742"/>
      <c r="S1103" s="742"/>
    </row>
    <row r="1104" spans="1:19" s="761" customFormat="1" ht="22.5" hidden="1" outlineLevel="3" x14ac:dyDescent="0.2">
      <c r="A1104" s="762" t="e">
        <f ca="1">IF($H1104="UNIDADE CONSTRUTIVA",OFFSET(A1104,-1,0)+1,LARGE(A$3:A1103,1))</f>
        <v>#NUM!</v>
      </c>
      <c r="B1104" s="762">
        <f t="shared" ca="1" si="255"/>
        <v>14</v>
      </c>
      <c r="C1104" s="762">
        <f t="shared" ca="1" si="256"/>
        <v>5</v>
      </c>
      <c r="D1104" s="763">
        <f t="shared" ca="1" si="257"/>
        <v>3</v>
      </c>
      <c r="E1104" s="763">
        <f t="shared" ca="1" si="258"/>
        <v>2</v>
      </c>
      <c r="G1104" s="628"/>
      <c r="H1104" s="766" t="s">
        <v>368</v>
      </c>
      <c r="I1104" s="629" t="str">
        <f t="shared" ca="1" si="259"/>
        <v>14.005.003.002</v>
      </c>
      <c r="J1104" s="654" t="s">
        <v>861</v>
      </c>
      <c r="K1104" s="630" t="s">
        <v>1</v>
      </c>
      <c r="L1104" s="631">
        <f>L870</f>
        <v>193.76</v>
      </c>
      <c r="M1104" s="631">
        <f>VLOOKUP(J1104,Preços!$C$7:$F$498,4,FALSE)</f>
        <v>2.6949999999999998</v>
      </c>
      <c r="N1104" s="646">
        <f>L1104*M1104</f>
        <v>522.18319999999994</v>
      </c>
      <c r="O1104" s="767"/>
      <c r="P1104" s="632" t="s">
        <v>333</v>
      </c>
      <c r="R1104" s="742"/>
      <c r="S1104" s="742"/>
    </row>
    <row r="1105" spans="1:19" s="761" customFormat="1" ht="22.5" hidden="1" outlineLevel="3" x14ac:dyDescent="0.2">
      <c r="A1105" s="762" t="e">
        <f ca="1">IF($H1105="UNIDADE CONSTRUTIVA",OFFSET(A1105,-1,0)+1,LARGE(A$3:A1104,1))</f>
        <v>#NUM!</v>
      </c>
      <c r="B1105" s="762">
        <f t="shared" ca="1" si="255"/>
        <v>14</v>
      </c>
      <c r="C1105" s="762">
        <f t="shared" ca="1" si="256"/>
        <v>5</v>
      </c>
      <c r="D1105" s="763">
        <f t="shared" ca="1" si="257"/>
        <v>3</v>
      </c>
      <c r="E1105" s="763">
        <f t="shared" ca="1" si="258"/>
        <v>3</v>
      </c>
      <c r="G1105" s="628"/>
      <c r="H1105" s="766" t="s">
        <v>368</v>
      </c>
      <c r="I1105" s="629" t="str">
        <f t="shared" ca="1" si="259"/>
        <v>14.005.003.003</v>
      </c>
      <c r="J1105" s="654" t="s">
        <v>862</v>
      </c>
      <c r="K1105" s="630" t="s">
        <v>1</v>
      </c>
      <c r="L1105" s="631">
        <f>ARQ.!C426</f>
        <v>235.85</v>
      </c>
      <c r="M1105" s="631">
        <f>VLOOKUP(J1105,Preços!$C$7:$F$498,4,FALSE)</f>
        <v>9.9969000000000001</v>
      </c>
      <c r="N1105" s="646">
        <f>L1105*M1105</f>
        <v>2357.768865</v>
      </c>
      <c r="O1105" s="767"/>
      <c r="P1105" s="632" t="s">
        <v>333</v>
      </c>
      <c r="R1105" s="742"/>
      <c r="S1105" s="742"/>
    </row>
    <row r="1106" spans="1:19" s="761" customFormat="1" hidden="1" outlineLevel="2" x14ac:dyDescent="0.2">
      <c r="A1106" s="762" t="e">
        <f ca="1">IF($H1106="UNIDADE CONSTRUTIVA",OFFSET(A1106,-1,0)+1,LARGE(A$3:A1105,1))</f>
        <v>#NUM!</v>
      </c>
      <c r="B1106" s="762">
        <f t="shared" ca="1" si="255"/>
        <v>14</v>
      </c>
      <c r="C1106" s="762">
        <f t="shared" ca="1" si="256"/>
        <v>5</v>
      </c>
      <c r="D1106" s="763">
        <f t="shared" ca="1" si="257"/>
        <v>4</v>
      </c>
      <c r="E1106" s="763">
        <f t="shared" ca="1" si="258"/>
        <v>0</v>
      </c>
      <c r="G1106" s="628"/>
      <c r="H1106" s="766" t="s">
        <v>367</v>
      </c>
      <c r="I1106" s="629" t="str">
        <f t="shared" ca="1" si="259"/>
        <v>14.005.004</v>
      </c>
      <c r="J1106" s="654" t="s">
        <v>211</v>
      </c>
      <c r="K1106" s="630"/>
      <c r="L1106" s="631"/>
      <c r="M1106" s="631"/>
      <c r="N1106" s="646">
        <f>SUM(N1107:N1110)</f>
        <v>25010.764999999999</v>
      </c>
      <c r="O1106" s="767"/>
      <c r="P1106" s="632"/>
      <c r="R1106" s="742"/>
      <c r="S1106" s="742"/>
    </row>
    <row r="1107" spans="1:19" s="761" customFormat="1" ht="22.5" hidden="1" outlineLevel="3" x14ac:dyDescent="0.2">
      <c r="A1107" s="762" t="e">
        <f ca="1">IF($H1107="UNIDADE CONSTRUTIVA",OFFSET(A1107,-1,0)+1,LARGE(A$3:A1106,1))</f>
        <v>#NUM!</v>
      </c>
      <c r="B1107" s="762">
        <f t="shared" ca="1" si="255"/>
        <v>14</v>
      </c>
      <c r="C1107" s="762">
        <f t="shared" ca="1" si="256"/>
        <v>5</v>
      </c>
      <c r="D1107" s="763">
        <f t="shared" ca="1" si="257"/>
        <v>4</v>
      </c>
      <c r="E1107" s="763">
        <f t="shared" ca="1" si="258"/>
        <v>1</v>
      </c>
      <c r="G1107" s="628"/>
      <c r="H1107" s="766" t="s">
        <v>368</v>
      </c>
      <c r="I1107" s="629" t="str">
        <f t="shared" ca="1" si="259"/>
        <v>14.005.004.001</v>
      </c>
      <c r="J1107" s="654" t="s">
        <v>879</v>
      </c>
      <c r="K1107" s="630" t="s">
        <v>1</v>
      </c>
      <c r="L1107" s="631">
        <f>L1096</f>
        <v>28.05</v>
      </c>
      <c r="M1107" s="631">
        <f>VLOOKUP(J1107,Preços!$C$7:$F$498,4,FALSE)</f>
        <v>18.5</v>
      </c>
      <c r="N1107" s="646">
        <f>L1107*M1107</f>
        <v>518.92500000000007</v>
      </c>
      <c r="O1107" s="767"/>
      <c r="P1107" s="632" t="s">
        <v>333</v>
      </c>
      <c r="R1107" s="742"/>
      <c r="S1107" s="742"/>
    </row>
    <row r="1108" spans="1:19" s="761" customFormat="1" ht="22.5" hidden="1" outlineLevel="3" x14ac:dyDescent="0.2">
      <c r="A1108" s="762" t="e">
        <f ca="1">IF($H1108="UNIDADE CONSTRUTIVA",OFFSET(A1108,-1,0)+1,LARGE(A$3:A1107,1))</f>
        <v>#NUM!</v>
      </c>
      <c r="B1108" s="762">
        <f t="shared" ca="1" si="255"/>
        <v>14</v>
      </c>
      <c r="C1108" s="762">
        <f t="shared" ca="1" si="256"/>
        <v>5</v>
      </c>
      <c r="D1108" s="763">
        <f t="shared" ca="1" si="257"/>
        <v>4</v>
      </c>
      <c r="E1108" s="763">
        <f t="shared" ca="1" si="258"/>
        <v>2</v>
      </c>
      <c r="G1108" s="628"/>
      <c r="H1108" s="766" t="s">
        <v>368</v>
      </c>
      <c r="I1108" s="629" t="str">
        <f t="shared" ca="1" si="259"/>
        <v>14.005.004.002</v>
      </c>
      <c r="J1108" s="654" t="s">
        <v>1573</v>
      </c>
      <c r="K1108" s="630" t="s">
        <v>1</v>
      </c>
      <c r="L1108" s="631">
        <f>L1105-L1104</f>
        <v>42.09</v>
      </c>
      <c r="M1108" s="631">
        <f>VLOOKUP(J1108,Preços!$C$7:$F$498,4,FALSE)</f>
        <v>20</v>
      </c>
      <c r="N1108" s="646">
        <f>L1108*M1108</f>
        <v>841.80000000000007</v>
      </c>
      <c r="O1108" s="767"/>
      <c r="P1108" s="632" t="s">
        <v>333</v>
      </c>
      <c r="R1108" s="742"/>
      <c r="S1108" s="742"/>
    </row>
    <row r="1109" spans="1:19" s="761" customFormat="1" ht="22.5" hidden="1" outlineLevel="3" x14ac:dyDescent="0.2">
      <c r="A1109" s="762" t="e">
        <f ca="1">IF($H1109="UNIDADE CONSTRUTIVA",OFFSET(A1109,-1,0)+1,LARGE(A$3:A1107,1))</f>
        <v>#NUM!</v>
      </c>
      <c r="B1109" s="762">
        <f t="shared" ca="1" si="255"/>
        <v>14</v>
      </c>
      <c r="C1109" s="762">
        <f t="shared" ca="1" si="256"/>
        <v>5</v>
      </c>
      <c r="D1109" s="763">
        <f t="shared" ca="1" si="257"/>
        <v>4</v>
      </c>
      <c r="E1109" s="763">
        <f t="shared" ca="1" si="258"/>
        <v>3</v>
      </c>
      <c r="G1109" s="628"/>
      <c r="H1109" s="766" t="s">
        <v>368</v>
      </c>
      <c r="I1109" s="629" t="str">
        <f t="shared" ca="1" si="259"/>
        <v>14.005.004.003</v>
      </c>
      <c r="J1109" s="654" t="s">
        <v>1574</v>
      </c>
      <c r="K1109" s="630" t="s">
        <v>1</v>
      </c>
      <c r="L1109" s="631">
        <f>L1104+L1099</f>
        <v>729.37</v>
      </c>
      <c r="M1109" s="631">
        <f>VLOOKUP(J1109,Preços!$C$7:$F$498,4,FALSE)</f>
        <v>32</v>
      </c>
      <c r="N1109" s="646">
        <f>L1109*M1109</f>
        <v>23339.84</v>
      </c>
      <c r="O1109" s="767"/>
      <c r="P1109" s="632" t="s">
        <v>333</v>
      </c>
      <c r="R1109" s="742"/>
      <c r="S1109" s="742"/>
    </row>
    <row r="1110" spans="1:19" s="761" customFormat="1" ht="22.5" hidden="1" outlineLevel="3" x14ac:dyDescent="0.2">
      <c r="A1110" s="762" t="e">
        <f ca="1">IF($H1110="UNIDADE CONSTRUTIVA",OFFSET(A1110,-1,0)+1,LARGE(A$3:A1109,1))</f>
        <v>#NUM!</v>
      </c>
      <c r="B1110" s="762">
        <f t="shared" ca="1" si="255"/>
        <v>14</v>
      </c>
      <c r="C1110" s="762">
        <f t="shared" ca="1" si="256"/>
        <v>5</v>
      </c>
      <c r="D1110" s="763">
        <f t="shared" ca="1" si="257"/>
        <v>4</v>
      </c>
      <c r="E1110" s="763">
        <f t="shared" ca="1" si="258"/>
        <v>4</v>
      </c>
      <c r="G1110" s="628"/>
      <c r="H1110" s="766" t="s">
        <v>368</v>
      </c>
      <c r="I1110" s="629" t="str">
        <f t="shared" ca="1" si="259"/>
        <v>14.005.004.004</v>
      </c>
      <c r="J1110" s="654" t="s">
        <v>1575</v>
      </c>
      <c r="K1110" s="630" t="s">
        <v>1</v>
      </c>
      <c r="L1110" s="631">
        <f>L1101</f>
        <v>15.51</v>
      </c>
      <c r="M1110" s="631">
        <f>VLOOKUP(J1110,Preços!$C$7:$F$498,4,FALSE)</f>
        <v>20</v>
      </c>
      <c r="N1110" s="646">
        <f>L1110*M1110</f>
        <v>310.2</v>
      </c>
      <c r="O1110" s="767"/>
      <c r="P1110" s="632" t="s">
        <v>333</v>
      </c>
      <c r="R1110" s="742"/>
      <c r="S1110" s="742"/>
    </row>
    <row r="1111" spans="1:19" s="761" customFormat="1" hidden="1" outlineLevel="1" x14ac:dyDescent="0.2">
      <c r="A1111" s="762" t="e">
        <f ca="1">IF($H1111="UNIDADE CONSTRUTIVA",OFFSET(A1111,-1,0)+1,LARGE(A$3:A1013,1))</f>
        <v>#NUM!</v>
      </c>
      <c r="B1111" s="762">
        <f t="shared" ref="B1111:B1125" ca="1" si="260">IF(H1111="UNIDADE CONSTRUTIVA",0,IF(H1111="CÉLULA CONSTRUTIVA",OFFSET(B1111,-1,0)+1,OFFSET(B1111,-1,0)))</f>
        <v>14</v>
      </c>
      <c r="C1111" s="762">
        <f t="shared" ref="C1111:C1125" ca="1" si="261">IF(H1111="CÉLULA CONSTRUTIVA",0,IF(H1111="ETAPA",OFFSET(C1111,-1,0)+1,OFFSET(C1111,-1,0)))</f>
        <v>6</v>
      </c>
      <c r="D1111" s="763">
        <f t="shared" ref="D1111:D1125" ca="1" si="262">IF(H1111="ETAPA",0,IF(H1111="SUBETAPA",OFFSET(D1111,-1,0)+1,OFFSET(D1111,-1,0)))</f>
        <v>0</v>
      </c>
      <c r="E1111" s="763">
        <f t="shared" ref="E1111:E1125" ca="1" si="263">IF(H1111="Subetapa",0,IF(H1111="serviço",OFFSET(E1111,-1,0)+1,OFFSET(E1111,-1,0)))</f>
        <v>4</v>
      </c>
      <c r="G1111" s="628"/>
      <c r="H1111" s="766" t="s">
        <v>366</v>
      </c>
      <c r="I1111" s="629" t="str">
        <f t="shared" ref="I1111:I1125" ca="1" si="264">IF(H1111="Unidade Construtiva",TEXT(A1111,"00"),IF(H1111="Célula Construtiva",TEXT(B1111,"00"),IF(H1111="Etapa",CONCATENATE(TEXT(B1111,"00"),".",TEXT(C1111,"000")),IF(H1111="Subetapa",CONCATENATE(TEXT(B1111,"00"),".",TEXT(C1111,"000"),".",TEXT(D1111,"000")),IF(H1111="Serviço",CONCATENATE(TEXT(B1111,"00"),".",TEXT(C1111,"000"),".",TEXT(D1111,"000"),".",TEXT(E1111,"000")),"")))))</f>
        <v>14.006</v>
      </c>
      <c r="J1111" s="654" t="s">
        <v>871</v>
      </c>
      <c r="K1111" s="630"/>
      <c r="L1111" s="631"/>
      <c r="M1111" s="631"/>
      <c r="N1111" s="646">
        <f ca="1">SUM(N1122,N1118,N1114,N1112)</f>
        <v>744464.70541699999</v>
      </c>
      <c r="O1111" s="767"/>
      <c r="P1111" s="632"/>
      <c r="R1111" s="742"/>
      <c r="S1111" s="742"/>
    </row>
    <row r="1112" spans="1:19" s="761" customFormat="1" hidden="1" outlineLevel="2" x14ac:dyDescent="0.2">
      <c r="A1112" s="762" t="e">
        <f ca="1">IF($H1112="UNIDADE CONSTRUTIVA",OFFSET(A1112,-1,0)+1,LARGE(A$3:A1111,1))</f>
        <v>#NUM!</v>
      </c>
      <c r="B1112" s="762">
        <f t="shared" ca="1" si="260"/>
        <v>14</v>
      </c>
      <c r="C1112" s="762">
        <f t="shared" ca="1" si="261"/>
        <v>6</v>
      </c>
      <c r="D1112" s="763">
        <f t="shared" ca="1" si="262"/>
        <v>1</v>
      </c>
      <c r="E1112" s="763">
        <f t="shared" ca="1" si="263"/>
        <v>0</v>
      </c>
      <c r="G1112" s="628"/>
      <c r="H1112" s="766" t="s">
        <v>367</v>
      </c>
      <c r="I1112" s="629" t="str">
        <f t="shared" ca="1" si="264"/>
        <v>14.006.001</v>
      </c>
      <c r="J1112" s="654" t="s">
        <v>231</v>
      </c>
      <c r="K1112" s="630"/>
      <c r="L1112" s="631"/>
      <c r="M1112" s="631"/>
      <c r="N1112" s="646">
        <f ca="1">SUM(N1113)</f>
        <v>4046.2320000000004</v>
      </c>
      <c r="O1112" s="767"/>
      <c r="P1112" s="632"/>
      <c r="R1112" s="742"/>
      <c r="S1112" s="742"/>
    </row>
    <row r="1113" spans="1:19" s="761" customFormat="1" ht="22.5" hidden="1" outlineLevel="3" x14ac:dyDescent="0.2">
      <c r="A1113" s="762" t="e">
        <f ca="1">IF($H1113="UNIDADE CONSTRUTIVA",OFFSET(A1113,-1,0)+1,LARGE(A$3:A1112,1))</f>
        <v>#NUM!</v>
      </c>
      <c r="B1113" s="762">
        <f t="shared" ca="1" si="260"/>
        <v>14</v>
      </c>
      <c r="C1113" s="762">
        <f t="shared" ca="1" si="261"/>
        <v>6</v>
      </c>
      <c r="D1113" s="763">
        <f t="shared" ca="1" si="262"/>
        <v>1</v>
      </c>
      <c r="E1113" s="763">
        <f t="shared" ca="1" si="263"/>
        <v>1</v>
      </c>
      <c r="G1113" s="628"/>
      <c r="H1113" s="766" t="s">
        <v>368</v>
      </c>
      <c r="I1113" s="629" t="str">
        <f t="shared" ca="1" si="264"/>
        <v>14.006.001.001</v>
      </c>
      <c r="J1113" s="654" t="s">
        <v>1572</v>
      </c>
      <c r="K1113" s="630" t="s">
        <v>1</v>
      </c>
      <c r="L1113" s="631">
        <f ca="1">SUM(ARQ.!D530:D532)</f>
        <v>636.20000000000005</v>
      </c>
      <c r="M1113" s="631">
        <f>VLOOKUP(J1113,Preços!$C$7:$F$498,4,FALSE)</f>
        <v>6.36</v>
      </c>
      <c r="N1113" s="646">
        <f ca="1">L1113*M1113</f>
        <v>4046.2320000000004</v>
      </c>
      <c r="O1113" s="767"/>
      <c r="P1113" s="632" t="s">
        <v>333</v>
      </c>
      <c r="R1113" s="742"/>
      <c r="S1113" s="742"/>
    </row>
    <row r="1114" spans="1:19" s="761" customFormat="1" hidden="1" outlineLevel="2" x14ac:dyDescent="0.2">
      <c r="A1114" s="762" t="e">
        <f ca="1">IF($H1114="UNIDADE CONSTRUTIVA",OFFSET(A1114,-1,0)+1,LARGE(A$3:A1113,1))</f>
        <v>#NUM!</v>
      </c>
      <c r="B1114" s="762">
        <f t="shared" ca="1" si="260"/>
        <v>14</v>
      </c>
      <c r="C1114" s="762">
        <f t="shared" ca="1" si="261"/>
        <v>6</v>
      </c>
      <c r="D1114" s="763">
        <f t="shared" ca="1" si="262"/>
        <v>2</v>
      </c>
      <c r="E1114" s="763">
        <f t="shared" ca="1" si="263"/>
        <v>0</v>
      </c>
      <c r="G1114" s="628"/>
      <c r="H1114" s="766" t="s">
        <v>367</v>
      </c>
      <c r="I1114" s="629" t="str">
        <f t="shared" ca="1" si="264"/>
        <v>14.006.002</v>
      </c>
      <c r="J1114" s="654" t="s">
        <v>232</v>
      </c>
      <c r="K1114" s="630"/>
      <c r="L1114" s="631"/>
      <c r="M1114" s="631"/>
      <c r="N1114" s="646">
        <f>SUM(N1115:N1117)</f>
        <v>193526.12546999997</v>
      </c>
      <c r="O1114" s="767"/>
      <c r="P1114" s="632"/>
      <c r="R1114" s="742"/>
      <c r="S1114" s="742"/>
    </row>
    <row r="1115" spans="1:19" s="761" customFormat="1" ht="22.5" hidden="1" outlineLevel="3" x14ac:dyDescent="0.2">
      <c r="A1115" s="762" t="e">
        <f ca="1">IF($H1115="UNIDADE CONSTRUTIVA",OFFSET(A1115,-1,0)+1,LARGE(A$3:A1114,1))</f>
        <v>#NUM!</v>
      </c>
      <c r="B1115" s="762">
        <f t="shared" ca="1" si="260"/>
        <v>14</v>
      </c>
      <c r="C1115" s="762">
        <f t="shared" ca="1" si="261"/>
        <v>6</v>
      </c>
      <c r="D1115" s="763">
        <f t="shared" ca="1" si="262"/>
        <v>2</v>
      </c>
      <c r="E1115" s="763">
        <f t="shared" ca="1" si="263"/>
        <v>1</v>
      </c>
      <c r="G1115" s="628"/>
      <c r="H1115" s="766" t="s">
        <v>368</v>
      </c>
      <c r="I1115" s="629" t="str">
        <f t="shared" ca="1" si="264"/>
        <v>14.006.002.001</v>
      </c>
      <c r="J1115" s="654" t="s">
        <v>856</v>
      </c>
      <c r="K1115" s="630" t="s">
        <v>1</v>
      </c>
      <c r="L1115" s="631">
        <f>L1117</f>
        <v>10621.339999999998</v>
      </c>
      <c r="M1115" s="631">
        <f>VLOOKUP(J1115,Preços!$C$7:$F$498,4,FALSE)</f>
        <v>1.0880000000000001</v>
      </c>
      <c r="N1115" s="646">
        <f>L1115*M1115</f>
        <v>11556.017919999998</v>
      </c>
      <c r="O1115" s="767"/>
      <c r="P1115" s="632" t="s">
        <v>333</v>
      </c>
      <c r="R1115" s="742"/>
      <c r="S1115" s="742"/>
    </row>
    <row r="1116" spans="1:19" s="761" customFormat="1" ht="22.5" hidden="1" outlineLevel="3" x14ac:dyDescent="0.2">
      <c r="A1116" s="762" t="e">
        <f ca="1">IF($H1116="UNIDADE CONSTRUTIVA",OFFSET(A1116,-1,0)+1,LARGE(A$3:A1115,1))</f>
        <v>#NUM!</v>
      </c>
      <c r="B1116" s="762">
        <f t="shared" ca="1" si="260"/>
        <v>14</v>
      </c>
      <c r="C1116" s="762">
        <f t="shared" ca="1" si="261"/>
        <v>6</v>
      </c>
      <c r="D1116" s="763">
        <f t="shared" ca="1" si="262"/>
        <v>2</v>
      </c>
      <c r="E1116" s="763">
        <f t="shared" ca="1" si="263"/>
        <v>2</v>
      </c>
      <c r="G1116" s="628"/>
      <c r="H1116" s="766" t="s">
        <v>368</v>
      </c>
      <c r="I1116" s="629" t="str">
        <f t="shared" ca="1" si="264"/>
        <v>14.006.002.002</v>
      </c>
      <c r="J1116" s="654" t="s">
        <v>857</v>
      </c>
      <c r="K1116" s="630" t="s">
        <v>1</v>
      </c>
      <c r="L1116" s="631">
        <f>L1117</f>
        <v>10621.339999999998</v>
      </c>
      <c r="M1116" s="631">
        <f>VLOOKUP(J1116,Preços!$C$7:$F$498,4,FALSE)</f>
        <v>2.6949999999999998</v>
      </c>
      <c r="N1116" s="646">
        <f>L1116*M1116</f>
        <v>28624.511299999995</v>
      </c>
      <c r="O1116" s="767"/>
      <c r="P1116" s="632" t="s">
        <v>333</v>
      </c>
      <c r="R1116" s="742"/>
      <c r="S1116" s="742"/>
    </row>
    <row r="1117" spans="1:19" s="761" customFormat="1" ht="22.5" hidden="1" outlineLevel="3" x14ac:dyDescent="0.2">
      <c r="A1117" s="762" t="e">
        <f ca="1">IF($H1117="UNIDADE CONSTRUTIVA",OFFSET(A1117,-1,0)+1,LARGE(A$3:A1116,1))</f>
        <v>#NUM!</v>
      </c>
      <c r="B1117" s="762">
        <f t="shared" ca="1" si="260"/>
        <v>14</v>
      </c>
      <c r="C1117" s="762">
        <f t="shared" ca="1" si="261"/>
        <v>6</v>
      </c>
      <c r="D1117" s="763">
        <f t="shared" ca="1" si="262"/>
        <v>2</v>
      </c>
      <c r="E1117" s="763">
        <f t="shared" ca="1" si="263"/>
        <v>3</v>
      </c>
      <c r="G1117" s="628"/>
      <c r="H1117" s="766" t="s">
        <v>368</v>
      </c>
      <c r="I1117" s="629" t="str">
        <f t="shared" ca="1" si="264"/>
        <v>14.006.002.003</v>
      </c>
      <c r="J1117" s="654" t="s">
        <v>858</v>
      </c>
      <c r="K1117" s="630" t="s">
        <v>1</v>
      </c>
      <c r="L1117" s="631">
        <v>10621.339999999998</v>
      </c>
      <c r="M1117" s="631">
        <f>VLOOKUP(J1117,Preços!$C$7:$F$498,4,FALSE)</f>
        <v>14.4375</v>
      </c>
      <c r="N1117" s="646">
        <f>L1117*M1117</f>
        <v>153345.59624999997</v>
      </c>
      <c r="O1117" s="767"/>
      <c r="P1117" s="632" t="s">
        <v>333</v>
      </c>
      <c r="R1117" s="742"/>
      <c r="S1117" s="742"/>
    </row>
    <row r="1118" spans="1:19" s="761" customFormat="1" hidden="1" outlineLevel="2" x14ac:dyDescent="0.2">
      <c r="A1118" s="762" t="e">
        <f ca="1">IF($H1118="UNIDADE CONSTRUTIVA",OFFSET(A1118,-1,0)+1,LARGE(A$3:A1117,1))</f>
        <v>#NUM!</v>
      </c>
      <c r="B1118" s="762">
        <f t="shared" ca="1" si="260"/>
        <v>14</v>
      </c>
      <c r="C1118" s="762">
        <f t="shared" ca="1" si="261"/>
        <v>6</v>
      </c>
      <c r="D1118" s="763">
        <f t="shared" ca="1" si="262"/>
        <v>3</v>
      </c>
      <c r="E1118" s="763">
        <f t="shared" ca="1" si="263"/>
        <v>0</v>
      </c>
      <c r="G1118" s="628"/>
      <c r="H1118" s="766" t="s">
        <v>367</v>
      </c>
      <c r="I1118" s="629" t="str">
        <f t="shared" ca="1" si="264"/>
        <v>14.006.003</v>
      </c>
      <c r="J1118" s="654" t="s">
        <v>233</v>
      </c>
      <c r="K1118" s="630"/>
      <c r="L1118" s="631"/>
      <c r="M1118" s="631"/>
      <c r="N1118" s="646">
        <f ca="1">SUM(N1119:N1121)</f>
        <v>60058.807947000023</v>
      </c>
      <c r="O1118" s="767"/>
      <c r="P1118" s="632"/>
      <c r="R1118" s="742"/>
      <c r="S1118" s="742"/>
    </row>
    <row r="1119" spans="1:19" s="761" customFormat="1" ht="22.5" hidden="1" outlineLevel="3" x14ac:dyDescent="0.2">
      <c r="A1119" s="762" t="e">
        <f ca="1">IF($H1119="UNIDADE CONSTRUTIVA",OFFSET(A1119,-1,0)+1,LARGE(A$3:A1118,1))</f>
        <v>#NUM!</v>
      </c>
      <c r="B1119" s="762">
        <f t="shared" ca="1" si="260"/>
        <v>14</v>
      </c>
      <c r="C1119" s="762">
        <f t="shared" ca="1" si="261"/>
        <v>6</v>
      </c>
      <c r="D1119" s="763">
        <f t="shared" ca="1" si="262"/>
        <v>3</v>
      </c>
      <c r="E1119" s="763">
        <f t="shared" ca="1" si="263"/>
        <v>1</v>
      </c>
      <c r="G1119" s="628"/>
      <c r="H1119" s="766" t="s">
        <v>368</v>
      </c>
      <c r="I1119" s="629" t="str">
        <f t="shared" ca="1" si="264"/>
        <v>14.006.003.001</v>
      </c>
      <c r="J1119" s="654" t="s">
        <v>860</v>
      </c>
      <c r="K1119" s="630" t="s">
        <v>1</v>
      </c>
      <c r="L1119" s="631">
        <f ca="1">L876+L878</f>
        <v>4504.5300000000016</v>
      </c>
      <c r="M1119" s="631">
        <f>VLOOKUP(J1119,Preços!$C$7:$F$498,4,FALSE)</f>
        <v>1.0880000000000001</v>
      </c>
      <c r="N1119" s="646">
        <f ca="1">L1119*M1119</f>
        <v>4900.9286400000019</v>
      </c>
      <c r="O1119" s="767"/>
      <c r="P1119" s="632" t="s">
        <v>333</v>
      </c>
      <c r="R1119" s="742"/>
      <c r="S1119" s="742"/>
    </row>
    <row r="1120" spans="1:19" s="761" customFormat="1" ht="22.5" hidden="1" outlineLevel="3" x14ac:dyDescent="0.2">
      <c r="A1120" s="762" t="e">
        <f ca="1">IF($H1120="UNIDADE CONSTRUTIVA",OFFSET(A1120,-1,0)+1,LARGE(A$3:A1119,1))</f>
        <v>#NUM!</v>
      </c>
      <c r="B1120" s="762">
        <f t="shared" ca="1" si="260"/>
        <v>14</v>
      </c>
      <c r="C1120" s="762">
        <f t="shared" ca="1" si="261"/>
        <v>6</v>
      </c>
      <c r="D1120" s="763">
        <f t="shared" ca="1" si="262"/>
        <v>3</v>
      </c>
      <c r="E1120" s="763">
        <f t="shared" ca="1" si="263"/>
        <v>2</v>
      </c>
      <c r="G1120" s="628"/>
      <c r="H1120" s="766" t="s">
        <v>368</v>
      </c>
      <c r="I1120" s="629" t="str">
        <f t="shared" ca="1" si="264"/>
        <v>14.006.003.002</v>
      </c>
      <c r="J1120" s="654" t="s">
        <v>861</v>
      </c>
      <c r="K1120" s="630" t="s">
        <v>1</v>
      </c>
      <c r="L1120" s="631">
        <f ca="1">L878</f>
        <v>3757.5300000000016</v>
      </c>
      <c r="M1120" s="631">
        <f>VLOOKUP(J1120,Preços!$C$7:$F$498,4,FALSE)</f>
        <v>2.6949999999999998</v>
      </c>
      <c r="N1120" s="646">
        <f ca="1">L1120*M1120</f>
        <v>10126.543350000004</v>
      </c>
      <c r="O1120" s="767"/>
      <c r="P1120" s="632" t="s">
        <v>333</v>
      </c>
      <c r="R1120" s="742"/>
      <c r="S1120" s="742"/>
    </row>
    <row r="1121" spans="1:19" s="761" customFormat="1" ht="22.5" hidden="1" outlineLevel="3" x14ac:dyDescent="0.2">
      <c r="A1121" s="762" t="e">
        <f ca="1">IF($H1121="UNIDADE CONSTRUTIVA",OFFSET(A1121,-1,0)+1,LARGE(A$3:A1120,1))</f>
        <v>#NUM!</v>
      </c>
      <c r="B1121" s="762">
        <f t="shared" ca="1" si="260"/>
        <v>14</v>
      </c>
      <c r="C1121" s="762">
        <f t="shared" ca="1" si="261"/>
        <v>6</v>
      </c>
      <c r="D1121" s="763">
        <f t="shared" ca="1" si="262"/>
        <v>3</v>
      </c>
      <c r="E1121" s="763">
        <f t="shared" ca="1" si="263"/>
        <v>3</v>
      </c>
      <c r="G1121" s="628"/>
      <c r="H1121" s="766" t="s">
        <v>368</v>
      </c>
      <c r="I1121" s="629" t="str">
        <f t="shared" ca="1" si="264"/>
        <v>14.006.003.003</v>
      </c>
      <c r="J1121" s="654" t="s">
        <v>862</v>
      </c>
      <c r="K1121" s="630" t="s">
        <v>1</v>
      </c>
      <c r="L1121" s="631">
        <f ca="1">L876+L878</f>
        <v>4504.5300000000016</v>
      </c>
      <c r="M1121" s="631">
        <f>VLOOKUP(J1121,Preços!$C$7:$F$498,4,FALSE)</f>
        <v>9.9969000000000001</v>
      </c>
      <c r="N1121" s="646">
        <f ca="1">L1121*M1121</f>
        <v>45031.335957000018</v>
      </c>
      <c r="O1121" s="767"/>
      <c r="P1121" s="632" t="s">
        <v>333</v>
      </c>
      <c r="R1121" s="742"/>
      <c r="S1121" s="742"/>
    </row>
    <row r="1122" spans="1:19" s="761" customFormat="1" hidden="1" outlineLevel="2" x14ac:dyDescent="0.2">
      <c r="A1122" s="762" t="e">
        <f ca="1">IF($H1122="UNIDADE CONSTRUTIVA",OFFSET(A1122,-1,0)+1,LARGE(A$3:A1121,1))</f>
        <v>#NUM!</v>
      </c>
      <c r="B1122" s="762">
        <f t="shared" ca="1" si="260"/>
        <v>14</v>
      </c>
      <c r="C1122" s="762">
        <f t="shared" ca="1" si="261"/>
        <v>6</v>
      </c>
      <c r="D1122" s="763">
        <f t="shared" ca="1" si="262"/>
        <v>4</v>
      </c>
      <c r="E1122" s="763">
        <f t="shared" ca="1" si="263"/>
        <v>0</v>
      </c>
      <c r="G1122" s="628"/>
      <c r="H1122" s="766" t="s">
        <v>367</v>
      </c>
      <c r="I1122" s="629" t="str">
        <f t="shared" ca="1" si="264"/>
        <v>14.006.004</v>
      </c>
      <c r="J1122" s="654" t="s">
        <v>211</v>
      </c>
      <c r="K1122" s="630"/>
      <c r="L1122" s="631"/>
      <c r="M1122" s="631"/>
      <c r="N1122" s="646">
        <f ca="1">SUM(N1123:N1125)</f>
        <v>486833.54</v>
      </c>
      <c r="O1122" s="767"/>
      <c r="P1122" s="632"/>
      <c r="R1122" s="742"/>
      <c r="S1122" s="742"/>
    </row>
    <row r="1123" spans="1:19" s="761" customFormat="1" ht="22.5" hidden="1" outlineLevel="3" x14ac:dyDescent="0.2">
      <c r="A1123" s="762" t="e">
        <f ca="1">IF($H1123="UNIDADE CONSTRUTIVA",OFFSET(A1123,-1,0)+1,LARGE(A$3:A1122,1))</f>
        <v>#NUM!</v>
      </c>
      <c r="B1123" s="762">
        <f t="shared" ca="1" si="260"/>
        <v>14</v>
      </c>
      <c r="C1123" s="762">
        <f t="shared" ca="1" si="261"/>
        <v>6</v>
      </c>
      <c r="D1123" s="763">
        <f t="shared" ca="1" si="262"/>
        <v>4</v>
      </c>
      <c r="E1123" s="763">
        <f t="shared" ca="1" si="263"/>
        <v>1</v>
      </c>
      <c r="G1123" s="628"/>
      <c r="H1123" s="766" t="s">
        <v>368</v>
      </c>
      <c r="I1123" s="629" t="str">
        <f t="shared" ca="1" si="264"/>
        <v>14.006.004.001</v>
      </c>
      <c r="J1123" s="654" t="s">
        <v>879</v>
      </c>
      <c r="K1123" s="630" t="s">
        <v>1</v>
      </c>
      <c r="L1123" s="631">
        <f ca="1">L1113</f>
        <v>636.20000000000005</v>
      </c>
      <c r="M1123" s="631">
        <f>VLOOKUP(J1123,Preços!$C$7:$F$498,4,FALSE)</f>
        <v>18.5</v>
      </c>
      <c r="N1123" s="646">
        <f ca="1">L1123*M1123</f>
        <v>11769.7</v>
      </c>
      <c r="O1123" s="767"/>
      <c r="P1123" s="632" t="s">
        <v>333</v>
      </c>
      <c r="R1123" s="742"/>
      <c r="S1123" s="742"/>
    </row>
    <row r="1124" spans="1:19" s="761" customFormat="1" ht="22.5" hidden="1" outlineLevel="3" x14ac:dyDescent="0.2">
      <c r="A1124" s="762" t="e">
        <f ca="1">IF($H1124="UNIDADE CONSTRUTIVA",OFFSET(A1124,-1,0)+1,LARGE(A$3:A1123,1))</f>
        <v>#NUM!</v>
      </c>
      <c r="B1124" s="762">
        <f t="shared" ca="1" si="260"/>
        <v>14</v>
      </c>
      <c r="C1124" s="762">
        <f t="shared" ca="1" si="261"/>
        <v>6</v>
      </c>
      <c r="D1124" s="763">
        <f t="shared" ca="1" si="262"/>
        <v>4</v>
      </c>
      <c r="E1124" s="763">
        <f t="shared" ca="1" si="263"/>
        <v>2</v>
      </c>
      <c r="G1124" s="628"/>
      <c r="H1124" s="766" t="s">
        <v>368</v>
      </c>
      <c r="I1124" s="629" t="str">
        <f t="shared" ca="1" si="264"/>
        <v>14.006.004.002</v>
      </c>
      <c r="J1124" s="654" t="s">
        <v>1573</v>
      </c>
      <c r="K1124" s="630" t="s">
        <v>1</v>
      </c>
      <c r="L1124" s="631">
        <f ca="1">L1121-L1120</f>
        <v>747</v>
      </c>
      <c r="M1124" s="631">
        <f>VLOOKUP(J1124,Preços!$C$7:$F$498,4,FALSE)</f>
        <v>20</v>
      </c>
      <c r="N1124" s="646">
        <f ca="1">L1124*M1124</f>
        <v>14940</v>
      </c>
      <c r="O1124" s="767"/>
      <c r="P1124" s="632" t="s">
        <v>333</v>
      </c>
      <c r="R1124" s="742"/>
      <c r="S1124" s="742"/>
    </row>
    <row r="1125" spans="1:19" s="761" customFormat="1" ht="22.5" hidden="1" outlineLevel="3" x14ac:dyDescent="0.2">
      <c r="A1125" s="762" t="e">
        <f ca="1">IF($H1125="UNIDADE CONSTRUTIVA",OFFSET(A1125,-1,0)+1,LARGE(A$3:A1124,1))</f>
        <v>#NUM!</v>
      </c>
      <c r="B1125" s="762">
        <f t="shared" ca="1" si="260"/>
        <v>14</v>
      </c>
      <c r="C1125" s="762">
        <f t="shared" ca="1" si="261"/>
        <v>6</v>
      </c>
      <c r="D1125" s="763">
        <f t="shared" ca="1" si="262"/>
        <v>4</v>
      </c>
      <c r="E1125" s="763">
        <f t="shared" ca="1" si="263"/>
        <v>3</v>
      </c>
      <c r="G1125" s="628"/>
      <c r="H1125" s="766" t="s">
        <v>368</v>
      </c>
      <c r="I1125" s="629" t="str">
        <f t="shared" ca="1" si="264"/>
        <v>14.006.004.003</v>
      </c>
      <c r="J1125" s="654" t="s">
        <v>1574</v>
      </c>
      <c r="K1125" s="630" t="s">
        <v>1</v>
      </c>
      <c r="L1125" s="631">
        <f ca="1">L1120+L1116</f>
        <v>14378.869999999999</v>
      </c>
      <c r="M1125" s="631">
        <f>VLOOKUP(J1125,Preços!$C$7:$F$498,4,FALSE)</f>
        <v>32</v>
      </c>
      <c r="N1125" s="646">
        <f ca="1">L1125*M1125</f>
        <v>460123.83999999997</v>
      </c>
      <c r="O1125" s="767"/>
      <c r="P1125" s="632" t="s">
        <v>333</v>
      </c>
      <c r="R1125" s="742"/>
      <c r="S1125" s="742"/>
    </row>
    <row r="1126" spans="1:19" s="761" customFormat="1" hidden="1" outlineLevel="1" x14ac:dyDescent="0.2">
      <c r="A1126" s="762" t="e">
        <f ca="1">IF($H1126="UNIDADE CONSTRUTIVA",OFFSET(A1126,-1,0)+1,LARGE(A$3:A1033,1))</f>
        <v>#NUM!</v>
      </c>
      <c r="B1126" s="762">
        <f ca="1">IF(H1126="UNIDADE CONSTRUTIVA",0,IF(H1126="CÉLULA CONSTRUTIVA",OFFSET(B1126,-1,0)+1,OFFSET(B1126,-1,0)))</f>
        <v>14</v>
      </c>
      <c r="C1126" s="762">
        <f ca="1">IF(H1126="CÉLULA CONSTRUTIVA",0,IF(H1126="ETAPA",OFFSET(C1126,-1,0)+1,OFFSET(C1126,-1,0)))</f>
        <v>7</v>
      </c>
      <c r="D1126" s="763">
        <f ca="1">IF(H1126="ETAPA",0,IF(H1126="SUBETAPA",OFFSET(D1126,-1,0)+1,OFFSET(D1126,-1,0)))</f>
        <v>0</v>
      </c>
      <c r="E1126" s="763">
        <f ca="1">IF(H1126="Subetapa",0,IF(H1126="serviço",OFFSET(E1126,-1,0)+1,OFFSET(E1126,-1,0)))</f>
        <v>3</v>
      </c>
      <c r="G1126" s="628"/>
      <c r="H1126" s="766" t="s">
        <v>366</v>
      </c>
      <c r="I1126" s="629" t="str">
        <f t="shared" ref="I1126:I1141" ca="1" si="265">IF(H1126="Unidade Construtiva",TEXT(A1126,"00"),IF(H1126="Célula Construtiva",TEXT(B1126,"00"),IF(H1126="Etapa",CONCATENATE(TEXT(B1126,"00"),".",TEXT(C1126,"000")),IF(H1126="Subetapa",CONCATENATE(TEXT(B1126,"00"),".",TEXT(C1126,"000"),".",TEXT(D1126,"000")),IF(H1126="Serviço",CONCATENATE(TEXT(B1126,"00"),".",TEXT(C1126,"000"),".",TEXT(D1126,"000"),".",TEXT(E1126,"000")),"")))))</f>
        <v>14.007</v>
      </c>
      <c r="J1126" s="654" t="s">
        <v>872</v>
      </c>
      <c r="K1126" s="630"/>
      <c r="L1126" s="631"/>
      <c r="M1126" s="631"/>
      <c r="N1126" s="646">
        <f>SUM(N1127,N1129,N1134,N1138,)</f>
        <v>13603.575184000001</v>
      </c>
      <c r="O1126" s="767"/>
      <c r="P1126" s="632"/>
      <c r="R1126" s="742"/>
      <c r="S1126" s="742"/>
    </row>
    <row r="1127" spans="1:19" s="761" customFormat="1" hidden="1" outlineLevel="2" x14ac:dyDescent="0.2">
      <c r="A1127" s="762" t="e">
        <f ca="1">IF($H1127="UNIDADE CONSTRUTIVA",OFFSET(A1127,-1,0)+1,LARGE(A$3:A1126,1))</f>
        <v>#NUM!</v>
      </c>
      <c r="B1127" s="762">
        <f ca="1">IF(H1127="UNIDADE CONSTRUTIVA",0,IF(H1127="CÉLULA CONSTRUTIVA",OFFSET(B1127,-1,0)+1,OFFSET(B1127,-1,0)))</f>
        <v>14</v>
      </c>
      <c r="C1127" s="762">
        <f ca="1">IF(H1127="CÉLULA CONSTRUTIVA",0,IF(H1127="ETAPA",OFFSET(C1127,-1,0)+1,OFFSET(C1127,-1,0)))</f>
        <v>7</v>
      </c>
      <c r="D1127" s="763">
        <f ca="1">IF(H1127="ETAPA",0,IF(H1127="SUBETAPA",OFFSET(D1127,-1,0)+1,OFFSET(D1127,-1,0)))</f>
        <v>1</v>
      </c>
      <c r="E1127" s="763">
        <f ca="1">IF(H1127="Subetapa",0,IF(H1127="serviço",OFFSET(E1127,-1,0)+1,OFFSET(E1127,-1,0)))</f>
        <v>0</v>
      </c>
      <c r="G1127" s="628"/>
      <c r="H1127" s="766" t="s">
        <v>367</v>
      </c>
      <c r="I1127" s="629" t="str">
        <f t="shared" ca="1" si="265"/>
        <v>14.007.001</v>
      </c>
      <c r="J1127" s="654" t="s">
        <v>231</v>
      </c>
      <c r="K1127" s="630"/>
      <c r="L1127" s="631"/>
      <c r="M1127" s="631"/>
      <c r="N1127" s="646">
        <f>SUM(N1128)</f>
        <v>208.5444</v>
      </c>
      <c r="O1127" s="767"/>
      <c r="P1127" s="632"/>
      <c r="R1127" s="742"/>
      <c r="S1127" s="742"/>
    </row>
    <row r="1128" spans="1:19" s="761" customFormat="1" ht="22.5" hidden="1" outlineLevel="3" x14ac:dyDescent="0.2">
      <c r="A1128" s="762" t="e">
        <f ca="1">IF($H1128="UNIDADE CONSTRUTIVA",OFFSET(A1128,-1,0)+1,LARGE(A$3:A1127,1))</f>
        <v>#NUM!</v>
      </c>
      <c r="B1128" s="762">
        <f t="shared" ref="B1128:B1142" ca="1" si="266">IF(H1128="UNIDADE CONSTRUTIVA",0,IF(H1128="CÉLULA CONSTRUTIVA",OFFSET(B1128,-1,0)+1,OFFSET(B1128,-1,0)))</f>
        <v>14</v>
      </c>
      <c r="C1128" s="762">
        <f t="shared" ref="C1128:C1142" ca="1" si="267">IF(H1128="CÉLULA CONSTRUTIVA",0,IF(H1128="ETAPA",OFFSET(C1128,-1,0)+1,OFFSET(C1128,-1,0)))</f>
        <v>7</v>
      </c>
      <c r="D1128" s="763">
        <f t="shared" ref="D1128:D1142" ca="1" si="268">IF(H1128="ETAPA",0,IF(H1128="SUBETAPA",OFFSET(D1128,-1,0)+1,OFFSET(D1128,-1,0)))</f>
        <v>1</v>
      </c>
      <c r="E1128" s="763">
        <f t="shared" ref="E1128:E1142" ca="1" si="269">IF(H1128="Subetapa",0,IF(H1128="serviço",OFFSET(E1128,-1,0)+1,OFFSET(E1128,-1,0)))</f>
        <v>1</v>
      </c>
      <c r="G1128" s="628"/>
      <c r="H1128" s="766" t="s">
        <v>368</v>
      </c>
      <c r="I1128" s="629" t="str">
        <f t="shared" ca="1" si="265"/>
        <v>14.007.001.001</v>
      </c>
      <c r="J1128" s="654" t="s">
        <v>1572</v>
      </c>
      <c r="K1128" s="630" t="s">
        <v>1</v>
      </c>
      <c r="L1128" s="631">
        <f>SUM(ARQ.!C2636:C2638)</f>
        <v>32.79</v>
      </c>
      <c r="M1128" s="631">
        <f>VLOOKUP(J1128,Preços!$C$7:$F$498,4,FALSE)</f>
        <v>6.36</v>
      </c>
      <c r="N1128" s="646">
        <f>L1128*M1128</f>
        <v>208.5444</v>
      </c>
      <c r="O1128" s="767"/>
      <c r="P1128" s="632" t="s">
        <v>333</v>
      </c>
      <c r="R1128" s="742"/>
      <c r="S1128" s="742"/>
    </row>
    <row r="1129" spans="1:19" s="761" customFormat="1" hidden="1" outlineLevel="2" x14ac:dyDescent="0.2">
      <c r="A1129" s="762" t="e">
        <f ca="1">IF($H1129="UNIDADE CONSTRUTIVA",OFFSET(A1129,-1,0)+1,LARGE(A$3:A1128,1))</f>
        <v>#NUM!</v>
      </c>
      <c r="B1129" s="762">
        <f t="shared" ca="1" si="266"/>
        <v>14</v>
      </c>
      <c r="C1129" s="762">
        <f t="shared" ca="1" si="267"/>
        <v>7</v>
      </c>
      <c r="D1129" s="763">
        <f t="shared" ca="1" si="268"/>
        <v>2</v>
      </c>
      <c r="E1129" s="763">
        <f t="shared" ca="1" si="269"/>
        <v>0</v>
      </c>
      <c r="G1129" s="628"/>
      <c r="H1129" s="766" t="s">
        <v>367</v>
      </c>
      <c r="I1129" s="629" t="str">
        <f t="shared" ca="1" si="265"/>
        <v>14.007.002</v>
      </c>
      <c r="J1129" s="654" t="s">
        <v>232</v>
      </c>
      <c r="K1129" s="630"/>
      <c r="L1129" s="631"/>
      <c r="M1129" s="631"/>
      <c r="N1129" s="646">
        <f>SUM(N1130:N1133)</f>
        <v>4293.1632950000003</v>
      </c>
      <c r="O1129" s="767"/>
      <c r="P1129" s="632"/>
      <c r="R1129" s="742"/>
      <c r="S1129" s="742"/>
    </row>
    <row r="1130" spans="1:19" s="761" customFormat="1" ht="22.5" hidden="1" outlineLevel="3" x14ac:dyDescent="0.2">
      <c r="A1130" s="762" t="e">
        <f ca="1">IF($H1130="UNIDADE CONSTRUTIVA",OFFSET(A1130,-1,0)+1,LARGE(A$3:A1129,1))</f>
        <v>#NUM!</v>
      </c>
      <c r="B1130" s="762">
        <f t="shared" ca="1" si="266"/>
        <v>14</v>
      </c>
      <c r="C1130" s="762">
        <f t="shared" ca="1" si="267"/>
        <v>7</v>
      </c>
      <c r="D1130" s="763">
        <f t="shared" ca="1" si="268"/>
        <v>2</v>
      </c>
      <c r="E1130" s="763">
        <f t="shared" ca="1" si="269"/>
        <v>1</v>
      </c>
      <c r="G1130" s="628"/>
      <c r="H1130" s="766" t="s">
        <v>368</v>
      </c>
      <c r="I1130" s="629" t="str">
        <f t="shared" ca="1" si="265"/>
        <v>14.007.002.001</v>
      </c>
      <c r="J1130" s="654" t="s">
        <v>856</v>
      </c>
      <c r="K1130" s="630" t="s">
        <v>1</v>
      </c>
      <c r="L1130" s="631">
        <f>L1132+L1133</f>
        <v>277.58000000000004</v>
      </c>
      <c r="M1130" s="631">
        <f>VLOOKUP(J1130,Preços!$C$7:$F$498,4,FALSE)</f>
        <v>1.0880000000000001</v>
      </c>
      <c r="N1130" s="646">
        <f>L1130*M1130</f>
        <v>302.00704000000007</v>
      </c>
      <c r="O1130" s="767"/>
      <c r="P1130" s="632" t="s">
        <v>333</v>
      </c>
      <c r="R1130" s="742"/>
      <c r="S1130" s="742"/>
    </row>
    <row r="1131" spans="1:19" s="761" customFormat="1" ht="22.5" hidden="1" outlineLevel="3" x14ac:dyDescent="0.2">
      <c r="A1131" s="762" t="e">
        <f ca="1">IF($H1131="UNIDADE CONSTRUTIVA",OFFSET(A1131,-1,0)+1,LARGE(A$3:A1130,1))</f>
        <v>#NUM!</v>
      </c>
      <c r="B1131" s="762">
        <f t="shared" ca="1" si="266"/>
        <v>14</v>
      </c>
      <c r="C1131" s="762">
        <f t="shared" ca="1" si="267"/>
        <v>7</v>
      </c>
      <c r="D1131" s="763">
        <f t="shared" ca="1" si="268"/>
        <v>2</v>
      </c>
      <c r="E1131" s="763">
        <f t="shared" ca="1" si="269"/>
        <v>2</v>
      </c>
      <c r="G1131" s="628"/>
      <c r="H1131" s="766" t="s">
        <v>368</v>
      </c>
      <c r="I1131" s="629" t="str">
        <f t="shared" ca="1" si="265"/>
        <v>14.007.002.002</v>
      </c>
      <c r="J1131" s="654" t="s">
        <v>857</v>
      </c>
      <c r="K1131" s="630" t="s">
        <v>1</v>
      </c>
      <c r="L1131" s="631">
        <f>L1132</f>
        <v>118.99000000000001</v>
      </c>
      <c r="M1131" s="631">
        <f>VLOOKUP(J1131,Preços!$C$7:$F$498,4,FALSE)</f>
        <v>2.6949999999999998</v>
      </c>
      <c r="N1131" s="646">
        <f>L1131*M1131</f>
        <v>320.67804999999998</v>
      </c>
      <c r="O1131" s="767"/>
      <c r="P1131" s="632" t="s">
        <v>333</v>
      </c>
      <c r="R1131" s="742"/>
      <c r="S1131" s="742"/>
    </row>
    <row r="1132" spans="1:19" s="761" customFormat="1" ht="22.5" hidden="1" outlineLevel="3" x14ac:dyDescent="0.2">
      <c r="A1132" s="762" t="e">
        <f ca="1">IF($H1132="UNIDADE CONSTRUTIVA",OFFSET(A1132,-1,0)+1,LARGE(A$3:A1131,1))</f>
        <v>#NUM!</v>
      </c>
      <c r="B1132" s="762">
        <f t="shared" ca="1" si="266"/>
        <v>14</v>
      </c>
      <c r="C1132" s="762">
        <f t="shared" ca="1" si="267"/>
        <v>7</v>
      </c>
      <c r="D1132" s="763">
        <f t="shared" ca="1" si="268"/>
        <v>2</v>
      </c>
      <c r="E1132" s="763">
        <f t="shared" ca="1" si="269"/>
        <v>3</v>
      </c>
      <c r="G1132" s="628"/>
      <c r="H1132" s="766" t="s">
        <v>368</v>
      </c>
      <c r="I1132" s="629" t="str">
        <f t="shared" ca="1" si="265"/>
        <v>14.007.002.003</v>
      </c>
      <c r="J1132" s="654" t="s">
        <v>858</v>
      </c>
      <c r="K1132" s="630" t="s">
        <v>1</v>
      </c>
      <c r="L1132" s="631">
        <v>118.99000000000001</v>
      </c>
      <c r="M1132" s="631">
        <f>VLOOKUP(J1132,Preços!$C$7:$F$498,4,FALSE)</f>
        <v>14.4375</v>
      </c>
      <c r="N1132" s="646">
        <f>L1132*M1132</f>
        <v>1717.9181250000001</v>
      </c>
      <c r="O1132" s="767"/>
      <c r="P1132" s="632" t="s">
        <v>333</v>
      </c>
      <c r="R1132" s="742"/>
      <c r="S1132" s="742"/>
    </row>
    <row r="1133" spans="1:19" s="761" customFormat="1" ht="22.5" hidden="1" outlineLevel="3" x14ac:dyDescent="0.2">
      <c r="A1133" s="762" t="e">
        <f ca="1">IF($H1133="UNIDADE CONSTRUTIVA",OFFSET(A1133,-1,0)+1,LARGE(A$3:A1132,1))</f>
        <v>#NUM!</v>
      </c>
      <c r="B1133" s="762">
        <f t="shared" ca="1" si="266"/>
        <v>14</v>
      </c>
      <c r="C1133" s="762">
        <f t="shared" ca="1" si="267"/>
        <v>7</v>
      </c>
      <c r="D1133" s="763">
        <f t="shared" ca="1" si="268"/>
        <v>2</v>
      </c>
      <c r="E1133" s="763">
        <f t="shared" ca="1" si="269"/>
        <v>4</v>
      </c>
      <c r="G1133" s="628"/>
      <c r="H1133" s="766" t="s">
        <v>368</v>
      </c>
      <c r="I1133" s="629" t="str">
        <f t="shared" ca="1" si="265"/>
        <v>14.007.002.004</v>
      </c>
      <c r="J1133" s="654" t="s">
        <v>859</v>
      </c>
      <c r="K1133" s="630" t="s">
        <v>1</v>
      </c>
      <c r="L1133" s="631">
        <v>158.59</v>
      </c>
      <c r="M1133" s="631">
        <f>VLOOKUP(J1133,Preços!$C$7:$F$498,4,FALSE)</f>
        <v>12.311999999999999</v>
      </c>
      <c r="N1133" s="646">
        <f>L1133*M1133</f>
        <v>1952.56008</v>
      </c>
      <c r="O1133" s="767"/>
      <c r="P1133" s="632" t="s">
        <v>333</v>
      </c>
      <c r="R1133" s="742"/>
      <c r="S1133" s="742"/>
    </row>
    <row r="1134" spans="1:19" s="761" customFormat="1" hidden="1" outlineLevel="2" x14ac:dyDescent="0.2">
      <c r="A1134" s="762" t="e">
        <f ca="1">IF($H1134="UNIDADE CONSTRUTIVA",OFFSET(A1134,-1,0)+1,LARGE(A$3:A1133,1))</f>
        <v>#NUM!</v>
      </c>
      <c r="B1134" s="762">
        <f t="shared" ca="1" si="266"/>
        <v>14</v>
      </c>
      <c r="C1134" s="762">
        <f t="shared" ca="1" si="267"/>
        <v>7</v>
      </c>
      <c r="D1134" s="763">
        <f t="shared" ca="1" si="268"/>
        <v>3</v>
      </c>
      <c r="E1134" s="763">
        <f t="shared" ca="1" si="269"/>
        <v>0</v>
      </c>
      <c r="G1134" s="628"/>
      <c r="H1134" s="766" t="s">
        <v>367</v>
      </c>
      <c r="I1134" s="629" t="str">
        <f t="shared" ca="1" si="265"/>
        <v>14.007.003</v>
      </c>
      <c r="J1134" s="654" t="s">
        <v>233</v>
      </c>
      <c r="K1134" s="630"/>
      <c r="L1134" s="631"/>
      <c r="M1134" s="631"/>
      <c r="N1134" s="646">
        <f>SUM(N1135:N1137)</f>
        <v>456.25248900000003</v>
      </c>
      <c r="O1134" s="767"/>
      <c r="P1134" s="632"/>
      <c r="R1134" s="742"/>
      <c r="S1134" s="742"/>
    </row>
    <row r="1135" spans="1:19" s="761" customFormat="1" ht="22.5" hidden="1" outlineLevel="3" x14ac:dyDescent="0.2">
      <c r="A1135" s="762" t="e">
        <f ca="1">IF($H1135="UNIDADE CONSTRUTIVA",OFFSET(A1135,-1,0)+1,LARGE(A$3:A1134,1))</f>
        <v>#NUM!</v>
      </c>
      <c r="B1135" s="762">
        <f t="shared" ca="1" si="266"/>
        <v>14</v>
      </c>
      <c r="C1135" s="762">
        <f t="shared" ca="1" si="267"/>
        <v>7</v>
      </c>
      <c r="D1135" s="763">
        <f t="shared" ca="1" si="268"/>
        <v>3</v>
      </c>
      <c r="E1135" s="763">
        <f t="shared" ca="1" si="269"/>
        <v>1</v>
      </c>
      <c r="G1135" s="628"/>
      <c r="H1135" s="766" t="s">
        <v>368</v>
      </c>
      <c r="I1135" s="629" t="str">
        <f t="shared" ca="1" si="265"/>
        <v>14.007.003.001</v>
      </c>
      <c r="J1135" s="654" t="s">
        <v>860</v>
      </c>
      <c r="K1135" s="630" t="s">
        <v>1</v>
      </c>
      <c r="L1135" s="631">
        <f>ARQ.!C2634</f>
        <v>33.11</v>
      </c>
      <c r="M1135" s="631">
        <f>VLOOKUP(J1135,Preços!$C$7:$F$498,4,FALSE)</f>
        <v>1.0880000000000001</v>
      </c>
      <c r="N1135" s="646">
        <f>L1135*M1135</f>
        <v>36.023679999999999</v>
      </c>
      <c r="O1135" s="767"/>
      <c r="P1135" s="632" t="s">
        <v>333</v>
      </c>
      <c r="R1135" s="742"/>
      <c r="S1135" s="742"/>
    </row>
    <row r="1136" spans="1:19" s="761" customFormat="1" ht="22.5" hidden="1" outlineLevel="3" x14ac:dyDescent="0.2">
      <c r="A1136" s="762" t="e">
        <f ca="1">IF($H1136="UNIDADE CONSTRUTIVA",OFFSET(A1136,-1,0)+1,LARGE(A$3:A1135,1))</f>
        <v>#NUM!</v>
      </c>
      <c r="B1136" s="762">
        <f t="shared" ca="1" si="266"/>
        <v>14</v>
      </c>
      <c r="C1136" s="762">
        <f t="shared" ca="1" si="267"/>
        <v>7</v>
      </c>
      <c r="D1136" s="763">
        <f t="shared" ca="1" si="268"/>
        <v>3</v>
      </c>
      <c r="E1136" s="763">
        <f t="shared" ca="1" si="269"/>
        <v>2</v>
      </c>
      <c r="G1136" s="628"/>
      <c r="H1136" s="766" t="s">
        <v>368</v>
      </c>
      <c r="I1136" s="629" t="str">
        <f t="shared" ca="1" si="265"/>
        <v>14.007.003.002</v>
      </c>
      <c r="J1136" s="654" t="s">
        <v>861</v>
      </c>
      <c r="K1136" s="630" t="s">
        <v>1</v>
      </c>
      <c r="L1136" s="631">
        <f>L1137</f>
        <v>33.11</v>
      </c>
      <c r="M1136" s="631">
        <f>VLOOKUP(J1136,Preços!$C$7:$F$498,4,FALSE)</f>
        <v>2.6949999999999998</v>
      </c>
      <c r="N1136" s="646">
        <f>L1136*M1136</f>
        <v>89.231449999999995</v>
      </c>
      <c r="O1136" s="767"/>
      <c r="P1136" s="632" t="s">
        <v>333</v>
      </c>
      <c r="R1136" s="742"/>
      <c r="S1136" s="742"/>
    </row>
    <row r="1137" spans="1:19" s="761" customFormat="1" ht="22.5" hidden="1" outlineLevel="3" x14ac:dyDescent="0.2">
      <c r="A1137" s="762" t="e">
        <f ca="1">IF($H1137="UNIDADE CONSTRUTIVA",OFFSET(A1137,-1,0)+1,LARGE(A$3:A1136,1))</f>
        <v>#NUM!</v>
      </c>
      <c r="B1137" s="762">
        <f t="shared" ca="1" si="266"/>
        <v>14</v>
      </c>
      <c r="C1137" s="762">
        <f t="shared" ca="1" si="267"/>
        <v>7</v>
      </c>
      <c r="D1137" s="763">
        <f t="shared" ca="1" si="268"/>
        <v>3</v>
      </c>
      <c r="E1137" s="763">
        <f t="shared" ca="1" si="269"/>
        <v>3</v>
      </c>
      <c r="G1137" s="628"/>
      <c r="H1137" s="766" t="s">
        <v>368</v>
      </c>
      <c r="I1137" s="629" t="str">
        <f t="shared" ca="1" si="265"/>
        <v>14.007.003.003</v>
      </c>
      <c r="J1137" s="654" t="s">
        <v>862</v>
      </c>
      <c r="K1137" s="630" t="s">
        <v>1</v>
      </c>
      <c r="L1137" s="631">
        <f>ARQ.!C2644</f>
        <v>33.11</v>
      </c>
      <c r="M1137" s="631">
        <f>VLOOKUP(J1137,Preços!$C$7:$F$498,4,FALSE)</f>
        <v>9.9969000000000001</v>
      </c>
      <c r="N1137" s="646">
        <f>L1137*M1137</f>
        <v>330.99735900000002</v>
      </c>
      <c r="O1137" s="767"/>
      <c r="P1137" s="632" t="s">
        <v>333</v>
      </c>
      <c r="R1137" s="742"/>
      <c r="S1137" s="742"/>
    </row>
    <row r="1138" spans="1:19" s="761" customFormat="1" hidden="1" outlineLevel="2" x14ac:dyDescent="0.2">
      <c r="A1138" s="762" t="e">
        <f ca="1">IF($H1138="UNIDADE CONSTRUTIVA",OFFSET(A1138,-1,0)+1,LARGE(A$3:A1137,1))</f>
        <v>#NUM!</v>
      </c>
      <c r="B1138" s="762">
        <f t="shared" ca="1" si="266"/>
        <v>14</v>
      </c>
      <c r="C1138" s="762">
        <f t="shared" ca="1" si="267"/>
        <v>7</v>
      </c>
      <c r="D1138" s="763">
        <f t="shared" ca="1" si="268"/>
        <v>4</v>
      </c>
      <c r="E1138" s="763">
        <f t="shared" ca="1" si="269"/>
        <v>0</v>
      </c>
      <c r="G1138" s="628"/>
      <c r="H1138" s="766" t="s">
        <v>367</v>
      </c>
      <c r="I1138" s="629" t="str">
        <f t="shared" ca="1" si="265"/>
        <v>14.007.004</v>
      </c>
      <c r="J1138" s="654" t="s">
        <v>211</v>
      </c>
      <c r="K1138" s="630"/>
      <c r="L1138" s="631"/>
      <c r="M1138" s="631"/>
      <c r="N1138" s="646">
        <f>SUM(N1139:N1141)</f>
        <v>8645.6150000000016</v>
      </c>
      <c r="O1138" s="767"/>
      <c r="P1138" s="632"/>
      <c r="R1138" s="742"/>
      <c r="S1138" s="742"/>
    </row>
    <row r="1139" spans="1:19" s="761" customFormat="1" ht="22.5" hidden="1" outlineLevel="3" x14ac:dyDescent="0.2">
      <c r="A1139" s="762" t="e">
        <f ca="1">IF($H1139="UNIDADE CONSTRUTIVA",OFFSET(A1139,-1,0)+1,LARGE(A$3:A1138,1))</f>
        <v>#NUM!</v>
      </c>
      <c r="B1139" s="762">
        <f t="shared" ca="1" si="266"/>
        <v>14</v>
      </c>
      <c r="C1139" s="762">
        <f t="shared" ca="1" si="267"/>
        <v>7</v>
      </c>
      <c r="D1139" s="763">
        <f t="shared" ca="1" si="268"/>
        <v>4</v>
      </c>
      <c r="E1139" s="763">
        <f t="shared" ca="1" si="269"/>
        <v>1</v>
      </c>
      <c r="G1139" s="628"/>
      <c r="H1139" s="766" t="s">
        <v>368</v>
      </c>
      <c r="I1139" s="629" t="str">
        <f t="shared" ca="1" si="265"/>
        <v>14.007.004.001</v>
      </c>
      <c r="J1139" s="654" t="s">
        <v>879</v>
      </c>
      <c r="K1139" s="630" t="s">
        <v>1</v>
      </c>
      <c r="L1139" s="631">
        <f>L1128</f>
        <v>32.79</v>
      </c>
      <c r="M1139" s="631">
        <f>VLOOKUP(J1139,Preços!$C$7:$F$498,4,FALSE)</f>
        <v>18.5</v>
      </c>
      <c r="N1139" s="646">
        <f>L1139*M1139</f>
        <v>606.61500000000001</v>
      </c>
      <c r="O1139" s="767"/>
      <c r="P1139" s="632" t="s">
        <v>333</v>
      </c>
      <c r="R1139" s="742"/>
      <c r="S1139" s="742"/>
    </row>
    <row r="1140" spans="1:19" s="761" customFormat="1" ht="22.5" hidden="1" outlineLevel="3" x14ac:dyDescent="0.2">
      <c r="A1140" s="762" t="e">
        <f ca="1">IF($H1140="UNIDADE CONSTRUTIVA",OFFSET(A1140,-1,0)+1,LARGE(A$3:A1139,1))</f>
        <v>#NUM!</v>
      </c>
      <c r="B1140" s="762">
        <f t="shared" ca="1" si="266"/>
        <v>14</v>
      </c>
      <c r="C1140" s="762">
        <f t="shared" ca="1" si="267"/>
        <v>7</v>
      </c>
      <c r="D1140" s="763">
        <f t="shared" ca="1" si="268"/>
        <v>4</v>
      </c>
      <c r="E1140" s="763">
        <f t="shared" ca="1" si="269"/>
        <v>2</v>
      </c>
      <c r="G1140" s="628"/>
      <c r="H1140" s="766" t="s">
        <v>368</v>
      </c>
      <c r="I1140" s="629" t="str">
        <f t="shared" ca="1" si="265"/>
        <v>14.007.004.002</v>
      </c>
      <c r="J1140" s="654" t="s">
        <v>1574</v>
      </c>
      <c r="K1140" s="630" t="s">
        <v>1</v>
      </c>
      <c r="L1140" s="631">
        <f>L1137+L1132</f>
        <v>152.10000000000002</v>
      </c>
      <c r="M1140" s="631">
        <f>VLOOKUP(J1140,Preços!$C$7:$F$498,4,FALSE)</f>
        <v>32</v>
      </c>
      <c r="N1140" s="646">
        <f>L1140*M1140</f>
        <v>4867.2000000000007</v>
      </c>
      <c r="O1140" s="767"/>
      <c r="P1140" s="632" t="s">
        <v>333</v>
      </c>
      <c r="R1140" s="742"/>
      <c r="S1140" s="742"/>
    </row>
    <row r="1141" spans="1:19" s="761" customFormat="1" ht="22.5" hidden="1" outlineLevel="3" x14ac:dyDescent="0.2">
      <c r="A1141" s="762" t="e">
        <f ca="1">IF($H1141="UNIDADE CONSTRUTIVA",OFFSET(A1141,-1,0)+1,LARGE(A$3:A1140,1))</f>
        <v>#NUM!</v>
      </c>
      <c r="B1141" s="762">
        <f t="shared" ca="1" si="266"/>
        <v>14</v>
      </c>
      <c r="C1141" s="762">
        <f t="shared" ca="1" si="267"/>
        <v>7</v>
      </c>
      <c r="D1141" s="763">
        <f t="shared" ca="1" si="268"/>
        <v>4</v>
      </c>
      <c r="E1141" s="763">
        <f t="shared" ca="1" si="269"/>
        <v>3</v>
      </c>
      <c r="G1141" s="628"/>
      <c r="H1141" s="766" t="s">
        <v>368</v>
      </c>
      <c r="I1141" s="629" t="str">
        <f t="shared" ca="1" si="265"/>
        <v>14.007.004.003</v>
      </c>
      <c r="J1141" s="654" t="s">
        <v>1575</v>
      </c>
      <c r="K1141" s="630" t="s">
        <v>1</v>
      </c>
      <c r="L1141" s="631">
        <f>L1133</f>
        <v>158.59</v>
      </c>
      <c r="M1141" s="631">
        <f>VLOOKUP(J1141,Preços!$C$7:$F$498,4,FALSE)</f>
        <v>20</v>
      </c>
      <c r="N1141" s="646">
        <f>L1141*M1141</f>
        <v>3171.8</v>
      </c>
      <c r="O1141" s="767"/>
      <c r="P1141" s="632" t="s">
        <v>333</v>
      </c>
      <c r="R1141" s="742"/>
      <c r="S1141" s="742"/>
    </row>
    <row r="1142" spans="1:19" s="761" customFormat="1" hidden="1" outlineLevel="1" x14ac:dyDescent="0.2">
      <c r="A1142" s="762" t="e">
        <f ca="1">IF($H1142="UNIDADE CONSTRUTIVA",OFFSET(A1142,-1,0)+1,LARGE(A$3:A1053,1))</f>
        <v>#NUM!</v>
      </c>
      <c r="B1142" s="762">
        <f t="shared" ca="1" si="266"/>
        <v>14</v>
      </c>
      <c r="C1142" s="762">
        <f t="shared" ca="1" si="267"/>
        <v>8</v>
      </c>
      <c r="D1142" s="763">
        <f t="shared" ca="1" si="268"/>
        <v>0</v>
      </c>
      <c r="E1142" s="763">
        <f t="shared" ca="1" si="269"/>
        <v>3</v>
      </c>
      <c r="G1142" s="628"/>
      <c r="H1142" s="766" t="s">
        <v>366</v>
      </c>
      <c r="I1142" s="629" t="str">
        <f t="shared" ref="I1142:I1152" ca="1" si="270">IF(H1142="Unidade Construtiva",TEXT(A1142,"00"),IF(H1142="Célula Construtiva",TEXT(B1142,"00"),IF(H1142="Etapa",CONCATENATE(TEXT(B1142,"00"),".",TEXT(C1142,"000")),IF(H1142="Subetapa",CONCATENATE(TEXT(B1142,"00"),".",TEXT(C1142,"000"),".",TEXT(D1142,"000")),IF(H1142="Serviço",CONCATENATE(TEXT(B1142,"00"),".",TEXT(C1142,"000"),".",TEXT(D1142,"000"),".",TEXT(E1142,"000")),"")))))</f>
        <v>14.008</v>
      </c>
      <c r="J1142" s="654" t="s">
        <v>873</v>
      </c>
      <c r="K1142" s="630"/>
      <c r="L1142" s="631"/>
      <c r="M1142" s="631"/>
      <c r="N1142" s="646">
        <f>SUM(N1143,N1146,N1150)</f>
        <v>3709.8362050000001</v>
      </c>
      <c r="O1142" s="767"/>
      <c r="P1142" s="632"/>
      <c r="R1142" s="742"/>
      <c r="S1142" s="742"/>
    </row>
    <row r="1143" spans="1:19" s="761" customFormat="1" hidden="1" outlineLevel="2" x14ac:dyDescent="0.2">
      <c r="A1143" s="762" t="e">
        <f ca="1">IF($H1143="UNIDADE CONSTRUTIVA",OFFSET(A1143,-1,0)+1,LARGE(A$3:A1142,1))</f>
        <v>#NUM!</v>
      </c>
      <c r="B1143" s="762">
        <f t="shared" ref="B1143:B1152" ca="1" si="271">IF(H1143="UNIDADE CONSTRUTIVA",0,IF(H1143="CÉLULA CONSTRUTIVA",OFFSET(B1143,-1,0)+1,OFFSET(B1143,-1,0)))</f>
        <v>14</v>
      </c>
      <c r="C1143" s="762">
        <f t="shared" ref="C1143:C1152" ca="1" si="272">IF(H1143="CÉLULA CONSTRUTIVA",0,IF(H1143="ETAPA",OFFSET(C1143,-1,0)+1,OFFSET(C1143,-1,0)))</f>
        <v>8</v>
      </c>
      <c r="D1143" s="763">
        <f t="shared" ref="D1143:D1152" ca="1" si="273">IF(H1143="ETAPA",0,IF(H1143="SUBETAPA",OFFSET(D1143,-1,0)+1,OFFSET(D1143,-1,0)))</f>
        <v>1</v>
      </c>
      <c r="E1143" s="763">
        <f t="shared" ref="E1143:E1152" ca="1" si="274">IF(H1143="Subetapa",0,IF(H1143="serviço",OFFSET(E1143,-1,0)+1,OFFSET(E1143,-1,0)))</f>
        <v>0</v>
      </c>
      <c r="G1143" s="628"/>
      <c r="H1143" s="766" t="s">
        <v>367</v>
      </c>
      <c r="I1143" s="629" t="str">
        <f t="shared" ca="1" si="270"/>
        <v>14.008.001</v>
      </c>
      <c r="J1143" s="654" t="s">
        <v>232</v>
      </c>
      <c r="K1143" s="630"/>
      <c r="L1143" s="631"/>
      <c r="M1143" s="631"/>
      <c r="N1143" s="646">
        <f>SUM(N1144:N1145)</f>
        <v>607.69000000000005</v>
      </c>
      <c r="O1143" s="767"/>
      <c r="P1143" s="632"/>
      <c r="R1143" s="742"/>
      <c r="S1143" s="742"/>
    </row>
    <row r="1144" spans="1:19" s="761" customFormat="1" ht="22.5" hidden="1" outlineLevel="3" x14ac:dyDescent="0.2">
      <c r="A1144" s="762" t="e">
        <f ca="1">IF($H1144="UNIDADE CONSTRUTIVA",OFFSET(A1144,-1,0)+1,LARGE(A$3:A1143,1))</f>
        <v>#NUM!</v>
      </c>
      <c r="B1144" s="762">
        <f t="shared" ca="1" si="271"/>
        <v>14</v>
      </c>
      <c r="C1144" s="762">
        <f t="shared" ca="1" si="272"/>
        <v>8</v>
      </c>
      <c r="D1144" s="763">
        <f t="shared" ca="1" si="273"/>
        <v>1</v>
      </c>
      <c r="E1144" s="763">
        <f t="shared" ca="1" si="274"/>
        <v>1</v>
      </c>
      <c r="G1144" s="628"/>
      <c r="H1144" s="766" t="s">
        <v>368</v>
      </c>
      <c r="I1144" s="629" t="str">
        <f t="shared" ca="1" si="270"/>
        <v>14.008.001.001</v>
      </c>
      <c r="J1144" s="654" t="s">
        <v>856</v>
      </c>
      <c r="K1144" s="630" t="s">
        <v>1</v>
      </c>
      <c r="L1144" s="631">
        <f>L1145</f>
        <v>45.35</v>
      </c>
      <c r="M1144" s="631">
        <f>VLOOKUP(J1144,Preços!$C$7:$F$498,4,FALSE)</f>
        <v>1.0880000000000001</v>
      </c>
      <c r="N1144" s="646">
        <f>L1144*M1144</f>
        <v>49.340800000000002</v>
      </c>
      <c r="O1144" s="767"/>
      <c r="P1144" s="632" t="s">
        <v>333</v>
      </c>
      <c r="R1144" s="742"/>
      <c r="S1144" s="742"/>
    </row>
    <row r="1145" spans="1:19" s="761" customFormat="1" ht="22.5" hidden="1" outlineLevel="3" x14ac:dyDescent="0.2">
      <c r="A1145" s="762" t="e">
        <f ca="1">IF($H1145="UNIDADE CONSTRUTIVA",OFFSET(A1145,-1,0)+1,LARGE(A$3:A1144,1))</f>
        <v>#NUM!</v>
      </c>
      <c r="B1145" s="762">
        <f t="shared" ca="1" si="271"/>
        <v>14</v>
      </c>
      <c r="C1145" s="762">
        <f t="shared" ca="1" si="272"/>
        <v>8</v>
      </c>
      <c r="D1145" s="763">
        <f t="shared" ca="1" si="273"/>
        <v>1</v>
      </c>
      <c r="E1145" s="763">
        <f t="shared" ca="1" si="274"/>
        <v>2</v>
      </c>
      <c r="G1145" s="628"/>
      <c r="H1145" s="766" t="s">
        <v>368</v>
      </c>
      <c r="I1145" s="629" t="str">
        <f t="shared" ca="1" si="270"/>
        <v>14.008.001.002</v>
      </c>
      <c r="J1145" s="654" t="s">
        <v>859</v>
      </c>
      <c r="K1145" s="630" t="s">
        <v>1</v>
      </c>
      <c r="L1145" s="631">
        <v>45.35</v>
      </c>
      <c r="M1145" s="631">
        <f>VLOOKUP(J1145,Preços!$C$7:$F$498,4,FALSE)</f>
        <v>12.311999999999999</v>
      </c>
      <c r="N1145" s="646">
        <f>L1145*M1145</f>
        <v>558.3492</v>
      </c>
      <c r="O1145" s="767"/>
      <c r="P1145" s="632" t="s">
        <v>333</v>
      </c>
      <c r="R1145" s="742"/>
      <c r="S1145" s="742"/>
    </row>
    <row r="1146" spans="1:19" s="761" customFormat="1" hidden="1" outlineLevel="2" x14ac:dyDescent="0.2">
      <c r="A1146" s="762" t="e">
        <f ca="1">IF($H1146="UNIDADE CONSTRUTIVA",OFFSET(A1146,-1,0)+1,LARGE(A$3:A1145,1))</f>
        <v>#NUM!</v>
      </c>
      <c r="B1146" s="762">
        <f t="shared" ca="1" si="271"/>
        <v>14</v>
      </c>
      <c r="C1146" s="762">
        <f t="shared" ca="1" si="272"/>
        <v>8</v>
      </c>
      <c r="D1146" s="763">
        <f t="shared" ca="1" si="273"/>
        <v>2</v>
      </c>
      <c r="E1146" s="763">
        <f t="shared" ca="1" si="274"/>
        <v>0</v>
      </c>
      <c r="G1146" s="628"/>
      <c r="H1146" s="766" t="s">
        <v>367</v>
      </c>
      <c r="I1146" s="629" t="str">
        <f t="shared" ca="1" si="270"/>
        <v>14.008.002</v>
      </c>
      <c r="J1146" s="654" t="s">
        <v>233</v>
      </c>
      <c r="K1146" s="630"/>
      <c r="L1146" s="631"/>
      <c r="M1146" s="631"/>
      <c r="N1146" s="646">
        <f>SUM(N1147:N1149)</f>
        <v>660.74620500000003</v>
      </c>
      <c r="O1146" s="767"/>
      <c r="P1146" s="632"/>
      <c r="R1146" s="742"/>
      <c r="S1146" s="742"/>
    </row>
    <row r="1147" spans="1:19" s="761" customFormat="1" ht="22.5" hidden="1" outlineLevel="3" x14ac:dyDescent="0.2">
      <c r="A1147" s="762" t="e">
        <f ca="1">IF($H1147="UNIDADE CONSTRUTIVA",OFFSET(A1147,-1,0)+1,LARGE(A$3:A1146,1))</f>
        <v>#NUM!</v>
      </c>
      <c r="B1147" s="762">
        <f t="shared" ca="1" si="271"/>
        <v>14</v>
      </c>
      <c r="C1147" s="762">
        <f t="shared" ca="1" si="272"/>
        <v>8</v>
      </c>
      <c r="D1147" s="763">
        <f t="shared" ca="1" si="273"/>
        <v>2</v>
      </c>
      <c r="E1147" s="763">
        <f t="shared" ca="1" si="274"/>
        <v>1</v>
      </c>
      <c r="G1147" s="628"/>
      <c r="H1147" s="766" t="s">
        <v>368</v>
      </c>
      <c r="I1147" s="629" t="str">
        <f t="shared" ca="1" si="270"/>
        <v>14.008.002.001</v>
      </c>
      <c r="J1147" s="654" t="s">
        <v>860</v>
      </c>
      <c r="K1147" s="630" t="s">
        <v>1</v>
      </c>
      <c r="L1147" s="631">
        <v>47.95</v>
      </c>
      <c r="M1147" s="631">
        <f>VLOOKUP(J1147,Preços!$C$7:$F$498,4,FALSE)</f>
        <v>1.0880000000000001</v>
      </c>
      <c r="N1147" s="646">
        <f>L1147*M1147</f>
        <v>52.16960000000001</v>
      </c>
      <c r="O1147" s="767"/>
      <c r="P1147" s="632" t="s">
        <v>333</v>
      </c>
      <c r="R1147" s="742"/>
      <c r="S1147" s="742"/>
    </row>
    <row r="1148" spans="1:19" s="761" customFormat="1" ht="22.5" hidden="1" outlineLevel="3" x14ac:dyDescent="0.2">
      <c r="A1148" s="762" t="e">
        <f ca="1">IF($H1148="UNIDADE CONSTRUTIVA",OFFSET(A1148,-1,0)+1,LARGE(A$3:A1147,1))</f>
        <v>#NUM!</v>
      </c>
      <c r="B1148" s="762">
        <f t="shared" ca="1" si="271"/>
        <v>14</v>
      </c>
      <c r="C1148" s="762">
        <f t="shared" ca="1" si="272"/>
        <v>8</v>
      </c>
      <c r="D1148" s="763">
        <f t="shared" ca="1" si="273"/>
        <v>2</v>
      </c>
      <c r="E1148" s="763">
        <f t="shared" ca="1" si="274"/>
        <v>2</v>
      </c>
      <c r="G1148" s="628"/>
      <c r="H1148" s="766" t="s">
        <v>368</v>
      </c>
      <c r="I1148" s="629" t="str">
        <f t="shared" ca="1" si="270"/>
        <v>14.008.002.002</v>
      </c>
      <c r="J1148" s="654" t="s">
        <v>861</v>
      </c>
      <c r="K1148" s="630" t="s">
        <v>1</v>
      </c>
      <c r="L1148" s="631">
        <f>L1149</f>
        <v>47.95</v>
      </c>
      <c r="M1148" s="631">
        <f>VLOOKUP(J1148,Preços!$C$7:$F$498,4,FALSE)</f>
        <v>2.6949999999999998</v>
      </c>
      <c r="N1148" s="646">
        <f>L1148*M1148</f>
        <v>129.22524999999999</v>
      </c>
      <c r="O1148" s="767"/>
      <c r="P1148" s="632" t="s">
        <v>333</v>
      </c>
      <c r="R1148" s="742"/>
      <c r="S1148" s="742"/>
    </row>
    <row r="1149" spans="1:19" s="761" customFormat="1" ht="22.5" hidden="1" outlineLevel="3" x14ac:dyDescent="0.2">
      <c r="A1149" s="762" t="e">
        <f ca="1">IF($H1149="UNIDADE CONSTRUTIVA",OFFSET(A1149,-1,0)+1,LARGE(A$3:A1148,1))</f>
        <v>#NUM!</v>
      </c>
      <c r="B1149" s="762">
        <f t="shared" ca="1" si="271"/>
        <v>14</v>
      </c>
      <c r="C1149" s="762">
        <f t="shared" ca="1" si="272"/>
        <v>8</v>
      </c>
      <c r="D1149" s="763">
        <f t="shared" ca="1" si="273"/>
        <v>2</v>
      </c>
      <c r="E1149" s="763">
        <f t="shared" ca="1" si="274"/>
        <v>3</v>
      </c>
      <c r="G1149" s="628"/>
      <c r="H1149" s="766" t="s">
        <v>368</v>
      </c>
      <c r="I1149" s="629" t="str">
        <f t="shared" ca="1" si="270"/>
        <v>14.008.002.003</v>
      </c>
      <c r="J1149" s="654" t="s">
        <v>862</v>
      </c>
      <c r="K1149" s="630" t="s">
        <v>1</v>
      </c>
      <c r="L1149" s="631">
        <v>47.95</v>
      </c>
      <c r="M1149" s="631">
        <f>VLOOKUP(J1149,Preços!$C$7:$F$498,4,FALSE)</f>
        <v>9.9969000000000001</v>
      </c>
      <c r="N1149" s="646">
        <f>L1149*M1149</f>
        <v>479.35135500000001</v>
      </c>
      <c r="O1149" s="767"/>
      <c r="P1149" s="632" t="s">
        <v>333</v>
      </c>
      <c r="R1149" s="742"/>
      <c r="S1149" s="742"/>
    </row>
    <row r="1150" spans="1:19" s="761" customFormat="1" hidden="1" outlineLevel="2" x14ac:dyDescent="0.2">
      <c r="A1150" s="762" t="e">
        <f ca="1">IF($H1150="UNIDADE CONSTRUTIVA",OFFSET(A1150,-1,0)+1,LARGE(A$3:A1149,1))</f>
        <v>#NUM!</v>
      </c>
      <c r="B1150" s="762">
        <f t="shared" ca="1" si="271"/>
        <v>14</v>
      </c>
      <c r="C1150" s="762">
        <f t="shared" ca="1" si="272"/>
        <v>8</v>
      </c>
      <c r="D1150" s="763">
        <f t="shared" ca="1" si="273"/>
        <v>3</v>
      </c>
      <c r="E1150" s="763">
        <f t="shared" ca="1" si="274"/>
        <v>0</v>
      </c>
      <c r="G1150" s="628"/>
      <c r="H1150" s="766" t="s">
        <v>367</v>
      </c>
      <c r="I1150" s="629" t="str">
        <f t="shared" ca="1" si="270"/>
        <v>14.008.003</v>
      </c>
      <c r="J1150" s="654" t="s">
        <v>211</v>
      </c>
      <c r="K1150" s="630"/>
      <c r="L1150" s="631"/>
      <c r="M1150" s="631"/>
      <c r="N1150" s="646">
        <f>SUM(N1151:N1152)</f>
        <v>2441.4</v>
      </c>
      <c r="O1150" s="767"/>
      <c r="P1150" s="632"/>
      <c r="R1150" s="742"/>
      <c r="S1150" s="742"/>
    </row>
    <row r="1151" spans="1:19" s="761" customFormat="1" ht="22.5" hidden="1" outlineLevel="3" x14ac:dyDescent="0.2">
      <c r="A1151" s="762" t="e">
        <f ca="1">IF($H1151="UNIDADE CONSTRUTIVA",OFFSET(A1151,-1,0)+1,LARGE(A$3:A1150,1))</f>
        <v>#NUM!</v>
      </c>
      <c r="B1151" s="762">
        <f t="shared" ca="1" si="271"/>
        <v>14</v>
      </c>
      <c r="C1151" s="762">
        <f t="shared" ca="1" si="272"/>
        <v>8</v>
      </c>
      <c r="D1151" s="763">
        <f t="shared" ca="1" si="273"/>
        <v>3</v>
      </c>
      <c r="E1151" s="763">
        <f t="shared" ca="1" si="274"/>
        <v>1</v>
      </c>
      <c r="G1151" s="628"/>
      <c r="H1151" s="766" t="s">
        <v>368</v>
      </c>
      <c r="I1151" s="629" t="str">
        <f t="shared" ca="1" si="270"/>
        <v>14.008.003.001</v>
      </c>
      <c r="J1151" s="654" t="s">
        <v>1574</v>
      </c>
      <c r="K1151" s="630" t="s">
        <v>1</v>
      </c>
      <c r="L1151" s="631">
        <f>L1149</f>
        <v>47.95</v>
      </c>
      <c r="M1151" s="631">
        <f>VLOOKUP(J1151,Preços!$C$7:$F$498,4,FALSE)</f>
        <v>32</v>
      </c>
      <c r="N1151" s="646">
        <f>L1151*M1151</f>
        <v>1534.4</v>
      </c>
      <c r="O1151" s="767"/>
      <c r="P1151" s="632" t="s">
        <v>333</v>
      </c>
      <c r="R1151" s="742"/>
      <c r="S1151" s="742"/>
    </row>
    <row r="1152" spans="1:19" s="761" customFormat="1" ht="22.5" hidden="1" outlineLevel="3" x14ac:dyDescent="0.2">
      <c r="A1152" s="762" t="e">
        <f ca="1">IF($H1152="UNIDADE CONSTRUTIVA",OFFSET(A1152,-1,0)+1,LARGE(A$3:A1151,1))</f>
        <v>#NUM!</v>
      </c>
      <c r="B1152" s="762">
        <f t="shared" ca="1" si="271"/>
        <v>14</v>
      </c>
      <c r="C1152" s="762">
        <f t="shared" ca="1" si="272"/>
        <v>8</v>
      </c>
      <c r="D1152" s="763">
        <f t="shared" ca="1" si="273"/>
        <v>3</v>
      </c>
      <c r="E1152" s="763">
        <f t="shared" ca="1" si="274"/>
        <v>2</v>
      </c>
      <c r="G1152" s="628"/>
      <c r="H1152" s="766" t="s">
        <v>368</v>
      </c>
      <c r="I1152" s="629" t="str">
        <f t="shared" ca="1" si="270"/>
        <v>14.008.003.002</v>
      </c>
      <c r="J1152" s="654" t="s">
        <v>1575</v>
      </c>
      <c r="K1152" s="630" t="s">
        <v>1</v>
      </c>
      <c r="L1152" s="631">
        <f>L1145</f>
        <v>45.35</v>
      </c>
      <c r="M1152" s="631">
        <f>VLOOKUP(J1152,Preços!$C$7:$F$498,4,FALSE)</f>
        <v>20</v>
      </c>
      <c r="N1152" s="646">
        <f>L1152*M1152</f>
        <v>907</v>
      </c>
      <c r="O1152" s="767"/>
      <c r="P1152" s="632" t="s">
        <v>333</v>
      </c>
      <c r="R1152" s="742"/>
      <c r="S1152" s="742"/>
    </row>
    <row r="1153" spans="1:19" s="761" customFormat="1" collapsed="1" x14ac:dyDescent="0.2">
      <c r="A1153" s="762" t="e">
        <f ca="1">IF($H1153="UNIDADE CONSTRUTIVA",OFFSET(A1153,-1,0)+1,LARGE(A$3:A1033,1))</f>
        <v>#NUM!</v>
      </c>
      <c r="B1153" s="762">
        <f t="shared" ref="B1153:B1184" ca="1" si="275">IF(H1153="UNIDADE CONSTRUTIVA",0,IF(H1153="CÉLULA CONSTRUTIVA",OFFSET(B1153,-1,0)+1,OFFSET(B1153,-1,0)))</f>
        <v>15</v>
      </c>
      <c r="C1153" s="762">
        <f t="shared" ref="C1153:C1184" ca="1" si="276">IF(H1153="CÉLULA CONSTRUTIVA",0,IF(H1153="ETAPA",OFFSET(C1153,-1,0)+1,OFFSET(C1153,-1,0)))</f>
        <v>0</v>
      </c>
      <c r="D1153" s="763">
        <f t="shared" ref="D1153:D1184" ca="1" si="277">IF(H1153="ETAPA",0,IF(H1153="SUBETAPA",OFFSET(D1153,-1,0)+1,OFFSET(D1153,-1,0)))</f>
        <v>3</v>
      </c>
      <c r="E1153" s="763">
        <f t="shared" ref="E1153:E1184" ca="1" si="278">IF(H1153="Subetapa",0,IF(H1153="serviço",OFFSET(E1153,-1,0)+1,OFFSET(E1153,-1,0)))</f>
        <v>2</v>
      </c>
      <c r="G1153" s="628"/>
      <c r="H1153" s="766" t="s">
        <v>365</v>
      </c>
      <c r="I1153" s="629" t="str">
        <f t="shared" ref="I1153:I1184" ca="1" si="279">IF(H1153="Unidade Construtiva",TEXT(A1153,"00"),IF(H1153="Célula Construtiva",TEXT(B1153,"00"),IF(H1153="Etapa",CONCATENATE(TEXT(B1153,"00"),".",TEXT(C1153,"000")),IF(H1153="Subetapa",CONCATENATE(TEXT(B1153,"00"),".",TEXT(C1153,"000"),".",TEXT(D1153,"000")),IF(H1153="Serviço",CONCATENATE(TEXT(B1153,"00"),".",TEXT(C1153,"000"),".",TEXT(D1153,"000"),".",TEXT(E1153,"000")),"")))))</f>
        <v>15</v>
      </c>
      <c r="J1153" s="654" t="s">
        <v>234</v>
      </c>
      <c r="K1153" s="630"/>
      <c r="L1153" s="631"/>
      <c r="M1153" s="631"/>
      <c r="N1153" s="646">
        <f ca="1">N1154</f>
        <v>2055708.7546199998</v>
      </c>
      <c r="O1153" s="767"/>
      <c r="P1153" s="632"/>
      <c r="R1153" s="742"/>
      <c r="S1153" s="742"/>
    </row>
    <row r="1154" spans="1:19" s="761" customFormat="1" hidden="1" outlineLevel="1" x14ac:dyDescent="0.2">
      <c r="A1154" s="762" t="e">
        <f ca="1">IF($H1154="UNIDADE CONSTRUTIVA",OFFSET(A1154,-1,0)+1,LARGE(A$3:A1153,1))</f>
        <v>#NUM!</v>
      </c>
      <c r="B1154" s="762">
        <f t="shared" ca="1" si="275"/>
        <v>15</v>
      </c>
      <c r="C1154" s="762">
        <f t="shared" ca="1" si="276"/>
        <v>1</v>
      </c>
      <c r="D1154" s="763">
        <f t="shared" ca="1" si="277"/>
        <v>0</v>
      </c>
      <c r="E1154" s="763">
        <f t="shared" ca="1" si="278"/>
        <v>2</v>
      </c>
      <c r="G1154" s="628"/>
      <c r="H1154" s="766" t="s">
        <v>366</v>
      </c>
      <c r="I1154" s="629" t="str">
        <f t="shared" ca="1" si="279"/>
        <v>15.001</v>
      </c>
      <c r="J1154" s="654" t="s">
        <v>234</v>
      </c>
      <c r="K1154" s="630"/>
      <c r="L1154" s="631"/>
      <c r="M1154" s="631"/>
      <c r="N1154" s="646">
        <f ca="1">SUM(N1155,N1158,N1163,N1169,N1171,N1173,N1178,N1180,N1183)</f>
        <v>2055708.7546199998</v>
      </c>
      <c r="O1154" s="767"/>
      <c r="P1154" s="632"/>
      <c r="R1154" s="742"/>
      <c r="S1154" s="742"/>
    </row>
    <row r="1155" spans="1:19" s="761" customFormat="1" hidden="1" outlineLevel="1" collapsed="1" x14ac:dyDescent="0.2">
      <c r="A1155" s="762" t="e">
        <f ca="1">IF($H1155="UNIDADE CONSTRUTIVA",OFFSET(A1155,-1,0)+1,LARGE(A$3:A1154,1))</f>
        <v>#NUM!</v>
      </c>
      <c r="B1155" s="762">
        <f t="shared" ca="1" si="275"/>
        <v>15</v>
      </c>
      <c r="C1155" s="762">
        <f t="shared" ca="1" si="276"/>
        <v>1</v>
      </c>
      <c r="D1155" s="763">
        <f t="shared" ca="1" si="277"/>
        <v>1</v>
      </c>
      <c r="E1155" s="763">
        <f t="shared" ca="1" si="278"/>
        <v>0</v>
      </c>
      <c r="G1155" s="628"/>
      <c r="H1155" s="766" t="s">
        <v>367</v>
      </c>
      <c r="I1155" s="629" t="str">
        <f t="shared" ca="1" si="279"/>
        <v>15.001.001</v>
      </c>
      <c r="J1155" s="654" t="s">
        <v>235</v>
      </c>
      <c r="K1155" s="630"/>
      <c r="L1155" s="631"/>
      <c r="M1155" s="631"/>
      <c r="N1155" s="646">
        <f ca="1">SUM(N1156:N1157)</f>
        <v>190008.78562000007</v>
      </c>
      <c r="O1155" s="767"/>
      <c r="P1155" s="632"/>
      <c r="R1155" s="742"/>
      <c r="S1155" s="742"/>
    </row>
    <row r="1156" spans="1:19" s="761" customFormat="1" ht="22.5" hidden="1" outlineLevel="2" x14ac:dyDescent="0.2">
      <c r="A1156" s="762" t="e">
        <f ca="1">IF($H1156="UNIDADE CONSTRUTIVA",OFFSET(A1156,-1,0)+1,LARGE(A$3:A1155,1))</f>
        <v>#NUM!</v>
      </c>
      <c r="B1156" s="762">
        <f t="shared" ca="1" si="275"/>
        <v>15</v>
      </c>
      <c r="C1156" s="762">
        <f t="shared" ca="1" si="276"/>
        <v>1</v>
      </c>
      <c r="D1156" s="763">
        <f t="shared" ca="1" si="277"/>
        <v>1</v>
      </c>
      <c r="E1156" s="763">
        <f t="shared" ca="1" si="278"/>
        <v>1</v>
      </c>
      <c r="G1156" s="628"/>
      <c r="H1156" s="766" t="s">
        <v>368</v>
      </c>
      <c r="I1156" s="629" t="str">
        <f t="shared" ca="1" si="279"/>
        <v>15.001.001.001</v>
      </c>
      <c r="J1156" s="654" t="s">
        <v>875</v>
      </c>
      <c r="K1156" s="630" t="s">
        <v>3</v>
      </c>
      <c r="L1156" s="631">
        <f ca="1">'ESQ. ALUM.'!M143</f>
        <v>2579.8100000000013</v>
      </c>
      <c r="M1156" s="631">
        <v>63.05</v>
      </c>
      <c r="N1156" s="646">
        <f ca="1">L1156*M1156</f>
        <v>162657.02050000007</v>
      </c>
      <c r="O1156" s="767"/>
      <c r="P1156" s="632" t="s">
        <v>333</v>
      </c>
      <c r="R1156" s="742"/>
      <c r="S1156" s="742"/>
    </row>
    <row r="1157" spans="1:19" s="761" customFormat="1" ht="22.5" hidden="1" outlineLevel="2" x14ac:dyDescent="0.2">
      <c r="A1157" s="762" t="e">
        <f ca="1">IF($H1157="UNIDADE CONSTRUTIVA",OFFSET(A1157,-1,0)+1,LARGE(A$3:A1156,1))</f>
        <v>#NUM!</v>
      </c>
      <c r="B1157" s="762">
        <f ca="1">IF(H1157="UNIDADE CONSTRUTIVA",0,IF(H1157="CÉLULA CONSTRUTIVA",OFFSET(B1157,-1,0)+1,OFFSET(B1157,-1,0)))</f>
        <v>15</v>
      </c>
      <c r="C1157" s="762">
        <f ca="1">IF(H1157="CÉLULA CONSTRUTIVA",0,IF(H1157="ETAPA",OFFSET(C1157,-1,0)+1,OFFSET(C1157,-1,0)))</f>
        <v>1</v>
      </c>
      <c r="D1157" s="763">
        <f ca="1">IF(H1157="ETAPA",0,IF(H1157="SUBETAPA",OFFSET(D1157,-1,0)+1,OFFSET(D1157,-1,0)))</f>
        <v>1</v>
      </c>
      <c r="E1157" s="763">
        <f ca="1">IF(H1157="Subetapa",0,IF(H1157="serviço",OFFSET(E1157,-1,0)+1,OFFSET(E1157,-1,0)))</f>
        <v>2</v>
      </c>
      <c r="G1157" s="628"/>
      <c r="H1157" s="766" t="s">
        <v>368</v>
      </c>
      <c r="I1157" s="629" t="str">
        <f ca="1">IF(H1157="Unidade Construtiva",TEXT(A1157,"00"),IF(H1157="Célula Construtiva",TEXT(B1157,"00"),IF(H1157="Etapa",CONCATENATE(TEXT(B1157,"00"),".",TEXT(C1157,"000")),IF(H1157="Subetapa",CONCATENATE(TEXT(B1157,"00"),".",TEXT(C1157,"000"),".",TEXT(D1157,"000")),IF(H1157="Serviço",CONCATENATE(TEXT(B1157,"00"),".",TEXT(C1157,"000"),".",TEXT(D1157,"000"),".",TEXT(E1157,"000")),"")))))</f>
        <v>15.001.001.002</v>
      </c>
      <c r="J1157" s="654" t="s">
        <v>876</v>
      </c>
      <c r="K1157" s="630" t="s">
        <v>3</v>
      </c>
      <c r="L1157" s="631">
        <f>'ESQ. MAD. E PCF'!E63</f>
        <v>270.3</v>
      </c>
      <c r="M1157" s="631">
        <v>101.1904</v>
      </c>
      <c r="N1157" s="646">
        <f>L1157*M1157</f>
        <v>27351.76512</v>
      </c>
      <c r="O1157" s="767"/>
      <c r="P1157" s="632" t="s">
        <v>333</v>
      </c>
      <c r="R1157" s="742"/>
      <c r="S1157" s="742"/>
    </row>
    <row r="1158" spans="1:19" s="761" customFormat="1" hidden="1" outlineLevel="1" collapsed="1" x14ac:dyDescent="0.2">
      <c r="A1158" s="762" t="e">
        <f ca="1">IF($H1158="UNIDADE CONSTRUTIVA",OFFSET(A1158,-1,0)+1,LARGE(A$3:A1156,1))</f>
        <v>#NUM!</v>
      </c>
      <c r="B1158" s="762">
        <f t="shared" ca="1" si="275"/>
        <v>15</v>
      </c>
      <c r="C1158" s="762">
        <f t="shared" ca="1" si="276"/>
        <v>1</v>
      </c>
      <c r="D1158" s="763">
        <f t="shared" ca="1" si="277"/>
        <v>2</v>
      </c>
      <c r="E1158" s="763">
        <f t="shared" ca="1" si="278"/>
        <v>0</v>
      </c>
      <c r="G1158" s="628"/>
      <c r="H1158" s="766" t="s">
        <v>367</v>
      </c>
      <c r="I1158" s="629" t="str">
        <f t="shared" ca="1" si="279"/>
        <v>15.001.002</v>
      </c>
      <c r="J1158" s="654" t="s">
        <v>236</v>
      </c>
      <c r="K1158" s="630"/>
      <c r="L1158" s="631"/>
      <c r="M1158" s="631"/>
      <c r="N1158" s="646">
        <f ca="1">SUM(N1159:N1162)</f>
        <v>1072652.1791999999</v>
      </c>
      <c r="O1158" s="767"/>
      <c r="P1158" s="632"/>
      <c r="R1158" s="742"/>
      <c r="S1158" s="742"/>
    </row>
    <row r="1159" spans="1:19" s="761" customFormat="1" ht="22.5" hidden="1" outlineLevel="2" x14ac:dyDescent="0.2">
      <c r="A1159" s="762" t="e">
        <f ca="1">IF($H1159="UNIDADE CONSTRUTIVA",OFFSET(A1159,-1,0)+1,LARGE(A$3:A1158,1))</f>
        <v>#NUM!</v>
      </c>
      <c r="B1159" s="762">
        <f t="shared" ca="1" si="275"/>
        <v>15</v>
      </c>
      <c r="C1159" s="762">
        <f t="shared" ca="1" si="276"/>
        <v>1</v>
      </c>
      <c r="D1159" s="763">
        <f t="shared" ca="1" si="277"/>
        <v>2</v>
      </c>
      <c r="E1159" s="763">
        <f t="shared" ca="1" si="278"/>
        <v>1</v>
      </c>
      <c r="G1159" s="628"/>
      <c r="H1159" s="766" t="s">
        <v>368</v>
      </c>
      <c r="I1159" s="629" t="str">
        <f t="shared" ca="1" si="279"/>
        <v>15.001.002.001</v>
      </c>
      <c r="J1159" s="654" t="s">
        <v>237</v>
      </c>
      <c r="K1159" s="630" t="s">
        <v>1</v>
      </c>
      <c r="L1159" s="631">
        <f ca="1">'ESQ. ALUM.'!I143</f>
        <v>922.88</v>
      </c>
      <c r="M1159" s="631">
        <f ca="1">'ESQ. ALUM.'!I144</f>
        <v>894.29</v>
      </c>
      <c r="N1159" s="646">
        <f ca="1">L1159*M1159</f>
        <v>825322.35519999999</v>
      </c>
      <c r="O1159" s="767" t="s">
        <v>908</v>
      </c>
      <c r="P1159" s="632" t="s">
        <v>333</v>
      </c>
      <c r="R1159" s="742"/>
      <c r="S1159" s="742"/>
    </row>
    <row r="1160" spans="1:19" s="761" customFormat="1" ht="22.5" hidden="1" outlineLevel="2" x14ac:dyDescent="0.2">
      <c r="A1160" s="762" t="e">
        <f ca="1">IF($H1160="UNIDADE CONSTRUTIVA",OFFSET(A1160,-1,0)+1,LARGE(A$3:A1159,1))</f>
        <v>#NUM!</v>
      </c>
      <c r="B1160" s="762">
        <f t="shared" ca="1" si="275"/>
        <v>15</v>
      </c>
      <c r="C1160" s="762">
        <f t="shared" ca="1" si="276"/>
        <v>1</v>
      </c>
      <c r="D1160" s="763">
        <f t="shared" ca="1" si="277"/>
        <v>2</v>
      </c>
      <c r="E1160" s="763">
        <f t="shared" ca="1" si="278"/>
        <v>2</v>
      </c>
      <c r="G1160" s="628"/>
      <c r="H1160" s="766" t="s">
        <v>368</v>
      </c>
      <c r="I1160" s="629" t="str">
        <f t="shared" ca="1" si="279"/>
        <v>15.001.002.002</v>
      </c>
      <c r="J1160" s="654" t="s">
        <v>238</v>
      </c>
      <c r="K1160" s="630" t="s">
        <v>2</v>
      </c>
      <c r="L1160" s="631">
        <f ca="1">'ESQ. ALUM.'!I152</f>
        <v>63</v>
      </c>
      <c r="M1160" s="631">
        <f ca="1">'ESQ. ALUM.'!I153</f>
        <v>500</v>
      </c>
      <c r="N1160" s="646">
        <f ca="1">L1160*M1160</f>
        <v>31500</v>
      </c>
      <c r="O1160" s="767"/>
      <c r="P1160" s="632" t="s">
        <v>333</v>
      </c>
      <c r="R1160" s="742"/>
      <c r="S1160" s="742"/>
    </row>
    <row r="1161" spans="1:19" s="761" customFormat="1" ht="22.5" hidden="1" outlineLevel="2" x14ac:dyDescent="0.2">
      <c r="A1161" s="762" t="e">
        <f ca="1">IF($H1161="UNIDADE CONSTRUTIVA",OFFSET(A1161,-1,0)+1,LARGE(A$3:A1173,1))</f>
        <v>#NUM!</v>
      </c>
      <c r="B1161" s="762">
        <f ca="1">IF(H1161="UNIDADE CONSTRUTIVA",0,IF(H1161="CÉLULA CONSTRUTIVA",OFFSET(B1161,-1,0)+1,OFFSET(B1161,-1,0)))</f>
        <v>15</v>
      </c>
      <c r="C1161" s="762">
        <f ca="1">IF(H1161="CÉLULA CONSTRUTIVA",0,IF(H1161="ETAPA",OFFSET(C1161,-1,0)+1,OFFSET(C1161,-1,0)))</f>
        <v>1</v>
      </c>
      <c r="D1161" s="763">
        <f ca="1">IF(H1161="ETAPA",0,IF(H1161="SUBETAPA",OFFSET(D1161,-1,0)+1,OFFSET(D1161,-1,0)))</f>
        <v>2</v>
      </c>
      <c r="E1161" s="763">
        <f ca="1">IF(H1161="Subetapa",0,IF(H1161="serviço",OFFSET(E1161,-1,0)+1,OFFSET(E1161,-1,0)))</f>
        <v>3</v>
      </c>
      <c r="G1161" s="628"/>
      <c r="H1161" s="766" t="s">
        <v>368</v>
      </c>
      <c r="I1161" s="629" t="str">
        <f ca="1">IF(H1161="Unidade Construtiva",TEXT(A1161,"00"),IF(H1161="Célula Construtiva",TEXT(B1161,"00"),IF(H1161="Etapa",CONCATENATE(TEXT(B1161,"00"),".",TEXT(C1161,"000")),IF(H1161="Subetapa",CONCATENATE(TEXT(B1161,"00"),".",TEXT(C1161,"000"),".",TEXT(D1161,"000")),IF(H1161="Serviço",CONCATENATE(TEXT(B1161,"00"),".",TEXT(C1161,"000"),".",TEXT(D1161,"000"),".",TEXT(E1161,"000")),"")))))</f>
        <v>15.001.002.003</v>
      </c>
      <c r="J1161" s="654" t="s">
        <v>245</v>
      </c>
      <c r="K1161" s="630" t="s">
        <v>2</v>
      </c>
      <c r="L1161" s="631">
        <v>1</v>
      </c>
      <c r="M1161" s="631">
        <f>'ESQ. ALUM.'!I157</f>
        <v>14960.57</v>
      </c>
      <c r="N1161" s="646">
        <f>L1161*M1161</f>
        <v>14960.57</v>
      </c>
      <c r="O1161" s="767"/>
      <c r="P1161" s="632" t="s">
        <v>333</v>
      </c>
      <c r="R1161" s="742"/>
      <c r="S1161" s="742"/>
    </row>
    <row r="1162" spans="1:19" s="761" customFormat="1" ht="22.5" hidden="1" outlineLevel="2" x14ac:dyDescent="0.2">
      <c r="A1162" s="762" t="e">
        <f ca="1">IF($H1162="UNIDADE CONSTRUTIVA",OFFSET(A1162,-1,0)+1,LARGE(A$3:A1161,1))</f>
        <v>#NUM!</v>
      </c>
      <c r="B1162" s="762">
        <f t="shared" ca="1" si="275"/>
        <v>15</v>
      </c>
      <c r="C1162" s="762">
        <f t="shared" ca="1" si="276"/>
        <v>1</v>
      </c>
      <c r="D1162" s="763">
        <f t="shared" ca="1" si="277"/>
        <v>2</v>
      </c>
      <c r="E1162" s="763">
        <f t="shared" ca="1" si="278"/>
        <v>4</v>
      </c>
      <c r="G1162" s="628"/>
      <c r="H1162" s="766" t="s">
        <v>368</v>
      </c>
      <c r="I1162" s="629" t="str">
        <f t="shared" ca="1" si="279"/>
        <v>15.001.002.004</v>
      </c>
      <c r="J1162" s="654" t="s">
        <v>239</v>
      </c>
      <c r="K1162" s="630" t="s">
        <v>3</v>
      </c>
      <c r="L1162" s="631">
        <f ca="1">'GC-CORRIMÃO'!G50</f>
        <v>232.2</v>
      </c>
      <c r="M1162" s="631">
        <f ca="1">'GC-CORRIMÃO'!G51</f>
        <v>865.07</v>
      </c>
      <c r="N1162" s="646">
        <f ca="1">L1162*M1162</f>
        <v>200869.25400000002</v>
      </c>
      <c r="O1162" s="767"/>
      <c r="P1162" s="632" t="s">
        <v>333</v>
      </c>
      <c r="R1162" s="742"/>
      <c r="S1162" s="742"/>
    </row>
    <row r="1163" spans="1:19" s="761" customFormat="1" hidden="1" outlineLevel="1" collapsed="1" x14ac:dyDescent="0.2">
      <c r="A1163" s="762" t="e">
        <f ca="1">IF($H1163="UNIDADE CONSTRUTIVA",OFFSET(A1163,-1,0)+1,LARGE(A$3:A1181,1))</f>
        <v>#NUM!</v>
      </c>
      <c r="B1163" s="762">
        <f t="shared" ca="1" si="275"/>
        <v>15</v>
      </c>
      <c r="C1163" s="762">
        <f t="shared" ca="1" si="276"/>
        <v>1</v>
      </c>
      <c r="D1163" s="763">
        <f t="shared" ca="1" si="277"/>
        <v>3</v>
      </c>
      <c r="E1163" s="763">
        <f t="shared" ca="1" si="278"/>
        <v>0</v>
      </c>
      <c r="G1163" s="628"/>
      <c r="H1163" s="766" t="s">
        <v>367</v>
      </c>
      <c r="I1163" s="629" t="str">
        <f t="shared" ca="1" si="279"/>
        <v>15.001.003</v>
      </c>
      <c r="J1163" s="654" t="s">
        <v>240</v>
      </c>
      <c r="K1163" s="630"/>
      <c r="L1163" s="631"/>
      <c r="M1163" s="631"/>
      <c r="N1163" s="646">
        <f ca="1">SUM(N1164:N1168)</f>
        <v>464265.22379999998</v>
      </c>
      <c r="O1163" s="767"/>
      <c r="P1163" s="632"/>
      <c r="R1163" s="742"/>
      <c r="S1163" s="742"/>
    </row>
    <row r="1164" spans="1:19" s="761" customFormat="1" ht="22.5" hidden="1" outlineLevel="2" x14ac:dyDescent="0.2">
      <c r="A1164" s="762" t="e">
        <f ca="1">IF($H1164="UNIDADE CONSTRUTIVA",OFFSET(A1164,-1,0)+1,LARGE(A$3:A1163,1))</f>
        <v>#NUM!</v>
      </c>
      <c r="B1164" s="762">
        <f t="shared" ca="1" si="275"/>
        <v>15</v>
      </c>
      <c r="C1164" s="762">
        <f t="shared" ca="1" si="276"/>
        <v>1</v>
      </c>
      <c r="D1164" s="763">
        <f t="shared" ca="1" si="277"/>
        <v>3</v>
      </c>
      <c r="E1164" s="763">
        <f t="shared" ca="1" si="278"/>
        <v>1</v>
      </c>
      <c r="G1164" s="628"/>
      <c r="H1164" s="766" t="s">
        <v>368</v>
      </c>
      <c r="I1164" s="629" t="str">
        <f t="shared" ca="1" si="279"/>
        <v>15.001.003.001</v>
      </c>
      <c r="J1164" s="654" t="s">
        <v>916</v>
      </c>
      <c r="K1164" s="630" t="s">
        <v>2</v>
      </c>
      <c r="L1164" s="631">
        <f ca="1">'ESQ. MAD. E PCF'!E53</f>
        <v>163</v>
      </c>
      <c r="M1164" s="631">
        <f>VLOOKUP(J1164,Preços!$C$7:$F$498,4,FALSE)</f>
        <v>1139.3603000000001</v>
      </c>
      <c r="N1164" s="646">
        <f ca="1">L1164*M1164</f>
        <v>185715.72890000002</v>
      </c>
      <c r="O1164" s="767"/>
      <c r="P1164" s="632" t="s">
        <v>333</v>
      </c>
      <c r="R1164" s="742"/>
      <c r="S1164" s="742"/>
    </row>
    <row r="1165" spans="1:19" s="761" customFormat="1" ht="22.5" hidden="1" outlineLevel="2" x14ac:dyDescent="0.2">
      <c r="A1165" s="762" t="e">
        <f ca="1">IF($H1165="UNIDADE CONSTRUTIVA",OFFSET(A1165,-1,0)+1,LARGE(A$3:A1164,1))</f>
        <v>#NUM!</v>
      </c>
      <c r="B1165" s="762">
        <f t="shared" ca="1" si="275"/>
        <v>15</v>
      </c>
      <c r="C1165" s="762">
        <f t="shared" ca="1" si="276"/>
        <v>1</v>
      </c>
      <c r="D1165" s="763">
        <f t="shared" ca="1" si="277"/>
        <v>3</v>
      </c>
      <c r="E1165" s="763">
        <f t="shared" ca="1" si="278"/>
        <v>2</v>
      </c>
      <c r="G1165" s="628"/>
      <c r="H1165" s="766" t="s">
        <v>368</v>
      </c>
      <c r="I1165" s="629" t="str">
        <f t="shared" ca="1" si="279"/>
        <v>15.001.003.002</v>
      </c>
      <c r="J1165" s="654" t="s">
        <v>917</v>
      </c>
      <c r="K1165" s="630" t="s">
        <v>2</v>
      </c>
      <c r="L1165" s="631">
        <f ca="1">'ESQ. MAD. E PCF'!E54</f>
        <v>120</v>
      </c>
      <c r="M1165" s="631">
        <f>VLOOKUP(J1165,Preços!$C$7:$F$498,4,FALSE)</f>
        <v>1139.3603000000001</v>
      </c>
      <c r="N1165" s="646">
        <f ca="1">L1165*M1165</f>
        <v>136723.236</v>
      </c>
      <c r="O1165" s="767"/>
      <c r="P1165" s="632" t="s">
        <v>333</v>
      </c>
      <c r="R1165" s="742"/>
      <c r="S1165" s="742"/>
    </row>
    <row r="1166" spans="1:19" s="761" customFormat="1" ht="22.5" hidden="1" outlineLevel="2" x14ac:dyDescent="0.2">
      <c r="A1166" s="762" t="e">
        <f ca="1">IF($H1166="UNIDADE CONSTRUTIVA",OFFSET(A1166,-1,0)+1,LARGE(A$3:A1165,1))</f>
        <v>#NUM!</v>
      </c>
      <c r="B1166" s="762">
        <f t="shared" ca="1" si="275"/>
        <v>15</v>
      </c>
      <c r="C1166" s="762">
        <f t="shared" ca="1" si="276"/>
        <v>1</v>
      </c>
      <c r="D1166" s="763">
        <f t="shared" ca="1" si="277"/>
        <v>3</v>
      </c>
      <c r="E1166" s="763">
        <f t="shared" ca="1" si="278"/>
        <v>3</v>
      </c>
      <c r="G1166" s="628"/>
      <c r="H1166" s="766" t="s">
        <v>368</v>
      </c>
      <c r="I1166" s="629" t="str">
        <f t="shared" ca="1" si="279"/>
        <v>15.001.003.003</v>
      </c>
      <c r="J1166" s="654" t="s">
        <v>918</v>
      </c>
      <c r="K1166" s="630" t="s">
        <v>2</v>
      </c>
      <c r="L1166" s="631">
        <f ca="1">'ESQ. MAD. E PCF'!E55</f>
        <v>2</v>
      </c>
      <c r="M1166" s="631">
        <f>VLOOKUP(J1166,Preços!$C$7:$F$498,4,FALSE)</f>
        <v>1139.3603000000001</v>
      </c>
      <c r="N1166" s="646">
        <f ca="1">L1166*M1166</f>
        <v>2278.7206000000001</v>
      </c>
      <c r="O1166" s="767"/>
      <c r="P1166" s="632" t="s">
        <v>333</v>
      </c>
      <c r="R1166" s="742"/>
      <c r="S1166" s="742"/>
    </row>
    <row r="1167" spans="1:19" s="761" customFormat="1" ht="22.5" hidden="1" outlineLevel="2" x14ac:dyDescent="0.2">
      <c r="A1167" s="762" t="e">
        <f ca="1">IF($H1167="UNIDADE CONSTRUTIVA",OFFSET(A1167,-1,0)+1,LARGE(A$3:A1166,1))</f>
        <v>#NUM!</v>
      </c>
      <c r="B1167" s="762">
        <f t="shared" ca="1" si="275"/>
        <v>15</v>
      </c>
      <c r="C1167" s="762">
        <f t="shared" ca="1" si="276"/>
        <v>1</v>
      </c>
      <c r="D1167" s="763">
        <f t="shared" ca="1" si="277"/>
        <v>3</v>
      </c>
      <c r="E1167" s="763">
        <f t="shared" ca="1" si="278"/>
        <v>4</v>
      </c>
      <c r="G1167" s="628"/>
      <c r="H1167" s="766" t="s">
        <v>368</v>
      </c>
      <c r="I1167" s="629" t="str">
        <f t="shared" ca="1" si="279"/>
        <v>15.001.003.004</v>
      </c>
      <c r="J1167" s="654" t="s">
        <v>1005</v>
      </c>
      <c r="K1167" s="630" t="s">
        <v>2</v>
      </c>
      <c r="L1167" s="631">
        <f ca="1">'ESQ. MAD. E PCF'!E56</f>
        <v>1</v>
      </c>
      <c r="M1167" s="631">
        <f>VLOOKUP(J1167,Preços!$C$7:$F$498,4,FALSE)</f>
        <v>1499.5202999999999</v>
      </c>
      <c r="N1167" s="646">
        <f ca="1">L1167*M1167</f>
        <v>1499.5202999999999</v>
      </c>
      <c r="O1167" s="767"/>
      <c r="P1167" s="632" t="s">
        <v>333</v>
      </c>
      <c r="R1167" s="742"/>
      <c r="S1167" s="742"/>
    </row>
    <row r="1168" spans="1:19" s="761" customFormat="1" ht="22.5" hidden="1" outlineLevel="2" x14ac:dyDescent="0.2">
      <c r="A1168" s="762" t="e">
        <f ca="1">IF($H1168="UNIDADE CONSTRUTIVA",OFFSET(A1168,-1,0)+1,LARGE(A$3:A1167,1))</f>
        <v>#NUM!</v>
      </c>
      <c r="B1168" s="762">
        <f ca="1">IF(H1168="UNIDADE CONSTRUTIVA",0,IF(H1168="CÉLULA CONSTRUTIVA",OFFSET(B1168,-1,0)+1,OFFSET(B1168,-1,0)))</f>
        <v>15</v>
      </c>
      <c r="C1168" s="762">
        <f ca="1">IF(H1168="CÉLULA CONSTRUTIVA",0,IF(H1168="ETAPA",OFFSET(C1168,-1,0)+1,OFFSET(C1168,-1,0)))</f>
        <v>1</v>
      </c>
      <c r="D1168" s="763">
        <f ca="1">IF(H1168="ETAPA",0,IF(H1168="SUBETAPA",OFFSET(D1168,-1,0)+1,OFFSET(D1168,-1,0)))</f>
        <v>3</v>
      </c>
      <c r="E1168" s="763">
        <f ca="1">IF(H1168="Subetapa",0,IF(H1168="serviço",OFFSET(E1168,-1,0)+1,OFFSET(E1168,-1,0)))</f>
        <v>5</v>
      </c>
      <c r="G1168" s="628"/>
      <c r="H1168" s="766" t="s">
        <v>368</v>
      </c>
      <c r="I1168" s="629" t="str">
        <f ca="1">IF(H1168="Unidade Construtiva",TEXT(A1168,"00"),IF(H1168="Célula Construtiva",TEXT(B1168,"00"),IF(H1168="Etapa",CONCATENATE(TEXT(B1168,"00"),".",TEXT(C1168,"000")),IF(H1168="Subetapa",CONCATENATE(TEXT(B1168,"00"),".",TEXT(C1168,"000"),".",TEXT(D1168,"000")),IF(H1168="Serviço",CONCATENATE(TEXT(B1168,"00"),".",TEXT(C1168,"000"),".",TEXT(D1168,"000"),".",TEXT(E1168,"000")),"")))))</f>
        <v>15.001.003.005</v>
      </c>
      <c r="J1168" s="654" t="s">
        <v>919</v>
      </c>
      <c r="K1168" s="630" t="s">
        <v>2</v>
      </c>
      <c r="L1168" s="631">
        <f ca="1">'ESQ. MAD. E PCF'!E57</f>
        <v>60</v>
      </c>
      <c r="M1168" s="631">
        <f>VLOOKUP(J1168,Preços!$C$7:$F$498,4,FALSE)</f>
        <v>2300.8002999999999</v>
      </c>
      <c r="N1168" s="646">
        <f ca="1">L1168*M1168</f>
        <v>138048.01799999998</v>
      </c>
      <c r="O1168" s="854"/>
      <c r="P1168" s="632" t="s">
        <v>333</v>
      </c>
      <c r="R1168" s="742"/>
      <c r="S1168" s="742"/>
    </row>
    <row r="1169" spans="1:19" s="761" customFormat="1" hidden="1" outlineLevel="1" collapsed="1" x14ac:dyDescent="0.2">
      <c r="A1169" s="762" t="e">
        <f ca="1">IF($H1169="UNIDADE CONSTRUTIVA",OFFSET(A1169,-1,0)+1,LARGE(A$3:A1165,1))</f>
        <v>#NUM!</v>
      </c>
      <c r="B1169" s="762">
        <f ca="1">IF(H1169="UNIDADE CONSTRUTIVA",0,IF(H1169="CÉLULA CONSTRUTIVA",OFFSET(B1169,-1,0)+1,OFFSET(B1169,-1,0)))</f>
        <v>15</v>
      </c>
      <c r="C1169" s="762">
        <f ca="1">IF(H1169="CÉLULA CONSTRUTIVA",0,IF(H1169="ETAPA",OFFSET(C1169,-1,0)+1,OFFSET(C1169,-1,0)))</f>
        <v>1</v>
      </c>
      <c r="D1169" s="763">
        <f ca="1">IF(H1169="ETAPA",0,IF(H1169="SUBETAPA",OFFSET(D1169,-1,0)+1,OFFSET(D1169,-1,0)))</f>
        <v>4</v>
      </c>
      <c r="E1169" s="763">
        <f ca="1">IF(H1169="Subetapa",0,IF(H1169="serviço",OFFSET(E1169,-1,0)+1,OFFSET(E1169,-1,0)))</f>
        <v>0</v>
      </c>
      <c r="G1169" s="628"/>
      <c r="H1169" s="766" t="s">
        <v>367</v>
      </c>
      <c r="I1169" s="629" t="str">
        <f ca="1">IF(H1169="Unidade Construtiva",TEXT(A1169,"00"),IF(H1169="Célula Construtiva",TEXT(B1169,"00"),IF(H1169="Etapa",CONCATENATE(TEXT(B1169,"00"),".",TEXT(C1169,"000")),IF(H1169="Subetapa",CONCATENATE(TEXT(B1169,"00"),".",TEXT(C1169,"000"),".",TEXT(D1169,"000")),IF(H1169="Serviço",CONCATENATE(TEXT(B1169,"00"),".",TEXT(C1169,"000"),".",TEXT(D1169,"000"),".",TEXT(E1169,"000")),"")))))</f>
        <v>15.001.004</v>
      </c>
      <c r="J1169" s="654" t="s">
        <v>1668</v>
      </c>
      <c r="K1169" s="630"/>
      <c r="L1169" s="631"/>
      <c r="M1169" s="631"/>
      <c r="N1169" s="646">
        <f>N1170</f>
        <v>130200</v>
      </c>
      <c r="O1169" s="767"/>
      <c r="P1169" s="632"/>
      <c r="R1169" s="742"/>
      <c r="S1169" s="742"/>
    </row>
    <row r="1170" spans="1:19" s="761" customFormat="1" ht="22.5" hidden="1" outlineLevel="2" x14ac:dyDescent="0.2">
      <c r="A1170" s="762" t="e">
        <f ca="1">IF($H1170="UNIDADE CONSTRUTIVA",OFFSET(A1170,-1,0)+1,LARGE(A$3:A1169,1))</f>
        <v>#NUM!</v>
      </c>
      <c r="B1170" s="762">
        <f ca="1">IF(H1170="UNIDADE CONSTRUTIVA",0,IF(H1170="CÉLULA CONSTRUTIVA",OFFSET(B1170,-1,0)+1,OFFSET(B1170,-1,0)))</f>
        <v>15</v>
      </c>
      <c r="C1170" s="762">
        <f ca="1">IF(H1170="CÉLULA CONSTRUTIVA",0,IF(H1170="ETAPA",OFFSET(C1170,-1,0)+1,OFFSET(C1170,-1,0)))</f>
        <v>1</v>
      </c>
      <c r="D1170" s="763">
        <f ca="1">IF(H1170="ETAPA",0,IF(H1170="SUBETAPA",OFFSET(D1170,-1,0)+1,OFFSET(D1170,-1,0)))</f>
        <v>4</v>
      </c>
      <c r="E1170" s="763">
        <f ca="1">IF(H1170="Subetapa",0,IF(H1170="serviço",OFFSET(E1170,-1,0)+1,OFFSET(E1170,-1,0)))</f>
        <v>1</v>
      </c>
      <c r="G1170" s="628"/>
      <c r="H1170" s="766" t="s">
        <v>368</v>
      </c>
      <c r="I1170" s="629" t="str">
        <f ca="1">IF(H1170="Unidade Construtiva",TEXT(A1170,"00"),IF(H1170="Célula Construtiva",TEXT(B1170,"00"),IF(H1170="Etapa",CONCATENATE(TEXT(B1170,"00"),".",TEXT(C1170,"000")),IF(H1170="Subetapa",CONCATENATE(TEXT(B1170,"00"),".",TEXT(C1170,"000"),".",TEXT(D1170,"000")),IF(H1170="Serviço",CONCATENATE(TEXT(B1170,"00"),".",TEXT(C1170,"000"),".",TEXT(D1170,"000"),".",TEXT(E1170,"000")),"")))))</f>
        <v>15.001.004.001</v>
      </c>
      <c r="J1170" s="654" t="s">
        <v>1669</v>
      </c>
      <c r="K1170" s="630" t="s">
        <v>2</v>
      </c>
      <c r="L1170" s="631">
        <v>62</v>
      </c>
      <c r="M1170" s="631">
        <f>VLOOKUP(J1170,Preços!$C$7:$F$498,4,FALSE)</f>
        <v>2100</v>
      </c>
      <c r="N1170" s="646">
        <f>L1170*M1170</f>
        <v>130200</v>
      </c>
      <c r="O1170" s="767" t="s">
        <v>1670</v>
      </c>
      <c r="P1170" s="632" t="s">
        <v>333</v>
      </c>
      <c r="R1170" s="742"/>
      <c r="S1170" s="742"/>
    </row>
    <row r="1171" spans="1:19" s="761" customFormat="1" hidden="1" outlineLevel="1" collapsed="1" x14ac:dyDescent="0.2">
      <c r="A1171" s="762" t="e">
        <f ca="1">IF($H1171="UNIDADE CONSTRUTIVA",OFFSET(A1171,-1,0)+1,LARGE(A$3:A1167,1))</f>
        <v>#NUM!</v>
      </c>
      <c r="B1171" s="762">
        <f t="shared" ca="1" si="275"/>
        <v>15</v>
      </c>
      <c r="C1171" s="762">
        <f t="shared" ca="1" si="276"/>
        <v>1</v>
      </c>
      <c r="D1171" s="763">
        <f t="shared" ca="1" si="277"/>
        <v>5</v>
      </c>
      <c r="E1171" s="763">
        <f t="shared" ca="1" si="278"/>
        <v>0</v>
      </c>
      <c r="G1171" s="628"/>
      <c r="H1171" s="766" t="s">
        <v>367</v>
      </c>
      <c r="I1171" s="629" t="str">
        <f t="shared" ca="1" si="279"/>
        <v>15.001.005</v>
      </c>
      <c r="J1171" s="654" t="s">
        <v>241</v>
      </c>
      <c r="K1171" s="630"/>
      <c r="L1171" s="631"/>
      <c r="M1171" s="631"/>
      <c r="N1171" s="646">
        <f ca="1">N1172</f>
        <v>31558.049999999996</v>
      </c>
      <c r="O1171" s="767"/>
      <c r="P1171" s="632"/>
      <c r="R1171" s="742"/>
      <c r="S1171" s="742"/>
    </row>
    <row r="1172" spans="1:19" s="761" customFormat="1" ht="22.5" hidden="1" outlineLevel="2" x14ac:dyDescent="0.2">
      <c r="A1172" s="762" t="e">
        <f ca="1">IF($H1172="UNIDADE CONSTRUTIVA",OFFSET(A1172,-1,0)+1,LARGE(A$3:A1171,1))</f>
        <v>#NUM!</v>
      </c>
      <c r="B1172" s="762">
        <f t="shared" ca="1" si="275"/>
        <v>15</v>
      </c>
      <c r="C1172" s="762">
        <f t="shared" ca="1" si="276"/>
        <v>1</v>
      </c>
      <c r="D1172" s="763">
        <f t="shared" ca="1" si="277"/>
        <v>5</v>
      </c>
      <c r="E1172" s="763">
        <f t="shared" ca="1" si="278"/>
        <v>1</v>
      </c>
      <c r="G1172" s="628"/>
      <c r="H1172" s="766" t="s">
        <v>368</v>
      </c>
      <c r="I1172" s="629" t="str">
        <f t="shared" ca="1" si="279"/>
        <v>15.001.005.001</v>
      </c>
      <c r="J1172" s="654" t="s">
        <v>242</v>
      </c>
      <c r="K1172" s="630" t="s">
        <v>3</v>
      </c>
      <c r="L1172" s="631">
        <f ca="1">'GC-CORRIMÃO'!F55</f>
        <v>369.09999999999997</v>
      </c>
      <c r="M1172" s="631">
        <f>'GC-CORRIMÃO'!G55</f>
        <v>85.5</v>
      </c>
      <c r="N1172" s="646">
        <f ca="1">L1172*M1172</f>
        <v>31558.049999999996</v>
      </c>
      <c r="O1172" s="767"/>
      <c r="P1172" s="632" t="s">
        <v>333</v>
      </c>
      <c r="R1172" s="742"/>
      <c r="S1172" s="742"/>
    </row>
    <row r="1173" spans="1:19" s="761" customFormat="1" hidden="1" outlineLevel="1" collapsed="1" x14ac:dyDescent="0.2">
      <c r="A1173" s="762" t="e">
        <f ca="1">IF($H1173="UNIDADE CONSTRUTIVA",OFFSET(A1173,-1,0)+1,LARGE(A$3:A1184,1))</f>
        <v>#NUM!</v>
      </c>
      <c r="B1173" s="762">
        <f t="shared" ref="B1173:B1182" ca="1" si="280">IF(H1173="UNIDADE CONSTRUTIVA",0,IF(H1173="CÉLULA CONSTRUTIVA",OFFSET(B1173,-1,0)+1,OFFSET(B1173,-1,0)))</f>
        <v>15</v>
      </c>
      <c r="C1173" s="762">
        <f t="shared" ref="C1173:C1182" ca="1" si="281">IF(H1173="CÉLULA CONSTRUTIVA",0,IF(H1173="ETAPA",OFFSET(C1173,-1,0)+1,OFFSET(C1173,-1,0)))</f>
        <v>1</v>
      </c>
      <c r="D1173" s="763">
        <f t="shared" ref="D1173:D1182" ca="1" si="282">IF(H1173="ETAPA",0,IF(H1173="SUBETAPA",OFFSET(D1173,-1,0)+1,OFFSET(D1173,-1,0)))</f>
        <v>6</v>
      </c>
      <c r="E1173" s="763">
        <f t="shared" ref="E1173:E1182" ca="1" si="283">IF(H1173="Subetapa",0,IF(H1173="serviço",OFFSET(E1173,-1,0)+1,OFFSET(E1173,-1,0)))</f>
        <v>0</v>
      </c>
      <c r="G1173" s="628"/>
      <c r="H1173" s="766" t="s">
        <v>367</v>
      </c>
      <c r="I1173" s="629" t="str">
        <f t="shared" ref="I1173:I1182" ca="1" si="284">IF(H1173="Unidade Construtiva",TEXT(A1173,"00"),IF(H1173="Célula Construtiva",TEXT(B1173,"00"),IF(H1173="Etapa",CONCATENATE(TEXT(B1173,"00"),".",TEXT(C1173,"000")),IF(H1173="Subetapa",CONCATENATE(TEXT(B1173,"00"),".",TEXT(C1173,"000"),".",TEXT(D1173,"000")),IF(H1173="Serviço",CONCATENATE(TEXT(B1173,"00"),".",TEXT(C1173,"000"),".",TEXT(D1173,"000"),".",TEXT(E1173,"000")),"")))))</f>
        <v>15.001.006</v>
      </c>
      <c r="J1173" s="654" t="s">
        <v>883</v>
      </c>
      <c r="K1173" s="630"/>
      <c r="L1173" s="631"/>
      <c r="M1173" s="631"/>
      <c r="N1173" s="646">
        <f>SUM(N1174:N1177)</f>
        <v>72110.48</v>
      </c>
      <c r="O1173" s="767"/>
      <c r="P1173" s="632"/>
      <c r="R1173" s="742"/>
      <c r="S1173" s="742"/>
    </row>
    <row r="1174" spans="1:19" s="761" customFormat="1" ht="22.5" hidden="1" outlineLevel="2" x14ac:dyDescent="0.2">
      <c r="A1174" s="762" t="e">
        <f ca="1">IF($H1174="UNIDADE CONSTRUTIVA",OFFSET(A1174,-1,0)+1,LARGE(A$3:A1173,1))</f>
        <v>#NUM!</v>
      </c>
      <c r="B1174" s="762">
        <f ca="1">IF(H1174="UNIDADE CONSTRUTIVA",0,IF(H1174="CÉLULA CONSTRUTIVA",OFFSET(B1174,-1,0)+1,OFFSET(B1174,-1,0)))</f>
        <v>15</v>
      </c>
      <c r="C1174" s="762">
        <f ca="1">IF(H1174="CÉLULA CONSTRUTIVA",0,IF(H1174="ETAPA",OFFSET(C1174,-1,0)+1,OFFSET(C1174,-1,0)))</f>
        <v>1</v>
      </c>
      <c r="D1174" s="763">
        <f ca="1">IF(H1174="ETAPA",0,IF(H1174="SUBETAPA",OFFSET(D1174,-1,0)+1,OFFSET(D1174,-1,0)))</f>
        <v>6</v>
      </c>
      <c r="E1174" s="763">
        <f ca="1">IF(H1174="Subetapa",0,IF(H1174="serviço",OFFSET(E1174,-1,0)+1,OFFSET(E1174,-1,0)))</f>
        <v>1</v>
      </c>
      <c r="G1174" s="628"/>
      <c r="H1174" s="766" t="s">
        <v>368</v>
      </c>
      <c r="I1174" s="629" t="str">
        <f ca="1">IF(H1174="Unidade Construtiva",TEXT(A1174,"00"),IF(H1174="Célula Construtiva",TEXT(B1174,"00"),IF(H1174="Etapa",CONCATENATE(TEXT(B1174,"00"),".",TEXT(C1174,"000")),IF(H1174="Subetapa",CONCATENATE(TEXT(B1174,"00"),".",TEXT(C1174,"000"),".",TEXT(D1174,"000")),IF(H1174="Serviço",CONCATENATE(TEXT(B1174,"00"),".",TEXT(C1174,"000"),".",TEXT(D1174,"000"),".",TEXT(E1174,"000")),"")))))</f>
        <v>15.001.006.001</v>
      </c>
      <c r="J1174" s="654" t="s">
        <v>1450</v>
      </c>
      <c r="K1174" s="630" t="s">
        <v>2</v>
      </c>
      <c r="L1174" s="631">
        <f>'ESQ. MAD. E PCF'!E61</f>
        <v>53</v>
      </c>
      <c r="M1174" s="631">
        <f>VLOOKUP(J1174,Preços!$C$7:$F$498,4,FALSE)</f>
        <v>1144</v>
      </c>
      <c r="N1174" s="646">
        <f>L1174*M1174</f>
        <v>60632</v>
      </c>
      <c r="O1174" s="767"/>
      <c r="P1174" s="632" t="s">
        <v>333</v>
      </c>
      <c r="R1174" s="742"/>
      <c r="S1174" s="742"/>
    </row>
    <row r="1175" spans="1:19" s="761" customFormat="1" ht="22.5" hidden="1" outlineLevel="2" x14ac:dyDescent="0.2">
      <c r="A1175" s="762" t="e">
        <f ca="1">IF($H1175="UNIDADE CONSTRUTIVA",OFFSET(A1175,-1,0)+1,LARGE(A$3:A1174,1))</f>
        <v>#NUM!</v>
      </c>
      <c r="B1175" s="762">
        <f t="shared" ca="1" si="280"/>
        <v>15</v>
      </c>
      <c r="C1175" s="762">
        <f t="shared" ca="1" si="281"/>
        <v>1</v>
      </c>
      <c r="D1175" s="763">
        <f t="shared" ca="1" si="282"/>
        <v>6</v>
      </c>
      <c r="E1175" s="763">
        <f t="shared" ca="1" si="283"/>
        <v>2</v>
      </c>
      <c r="G1175" s="628"/>
      <c r="H1175" s="766" t="s">
        <v>368</v>
      </c>
      <c r="I1175" s="629" t="str">
        <f t="shared" ca="1" si="284"/>
        <v>15.001.006.002</v>
      </c>
      <c r="J1175" s="654" t="s">
        <v>921</v>
      </c>
      <c r="K1175" s="630" t="s">
        <v>2</v>
      </c>
      <c r="L1175" s="631">
        <v>1</v>
      </c>
      <c r="M1175" s="631">
        <f>'ESQ. MET E SERR'!J9</f>
        <v>6200</v>
      </c>
      <c r="N1175" s="646">
        <f>L1175*M1175</f>
        <v>6200</v>
      </c>
      <c r="O1175" s="767"/>
      <c r="P1175" s="632" t="s">
        <v>333</v>
      </c>
      <c r="R1175" s="742"/>
      <c r="S1175" s="742"/>
    </row>
    <row r="1176" spans="1:19" s="761" customFormat="1" ht="22.5" hidden="1" outlineLevel="2" x14ac:dyDescent="0.2">
      <c r="A1176" s="762" t="e">
        <f ca="1">IF($H1176="UNIDADE CONSTRUTIVA",OFFSET(A1176,-1,0)+1,LARGE(A$3:A1175,1))</f>
        <v>#NUM!</v>
      </c>
      <c r="B1176" s="762">
        <f ca="1">IF(H1176="UNIDADE CONSTRUTIVA",0,IF(H1176="CÉLULA CONSTRUTIVA",OFFSET(B1176,-1,0)+1,OFFSET(B1176,-1,0)))</f>
        <v>15</v>
      </c>
      <c r="C1176" s="762">
        <f ca="1">IF(H1176="CÉLULA CONSTRUTIVA",0,IF(H1176="ETAPA",OFFSET(C1176,-1,0)+1,OFFSET(C1176,-1,0)))</f>
        <v>1</v>
      </c>
      <c r="D1176" s="763">
        <f ca="1">IF(H1176="ETAPA",0,IF(H1176="SUBETAPA",OFFSET(D1176,-1,0)+1,OFFSET(D1176,-1,0)))</f>
        <v>6</v>
      </c>
      <c r="E1176" s="763">
        <f ca="1">IF(H1176="Subetapa",0,IF(H1176="serviço",OFFSET(E1176,-1,0)+1,OFFSET(E1176,-1,0)))</f>
        <v>3</v>
      </c>
      <c r="G1176" s="628"/>
      <c r="H1176" s="766" t="s">
        <v>368</v>
      </c>
      <c r="I1176" s="629" t="str">
        <f ca="1">IF(H1176="Unidade Construtiva",TEXT(A1176,"00"),IF(H1176="Célula Construtiva",TEXT(B1176,"00"),IF(H1176="Etapa",CONCATENATE(TEXT(B1176,"00"),".",TEXT(C1176,"000")),IF(H1176="Subetapa",CONCATENATE(TEXT(B1176,"00"),".",TEXT(C1176,"000"),".",TEXT(D1176,"000")),IF(H1176="Serviço",CONCATENATE(TEXT(B1176,"00"),".",TEXT(C1176,"000"),".",TEXT(D1176,"000"),".",TEXT(E1176,"000")),"")))))</f>
        <v>15.001.006.003</v>
      </c>
      <c r="J1176" s="654" t="s">
        <v>925</v>
      </c>
      <c r="K1176" s="630" t="s">
        <v>2</v>
      </c>
      <c r="L1176" s="631">
        <v>2</v>
      </c>
      <c r="M1176" s="631">
        <f>'ESQ. MET E SERR'!J10</f>
        <v>2243</v>
      </c>
      <c r="N1176" s="646">
        <f>L1176*M1176</f>
        <v>4486</v>
      </c>
      <c r="O1176" s="767"/>
      <c r="P1176" s="632" t="s">
        <v>333</v>
      </c>
      <c r="R1176" s="742"/>
      <c r="S1176" s="742"/>
    </row>
    <row r="1177" spans="1:19" s="761" customFormat="1" ht="22.5" hidden="1" outlineLevel="2" x14ac:dyDescent="0.2">
      <c r="A1177" s="762" t="e">
        <f ca="1">IF($H1177="UNIDADE CONSTRUTIVA",OFFSET(A1177,-1,0)+1,LARGE(A$3:A1175,1))</f>
        <v>#NUM!</v>
      </c>
      <c r="B1177" s="762">
        <f t="shared" ca="1" si="280"/>
        <v>15</v>
      </c>
      <c r="C1177" s="762">
        <f t="shared" ca="1" si="281"/>
        <v>1</v>
      </c>
      <c r="D1177" s="763">
        <f t="shared" ca="1" si="282"/>
        <v>6</v>
      </c>
      <c r="E1177" s="763">
        <f t="shared" ca="1" si="283"/>
        <v>4</v>
      </c>
      <c r="G1177" s="628"/>
      <c r="H1177" s="766" t="s">
        <v>368</v>
      </c>
      <c r="I1177" s="629" t="str">
        <f t="shared" ca="1" si="284"/>
        <v>15.001.006.004</v>
      </c>
      <c r="J1177" s="654" t="s">
        <v>246</v>
      </c>
      <c r="K1177" s="630" t="s">
        <v>2</v>
      </c>
      <c r="L1177" s="631">
        <v>2</v>
      </c>
      <c r="M1177" s="631">
        <f>'ESQ. MET E SERR'!J13</f>
        <v>396.24</v>
      </c>
      <c r="N1177" s="646">
        <f>L1177*M1177</f>
        <v>792.48</v>
      </c>
      <c r="O1177" s="767"/>
      <c r="P1177" s="632" t="s">
        <v>333</v>
      </c>
      <c r="R1177" s="742"/>
      <c r="S1177" s="742"/>
    </row>
    <row r="1178" spans="1:19" s="761" customFormat="1" hidden="1" outlineLevel="1" collapsed="1" x14ac:dyDescent="0.2">
      <c r="A1178" s="762" t="e">
        <f ca="1">IF($H1178="UNIDADE CONSTRUTIVA",OFFSET(A1178,-1,0)+1,LARGE(A$3:A1295,1))</f>
        <v>#NUM!</v>
      </c>
      <c r="B1178" s="762">
        <f ca="1">IF(H1178="UNIDADE CONSTRUTIVA",0,IF(H1178="CÉLULA CONSTRUTIVA",OFFSET(B1178,-1,0)+1,OFFSET(B1178,-1,0)))</f>
        <v>15</v>
      </c>
      <c r="C1178" s="762">
        <f ca="1">IF(H1178="CÉLULA CONSTRUTIVA",0,IF(H1178="ETAPA",OFFSET(C1178,-1,0)+1,OFFSET(C1178,-1,0)))</f>
        <v>1</v>
      </c>
      <c r="D1178" s="763">
        <f ca="1">IF(H1178="ETAPA",0,IF(H1178="SUBETAPA",OFFSET(D1178,-1,0)+1,OFFSET(D1178,-1,0)))</f>
        <v>7</v>
      </c>
      <c r="E1178" s="763">
        <f ca="1">IF(H1178="Subetapa",0,IF(H1178="serviço",OFFSET(E1178,-1,0)+1,OFFSET(E1178,-1,0)))</f>
        <v>0</v>
      </c>
      <c r="G1178" s="628"/>
      <c r="H1178" s="766" t="s">
        <v>367</v>
      </c>
      <c r="I1178" s="629" t="str">
        <f ca="1">IF(H1178="Unidade Construtiva",TEXT(A1178,"00"),IF(H1178="Célula Construtiva",TEXT(B1178,"00"),IF(H1178="Etapa",CONCATENATE(TEXT(B1178,"00"),".",TEXT(C1178,"000")),IF(H1178="Subetapa",CONCATENATE(TEXT(B1178,"00"),".",TEXT(C1178,"000"),".",TEXT(D1178,"000")),IF(H1178="Serviço",CONCATENATE(TEXT(B1178,"00"),".",TEXT(C1178,"000"),".",TEXT(D1178,"000"),".",TEXT(E1178,"000")),"")))))</f>
        <v>15.001.007</v>
      </c>
      <c r="J1178" s="654" t="s">
        <v>932</v>
      </c>
      <c r="K1178" s="630"/>
      <c r="L1178" s="631"/>
      <c r="M1178" s="631"/>
      <c r="N1178" s="646">
        <f>N1179</f>
        <v>3913.43</v>
      </c>
      <c r="O1178" s="767"/>
      <c r="P1178" s="632"/>
      <c r="R1178" s="742"/>
      <c r="S1178" s="742"/>
    </row>
    <row r="1179" spans="1:19" s="761" customFormat="1" ht="22.5" hidden="1" outlineLevel="2" x14ac:dyDescent="0.2">
      <c r="A1179" s="762" t="e">
        <f ca="1">IF($H1179="UNIDADE CONSTRUTIVA",OFFSET(A1179,-1,0)+1,LARGE(A$3:A1178,1))</f>
        <v>#NUM!</v>
      </c>
      <c r="B1179" s="762">
        <f ca="1">IF(H1179="UNIDADE CONSTRUTIVA",0,IF(H1179="CÉLULA CONSTRUTIVA",OFFSET(B1179,-1,0)+1,OFFSET(B1179,-1,0)))</f>
        <v>15</v>
      </c>
      <c r="C1179" s="762">
        <f ca="1">IF(H1179="CÉLULA CONSTRUTIVA",0,IF(H1179="ETAPA",OFFSET(C1179,-1,0)+1,OFFSET(C1179,-1,0)))</f>
        <v>1</v>
      </c>
      <c r="D1179" s="763">
        <f ca="1">IF(H1179="ETAPA",0,IF(H1179="SUBETAPA",OFFSET(D1179,-1,0)+1,OFFSET(D1179,-1,0)))</f>
        <v>7</v>
      </c>
      <c r="E1179" s="763">
        <f ca="1">IF(H1179="Subetapa",0,IF(H1179="serviço",OFFSET(E1179,-1,0)+1,OFFSET(E1179,-1,0)))</f>
        <v>1</v>
      </c>
      <c r="G1179" s="628"/>
      <c r="H1179" s="766" t="s">
        <v>368</v>
      </c>
      <c r="I1179" s="629" t="str">
        <f ca="1">IF(H1179="Unidade Construtiva",TEXT(A1179,"00"),IF(H1179="Célula Construtiva",TEXT(B1179,"00"),IF(H1179="Etapa",CONCATENATE(TEXT(B1179,"00"),".",TEXT(C1179,"000")),IF(H1179="Subetapa",CONCATENATE(TEXT(B1179,"00"),".",TEXT(C1179,"000"),".",TEXT(D1179,"000")),IF(H1179="Serviço",CONCATENATE(TEXT(B1179,"00"),".",TEXT(C1179,"000"),".",TEXT(D1179,"000"),".",TEXT(E1179,"000")),"")))))</f>
        <v>15.001.007.001</v>
      </c>
      <c r="J1179" s="654" t="s">
        <v>937</v>
      </c>
      <c r="K1179" s="630" t="s">
        <v>1</v>
      </c>
      <c r="L1179" s="631">
        <f>'ESQ. ALUM.'!I167</f>
        <v>7.8599999999999994</v>
      </c>
      <c r="M1179" s="631">
        <f>'ESQ. ALUM.'!I168</f>
        <v>497.89185750636136</v>
      </c>
      <c r="N1179" s="646">
        <f>L1179*M1179</f>
        <v>3913.43</v>
      </c>
      <c r="O1179" s="767"/>
      <c r="P1179" s="632" t="s">
        <v>333</v>
      </c>
      <c r="R1179" s="742"/>
      <c r="S1179" s="742"/>
    </row>
    <row r="1180" spans="1:19" s="761" customFormat="1" hidden="1" outlineLevel="1" collapsed="1" x14ac:dyDescent="0.2">
      <c r="A1180" s="762" t="e">
        <f ca="1">IF($H1180="UNIDADE CONSTRUTIVA",OFFSET(A1180,-1,0)+1,LARGE(A$3:A1162,1))</f>
        <v>#NUM!</v>
      </c>
      <c r="B1180" s="762">
        <f t="shared" ca="1" si="280"/>
        <v>15</v>
      </c>
      <c r="C1180" s="762">
        <f t="shared" ca="1" si="281"/>
        <v>1</v>
      </c>
      <c r="D1180" s="763">
        <f t="shared" ca="1" si="282"/>
        <v>8</v>
      </c>
      <c r="E1180" s="763">
        <f t="shared" ca="1" si="283"/>
        <v>0</v>
      </c>
      <c r="G1180" s="628"/>
      <c r="H1180" s="766" t="s">
        <v>367</v>
      </c>
      <c r="I1180" s="629" t="str">
        <f t="shared" ca="1" si="284"/>
        <v>15.001.008</v>
      </c>
      <c r="J1180" s="654" t="s">
        <v>882</v>
      </c>
      <c r="K1180" s="630"/>
      <c r="L1180" s="631"/>
      <c r="M1180" s="631"/>
      <c r="N1180" s="646">
        <f ca="1">SUM(N1181:N1182)</f>
        <v>46020.606000000014</v>
      </c>
      <c r="O1180" s="767"/>
      <c r="P1180" s="632"/>
      <c r="R1180" s="742"/>
      <c r="S1180" s="742"/>
    </row>
    <row r="1181" spans="1:19" s="761" customFormat="1" ht="22.5" hidden="1" outlineLevel="2" x14ac:dyDescent="0.2">
      <c r="A1181" s="762" t="e">
        <f ca="1">IF($H1181="UNIDADE CONSTRUTIVA",OFFSET(A1181,-1,0)+1,LARGE(A$3:A1180,1))</f>
        <v>#NUM!</v>
      </c>
      <c r="B1181" s="762">
        <f t="shared" ca="1" si="280"/>
        <v>15</v>
      </c>
      <c r="C1181" s="762">
        <f t="shared" ca="1" si="281"/>
        <v>1</v>
      </c>
      <c r="D1181" s="763">
        <f t="shared" ca="1" si="282"/>
        <v>8</v>
      </c>
      <c r="E1181" s="763">
        <f t="shared" ca="1" si="283"/>
        <v>1</v>
      </c>
      <c r="G1181" s="628"/>
      <c r="H1181" s="766" t="s">
        <v>368</v>
      </c>
      <c r="I1181" s="629" t="str">
        <f t="shared" ca="1" si="284"/>
        <v>15.001.008.001</v>
      </c>
      <c r="J1181" s="654" t="s">
        <v>882</v>
      </c>
      <c r="K1181" s="630" t="s">
        <v>3</v>
      </c>
      <c r="L1181" s="631">
        <f ca="1">L1156</f>
        <v>2579.8100000000013</v>
      </c>
      <c r="M1181" s="631">
        <f>VLOOKUP(J1181,Preços!$C$7:$F$498,4,FALSE)</f>
        <v>12.6</v>
      </c>
      <c r="N1181" s="646">
        <f ca="1">L1181*M1181</f>
        <v>32505.606000000014</v>
      </c>
      <c r="O1181" s="767"/>
      <c r="P1181" s="632" t="s">
        <v>333</v>
      </c>
      <c r="R1181" s="742"/>
      <c r="S1181" s="742"/>
    </row>
    <row r="1182" spans="1:19" s="761" customFormat="1" ht="22.5" hidden="1" outlineLevel="2" x14ac:dyDescent="0.2">
      <c r="A1182" s="762" t="e">
        <f ca="1">IF($H1182="UNIDADE CONSTRUTIVA",OFFSET(A1182,-1,0)+1,LARGE(A$3:A1184,1))</f>
        <v>#NUM!</v>
      </c>
      <c r="B1182" s="762">
        <f t="shared" ca="1" si="280"/>
        <v>15</v>
      </c>
      <c r="C1182" s="762">
        <f t="shared" ca="1" si="281"/>
        <v>1</v>
      </c>
      <c r="D1182" s="763">
        <f t="shared" ca="1" si="282"/>
        <v>8</v>
      </c>
      <c r="E1182" s="763">
        <f t="shared" ca="1" si="283"/>
        <v>2</v>
      </c>
      <c r="G1182" s="628"/>
      <c r="H1182" s="766" t="s">
        <v>368</v>
      </c>
      <c r="I1182" s="629" t="str">
        <f t="shared" ca="1" si="284"/>
        <v>15.001.008.002</v>
      </c>
      <c r="J1182" s="959" t="s">
        <v>1664</v>
      </c>
      <c r="K1182" s="630" t="s">
        <v>3</v>
      </c>
      <c r="L1182" s="631">
        <f>L1157</f>
        <v>270.3</v>
      </c>
      <c r="M1182" s="631">
        <f>VLOOKUP(J1182,Preços!$C$7:$F$498,4,FALSE)</f>
        <v>50</v>
      </c>
      <c r="N1182" s="646">
        <f>L1182*M1182</f>
        <v>13515</v>
      </c>
      <c r="O1182" s="767"/>
      <c r="P1182" s="632" t="s">
        <v>333</v>
      </c>
      <c r="R1182" s="742"/>
      <c r="S1182" s="742"/>
    </row>
    <row r="1183" spans="1:19" s="761" customFormat="1" hidden="1" outlineLevel="1" collapsed="1" x14ac:dyDescent="0.2">
      <c r="A1183" s="762" t="e">
        <f ca="1">IF($H1183="UNIDADE CONSTRUTIVA",OFFSET(A1183,-1,0)+1,LARGE(A$3:A1172,1))</f>
        <v>#NUM!</v>
      </c>
      <c r="B1183" s="762">
        <f t="shared" ca="1" si="275"/>
        <v>15</v>
      </c>
      <c r="C1183" s="762">
        <f t="shared" ca="1" si="276"/>
        <v>1</v>
      </c>
      <c r="D1183" s="763">
        <f t="shared" ca="1" si="277"/>
        <v>9</v>
      </c>
      <c r="E1183" s="763">
        <f t="shared" ca="1" si="278"/>
        <v>0</v>
      </c>
      <c r="G1183" s="628"/>
      <c r="H1183" s="766" t="s">
        <v>367</v>
      </c>
      <c r="I1183" s="629" t="str">
        <f t="shared" ca="1" si="279"/>
        <v>15.001.009</v>
      </c>
      <c r="J1183" s="654" t="s">
        <v>243</v>
      </c>
      <c r="K1183" s="630"/>
      <c r="L1183" s="631"/>
      <c r="M1183" s="631"/>
      <c r="N1183" s="646">
        <f ca="1">N1184</f>
        <v>44980</v>
      </c>
      <c r="O1183" s="767"/>
      <c r="P1183" s="632"/>
      <c r="R1183" s="742"/>
      <c r="S1183" s="742"/>
    </row>
    <row r="1184" spans="1:19" s="761" customFormat="1" ht="22.5" hidden="1" outlineLevel="2" x14ac:dyDescent="0.2">
      <c r="A1184" s="762" t="e">
        <f ca="1">IF($H1184="UNIDADE CONSTRUTIVA",OFFSET(A1184,-1,0)+1,LARGE(A$3:A1183,1))</f>
        <v>#NUM!</v>
      </c>
      <c r="B1184" s="762">
        <f t="shared" ca="1" si="275"/>
        <v>15</v>
      </c>
      <c r="C1184" s="762">
        <f t="shared" ca="1" si="276"/>
        <v>1</v>
      </c>
      <c r="D1184" s="763">
        <f t="shared" ca="1" si="277"/>
        <v>9</v>
      </c>
      <c r="E1184" s="763">
        <f t="shared" ca="1" si="278"/>
        <v>1</v>
      </c>
      <c r="G1184" s="628"/>
      <c r="H1184" s="766" t="s">
        <v>368</v>
      </c>
      <c r="I1184" s="629" t="str">
        <f t="shared" ca="1" si="279"/>
        <v>15.001.009.001</v>
      </c>
      <c r="J1184" s="654" t="s">
        <v>1007</v>
      </c>
      <c r="K1184" s="630" t="s">
        <v>2</v>
      </c>
      <c r="L1184" s="631">
        <f ca="1">SUM(L1164:L1168)</f>
        <v>346</v>
      </c>
      <c r="M1184" s="631">
        <f>VLOOKUP(J1184,Preços!$C$7:$F$498,4,FALSE)</f>
        <v>130</v>
      </c>
      <c r="N1184" s="646">
        <f ca="1">L1184*M1184</f>
        <v>44980</v>
      </c>
      <c r="O1184" s="767"/>
      <c r="P1184" s="632" t="s">
        <v>333</v>
      </c>
      <c r="R1184" s="742"/>
      <c r="S1184" s="742"/>
    </row>
    <row r="1185" spans="1:19" s="761" customFormat="1" collapsed="1" x14ac:dyDescent="0.2">
      <c r="A1185" s="762" t="e">
        <f ca="1">IF($H1185="UNIDADE CONSTRUTIVA",OFFSET(A1185,-1,0)+1,LARGE(A$3:A1297,1))</f>
        <v>#NUM!</v>
      </c>
      <c r="B1185" s="762">
        <f t="shared" ref="B1185:B1213" ca="1" si="285">IF(H1185="UNIDADE CONSTRUTIVA",0,IF(H1185="CÉLULA CONSTRUTIVA",OFFSET(B1185,-1,0)+1,OFFSET(B1185,-1,0)))</f>
        <v>16</v>
      </c>
      <c r="C1185" s="762">
        <f t="shared" ref="C1185:C1213" ca="1" si="286">IF(H1185="CÉLULA CONSTRUTIVA",0,IF(H1185="ETAPA",OFFSET(C1185,-1,0)+1,OFFSET(C1185,-1,0)))</f>
        <v>0</v>
      </c>
      <c r="D1185" s="763">
        <f t="shared" ref="D1185:D1213" ca="1" si="287">IF(H1185="ETAPA",0,IF(H1185="SUBETAPA",OFFSET(D1185,-1,0)+1,OFFSET(D1185,-1,0)))</f>
        <v>9</v>
      </c>
      <c r="E1185" s="763">
        <f t="shared" ref="E1185:E1213" ca="1" si="288">IF(H1185="Subetapa",0,IF(H1185="serviço",OFFSET(E1185,-1,0)+1,OFFSET(E1185,-1,0)))</f>
        <v>1</v>
      </c>
      <c r="G1185" s="628"/>
      <c r="H1185" s="766" t="s">
        <v>365</v>
      </c>
      <c r="I1185" s="629" t="str">
        <f t="shared" ref="I1185:I1206" ca="1" si="289">IF(H1185="Unidade Construtiva",TEXT(A1185,"00"),IF(H1185="Célula Construtiva",TEXT(B1185,"00"),IF(H1185="Etapa",CONCATENATE(TEXT(B1185,"00"),".",TEXT(C1185,"000")),IF(H1185="Subetapa",CONCATENATE(TEXT(B1185,"00"),".",TEXT(C1185,"000"),".",TEXT(D1185,"000")),IF(H1185="Serviço",CONCATENATE(TEXT(B1185,"00"),".",TEXT(C1185,"000"),".",TEXT(D1185,"000"),".",TEXT(E1185,"000")),"")))))</f>
        <v>16</v>
      </c>
      <c r="J1185" s="654" t="s">
        <v>84</v>
      </c>
      <c r="K1185" s="630"/>
      <c r="L1185" s="631"/>
      <c r="M1185" s="631"/>
      <c r="N1185" s="646">
        <f>N1186</f>
        <v>29824.7</v>
      </c>
      <c r="O1185" s="767"/>
      <c r="P1185" s="632"/>
      <c r="R1185" s="742"/>
      <c r="S1185" s="742"/>
    </row>
    <row r="1186" spans="1:19" s="761" customFormat="1" hidden="1" outlineLevel="1" collapsed="1" x14ac:dyDescent="0.2">
      <c r="A1186" s="762" t="e">
        <f ca="1">IF($H1186="UNIDADE CONSTRUTIVA",OFFSET(A1186,-1,0)+1,LARGE(A$3:A1185,1))</f>
        <v>#NUM!</v>
      </c>
      <c r="B1186" s="762">
        <f t="shared" ca="1" si="285"/>
        <v>16</v>
      </c>
      <c r="C1186" s="762">
        <f t="shared" ca="1" si="286"/>
        <v>1</v>
      </c>
      <c r="D1186" s="763">
        <f t="shared" ca="1" si="287"/>
        <v>0</v>
      </c>
      <c r="E1186" s="763">
        <f t="shared" ca="1" si="288"/>
        <v>1</v>
      </c>
      <c r="G1186" s="628"/>
      <c r="H1186" s="766" t="s">
        <v>366</v>
      </c>
      <c r="I1186" s="629" t="str">
        <f t="shared" ca="1" si="289"/>
        <v>16.001</v>
      </c>
      <c r="J1186" s="654" t="s">
        <v>84</v>
      </c>
      <c r="K1186" s="630"/>
      <c r="L1186" s="631"/>
      <c r="M1186" s="631"/>
      <c r="N1186" s="646">
        <f>SUM(N1187,N1189)</f>
        <v>29824.7</v>
      </c>
      <c r="O1186" s="767"/>
      <c r="P1186" s="632"/>
      <c r="R1186" s="742"/>
      <c r="S1186" s="742"/>
    </row>
    <row r="1187" spans="1:19" s="761" customFormat="1" hidden="1" outlineLevel="1" x14ac:dyDescent="0.2">
      <c r="A1187" s="762" t="e">
        <f ca="1">IF($H1187="UNIDADE CONSTRUTIVA",OFFSET(A1187,-1,0)+1,LARGE(A$3:A1186,1))</f>
        <v>#NUM!</v>
      </c>
      <c r="B1187" s="762">
        <f t="shared" ca="1" si="285"/>
        <v>16</v>
      </c>
      <c r="C1187" s="762">
        <f t="shared" ca="1" si="286"/>
        <v>1</v>
      </c>
      <c r="D1187" s="763">
        <f t="shared" ca="1" si="287"/>
        <v>1</v>
      </c>
      <c r="E1187" s="763">
        <f t="shared" ca="1" si="288"/>
        <v>0</v>
      </c>
      <c r="G1187" s="628"/>
      <c r="H1187" s="766" t="s">
        <v>367</v>
      </c>
      <c r="I1187" s="629" t="str">
        <f t="shared" ca="1" si="289"/>
        <v>16.001.001</v>
      </c>
      <c r="J1187" s="654" t="s">
        <v>877</v>
      </c>
      <c r="K1187" s="630"/>
      <c r="L1187" s="631"/>
      <c r="M1187" s="631"/>
      <c r="N1187" s="646">
        <f>N1188</f>
        <v>1476</v>
      </c>
      <c r="O1187" s="767"/>
      <c r="P1187" s="632"/>
      <c r="R1187" s="742"/>
      <c r="S1187" s="742"/>
    </row>
    <row r="1188" spans="1:19" s="761" customFormat="1" ht="22.5" hidden="1" outlineLevel="1" x14ac:dyDescent="0.2">
      <c r="A1188" s="762" t="e">
        <f ca="1">IF($H1188="UNIDADE CONSTRUTIVA",OFFSET(A1188,-1,0)+1,LARGE(A$3:A1187,1))</f>
        <v>#NUM!</v>
      </c>
      <c r="B1188" s="762">
        <f t="shared" ca="1" si="285"/>
        <v>16</v>
      </c>
      <c r="C1188" s="762">
        <f t="shared" ca="1" si="286"/>
        <v>1</v>
      </c>
      <c r="D1188" s="763">
        <f t="shared" ca="1" si="287"/>
        <v>1</v>
      </c>
      <c r="E1188" s="763">
        <f t="shared" ca="1" si="288"/>
        <v>1</v>
      </c>
      <c r="G1188" s="628"/>
      <c r="H1188" s="766" t="s">
        <v>368</v>
      </c>
      <c r="I1188" s="629" t="str">
        <f t="shared" ca="1" si="289"/>
        <v>16.001.001.001</v>
      </c>
      <c r="J1188" s="654" t="s">
        <v>878</v>
      </c>
      <c r="K1188" s="630" t="s">
        <v>3</v>
      </c>
      <c r="L1188" s="631">
        <f>ARQ.!C2660</f>
        <v>19.68</v>
      </c>
      <c r="M1188" s="631">
        <f>VLOOKUP(J1188,Preços!$C$7:$F$498,4,FALSE)</f>
        <v>75</v>
      </c>
      <c r="N1188" s="646">
        <f>L1188*M1188</f>
        <v>1476</v>
      </c>
      <c r="O1188" s="767"/>
      <c r="P1188" s="632" t="s">
        <v>333</v>
      </c>
      <c r="R1188" s="742"/>
      <c r="S1188" s="742"/>
    </row>
    <row r="1189" spans="1:19" s="761" customFormat="1" hidden="1" outlineLevel="1" x14ac:dyDescent="0.2">
      <c r="A1189" s="762" t="e">
        <f ca="1">IF($H1189="UNIDADE CONSTRUTIVA",OFFSET(A1189,-1,0)+1,LARGE(A$3:A1188,1))</f>
        <v>#NUM!</v>
      </c>
      <c r="B1189" s="762">
        <f t="shared" ca="1" si="285"/>
        <v>16</v>
      </c>
      <c r="C1189" s="762">
        <f t="shared" ca="1" si="286"/>
        <v>1</v>
      </c>
      <c r="D1189" s="763">
        <f t="shared" ca="1" si="287"/>
        <v>2</v>
      </c>
      <c r="E1189" s="763">
        <f t="shared" ca="1" si="288"/>
        <v>0</v>
      </c>
      <c r="G1189" s="628"/>
      <c r="H1189" s="766" t="s">
        <v>367</v>
      </c>
      <c r="I1189" s="629" t="str">
        <f t="shared" ca="1" si="289"/>
        <v>16.001.002</v>
      </c>
      <c r="J1189" s="654" t="s">
        <v>930</v>
      </c>
      <c r="K1189" s="630"/>
      <c r="L1189" s="631"/>
      <c r="M1189" s="631"/>
      <c r="N1189" s="646">
        <f>N1190</f>
        <v>28348.7</v>
      </c>
      <c r="O1189" s="767"/>
      <c r="P1189" s="632"/>
      <c r="R1189" s="742"/>
      <c r="S1189" s="742"/>
    </row>
    <row r="1190" spans="1:19" s="761" customFormat="1" ht="22.5" hidden="1" outlineLevel="1" x14ac:dyDescent="0.2">
      <c r="A1190" s="762" t="e">
        <f ca="1">IF($H1190="UNIDADE CONSTRUTIVA",OFFSET(A1190,-1,0)+1,LARGE(A$3:A1189,1))</f>
        <v>#NUM!</v>
      </c>
      <c r="B1190" s="762">
        <f t="shared" ca="1" si="285"/>
        <v>16</v>
      </c>
      <c r="C1190" s="762">
        <f t="shared" ca="1" si="286"/>
        <v>1</v>
      </c>
      <c r="D1190" s="763">
        <f t="shared" ca="1" si="287"/>
        <v>2</v>
      </c>
      <c r="E1190" s="763">
        <f t="shared" ca="1" si="288"/>
        <v>1</v>
      </c>
      <c r="G1190" s="628"/>
      <c r="H1190" s="766" t="s">
        <v>368</v>
      </c>
      <c r="I1190" s="629" t="str">
        <f t="shared" ca="1" si="289"/>
        <v>16.001.002.001</v>
      </c>
      <c r="J1190" s="654" t="s">
        <v>931</v>
      </c>
      <c r="K1190" s="630" t="s">
        <v>250</v>
      </c>
      <c r="L1190" s="631">
        <v>1</v>
      </c>
      <c r="M1190" s="631">
        <f>VLOOKUP(J1190,Preços!$C$7:$F$498,4,FALSE)</f>
        <v>28348.7</v>
      </c>
      <c r="N1190" s="646">
        <f>L1190*M1190</f>
        <v>28348.7</v>
      </c>
      <c r="O1190" s="767"/>
      <c r="P1190" s="632" t="s">
        <v>333</v>
      </c>
      <c r="R1190" s="742"/>
      <c r="S1190" s="742"/>
    </row>
    <row r="1191" spans="1:19" s="761" customFormat="1" collapsed="1" x14ac:dyDescent="0.2">
      <c r="A1191" s="762" t="e">
        <f ca="1">IF($H1191="UNIDADE CONSTRUTIVA",OFFSET(A1191,-1,0)+1,LARGE(A$3:A1188,1))</f>
        <v>#NUM!</v>
      </c>
      <c r="B1191" s="762">
        <f t="shared" ca="1" si="285"/>
        <v>17</v>
      </c>
      <c r="C1191" s="762">
        <f t="shared" ca="1" si="286"/>
        <v>0</v>
      </c>
      <c r="D1191" s="763">
        <f t="shared" ca="1" si="287"/>
        <v>2</v>
      </c>
      <c r="E1191" s="763">
        <f t="shared" ca="1" si="288"/>
        <v>1</v>
      </c>
      <c r="G1191" s="628"/>
      <c r="H1191" s="766" t="s">
        <v>365</v>
      </c>
      <c r="I1191" s="629" t="str">
        <f t="shared" ca="1" si="289"/>
        <v>17</v>
      </c>
      <c r="J1191" s="654" t="s">
        <v>1693</v>
      </c>
      <c r="K1191" s="869"/>
      <c r="L1191" s="869"/>
      <c r="M1191" s="868"/>
      <c r="N1191" s="646">
        <f ca="1">SUM(N1192,N1216,N1233,N1255)</f>
        <v>825484.89996199985</v>
      </c>
      <c r="O1191" s="767"/>
      <c r="P1191" s="632"/>
      <c r="R1191" s="742"/>
      <c r="S1191" s="742"/>
    </row>
    <row r="1192" spans="1:19" s="761" customFormat="1" ht="22.5" hidden="1" outlineLevel="1" x14ac:dyDescent="0.2">
      <c r="A1192" s="762" t="e">
        <f ca="1">IF($H1192="UNIDADE CONSTRUTIVA",OFFSET(A1192,-1,0)+1,LARGE(A$3:A1191,1))</f>
        <v>#NUM!</v>
      </c>
      <c r="B1192" s="762">
        <f t="shared" ca="1" si="285"/>
        <v>17</v>
      </c>
      <c r="C1192" s="762">
        <f t="shared" ca="1" si="286"/>
        <v>1</v>
      </c>
      <c r="D1192" s="763">
        <f t="shared" ca="1" si="287"/>
        <v>0</v>
      </c>
      <c r="E1192" s="763">
        <f t="shared" ca="1" si="288"/>
        <v>1</v>
      </c>
      <c r="G1192" s="628"/>
      <c r="H1192" s="766" t="s">
        <v>366</v>
      </c>
      <c r="I1192" s="629" t="str">
        <f t="shared" ca="1" si="289"/>
        <v>17.001</v>
      </c>
      <c r="J1192" s="654" t="s">
        <v>1515</v>
      </c>
      <c r="K1192" s="630"/>
      <c r="L1192" s="631"/>
      <c r="M1192" s="631"/>
      <c r="N1192" s="646">
        <f ca="1">SUM(N1193,N1198,N1205,N1208,N1210)</f>
        <v>213776.04279000001</v>
      </c>
      <c r="O1192" s="767"/>
      <c r="P1192" s="632"/>
      <c r="R1192" s="742"/>
      <c r="S1192" s="742"/>
    </row>
    <row r="1193" spans="1:19" s="761" customFormat="1" hidden="1" outlineLevel="1" collapsed="1" x14ac:dyDescent="0.2">
      <c r="A1193" s="762" t="e">
        <f ca="1">IF($H1193="UNIDADE CONSTRUTIVA",OFFSET(A1193,-1,0)+1,LARGE(A$3:A1192,1))</f>
        <v>#NUM!</v>
      </c>
      <c r="B1193" s="762">
        <f t="shared" ca="1" si="285"/>
        <v>17</v>
      </c>
      <c r="C1193" s="762">
        <f t="shared" ca="1" si="286"/>
        <v>1</v>
      </c>
      <c r="D1193" s="763">
        <f t="shared" ca="1" si="287"/>
        <v>1</v>
      </c>
      <c r="E1193" s="763">
        <f t="shared" ca="1" si="288"/>
        <v>0</v>
      </c>
      <c r="G1193" s="628"/>
      <c r="H1193" s="766" t="s">
        <v>367</v>
      </c>
      <c r="I1193" s="629" t="str">
        <f t="shared" ca="1" si="289"/>
        <v>17.001.001</v>
      </c>
      <c r="J1193" s="654" t="s">
        <v>272</v>
      </c>
      <c r="K1193" s="630"/>
      <c r="L1193" s="631"/>
      <c r="M1193" s="631"/>
      <c r="N1193" s="646">
        <f ca="1">SUM(N1194:N1197)</f>
        <v>23236.807519999998</v>
      </c>
      <c r="O1193" s="767"/>
      <c r="P1193" s="632"/>
      <c r="R1193" s="742"/>
      <c r="S1193" s="742"/>
    </row>
    <row r="1194" spans="1:19" s="761" customFormat="1" ht="33.75" hidden="1" outlineLevel="2" x14ac:dyDescent="0.2">
      <c r="A1194" s="762" t="e">
        <f ca="1">IF($H1194="UNIDADE CONSTRUTIVA",OFFSET(A1194,-1,0)+1,LARGE(A$3:A1193,1))</f>
        <v>#NUM!</v>
      </c>
      <c r="B1194" s="762">
        <f t="shared" ca="1" si="285"/>
        <v>17</v>
      </c>
      <c r="C1194" s="762">
        <f t="shared" ca="1" si="286"/>
        <v>1</v>
      </c>
      <c r="D1194" s="763">
        <f t="shared" ca="1" si="287"/>
        <v>1</v>
      </c>
      <c r="E1194" s="763">
        <f t="shared" ca="1" si="288"/>
        <v>1</v>
      </c>
      <c r="G1194" s="628"/>
      <c r="H1194" s="766" t="s">
        <v>368</v>
      </c>
      <c r="I1194" s="629" t="str">
        <f t="shared" ca="1" si="289"/>
        <v>17.001.001.001</v>
      </c>
      <c r="J1194" s="654" t="s">
        <v>1176</v>
      </c>
      <c r="K1194" s="630" t="s">
        <v>1</v>
      </c>
      <c r="L1194" s="631">
        <f ca="1">FACHADA!B52</f>
        <v>225.24</v>
      </c>
      <c r="M1194" s="631">
        <f>VLOOKUP(J1194,Preços!$C$7:$F$498,4,FALSE)</f>
        <v>2.8022</v>
      </c>
      <c r="N1194" s="646">
        <f ca="1">L1194*M1194</f>
        <v>631.16752800000006</v>
      </c>
      <c r="O1194" s="767"/>
      <c r="P1194" s="632" t="s">
        <v>333</v>
      </c>
      <c r="R1194" s="742"/>
      <c r="S1194" s="742"/>
    </row>
    <row r="1195" spans="1:19" s="761" customFormat="1" ht="22.5" hidden="1" outlineLevel="2" x14ac:dyDescent="0.2">
      <c r="A1195" s="762" t="e">
        <f ca="1">IF($H1195="UNIDADE CONSTRUTIVA",OFFSET(A1195,-1,0)+1,LARGE(A$3:A1194,1))</f>
        <v>#NUM!</v>
      </c>
      <c r="B1195" s="762">
        <f t="shared" ca="1" si="285"/>
        <v>17</v>
      </c>
      <c r="C1195" s="762">
        <f t="shared" ca="1" si="286"/>
        <v>1</v>
      </c>
      <c r="D1195" s="763">
        <f t="shared" ca="1" si="287"/>
        <v>1</v>
      </c>
      <c r="E1195" s="763">
        <f t="shared" ca="1" si="288"/>
        <v>2</v>
      </c>
      <c r="G1195" s="628"/>
      <c r="H1195" s="766" t="s">
        <v>368</v>
      </c>
      <c r="I1195" s="629" t="str">
        <f t="shared" ca="1" si="289"/>
        <v>17.001.001.002</v>
      </c>
      <c r="J1195" s="654" t="s">
        <v>1177</v>
      </c>
      <c r="K1195" s="630" t="s">
        <v>1</v>
      </c>
      <c r="L1195" s="631">
        <f ca="1">FACHADA!B53</f>
        <v>880.51</v>
      </c>
      <c r="M1195" s="631">
        <f>VLOOKUP(J1195,Preços!$C$7:$F$498,4,FALSE)</f>
        <v>2.8022</v>
      </c>
      <c r="N1195" s="646">
        <f ca="1">L1195*M1195</f>
        <v>2467.3651220000002</v>
      </c>
      <c r="O1195" s="767"/>
      <c r="P1195" s="632" t="s">
        <v>333</v>
      </c>
      <c r="R1195" s="742"/>
      <c r="S1195" s="742"/>
    </row>
    <row r="1196" spans="1:19" s="761" customFormat="1" ht="22.5" hidden="1" outlineLevel="2" x14ac:dyDescent="0.2">
      <c r="A1196" s="762" t="e">
        <f ca="1">IF($H1196="UNIDADE CONSTRUTIVA",OFFSET(A1196,-1,0)+1,LARGE(A$3:A1194,1))</f>
        <v>#NUM!</v>
      </c>
      <c r="B1196" s="762">
        <f t="shared" ca="1" si="285"/>
        <v>17</v>
      </c>
      <c r="C1196" s="762">
        <f t="shared" ca="1" si="286"/>
        <v>1</v>
      </c>
      <c r="D1196" s="763">
        <f t="shared" ca="1" si="287"/>
        <v>1</v>
      </c>
      <c r="E1196" s="763">
        <f t="shared" ca="1" si="288"/>
        <v>3</v>
      </c>
      <c r="G1196" s="628"/>
      <c r="H1196" s="766" t="s">
        <v>368</v>
      </c>
      <c r="I1196" s="629" t="str">
        <f t="shared" ca="1" si="289"/>
        <v>17.001.001.003</v>
      </c>
      <c r="J1196" s="654" t="s">
        <v>1167</v>
      </c>
      <c r="K1196" s="630" t="s">
        <v>3</v>
      </c>
      <c r="L1196" s="631">
        <f>L1209</f>
        <v>197.67</v>
      </c>
      <c r="M1196" s="631">
        <f>VLOOKUP(J1196,Preços!$C$7:$F$498,4,FALSE)</f>
        <v>6.5</v>
      </c>
      <c r="N1196" s="646">
        <f>L1196*M1196</f>
        <v>1284.855</v>
      </c>
      <c r="O1196" s="767"/>
      <c r="P1196" s="632" t="s">
        <v>333</v>
      </c>
      <c r="R1196" s="742"/>
      <c r="S1196" s="742"/>
    </row>
    <row r="1197" spans="1:19" s="761" customFormat="1" ht="33.75" hidden="1" outlineLevel="2" x14ac:dyDescent="0.2">
      <c r="A1197" s="762" t="e">
        <f ca="1">IF($H1197="UNIDADE CONSTRUTIVA",OFFSET(A1197,-1,0)+1,LARGE(A$3:A1195,1))</f>
        <v>#NUM!</v>
      </c>
      <c r="B1197" s="762">
        <f t="shared" ca="1" si="285"/>
        <v>17</v>
      </c>
      <c r="C1197" s="762">
        <f t="shared" ca="1" si="286"/>
        <v>1</v>
      </c>
      <c r="D1197" s="763">
        <f t="shared" ca="1" si="287"/>
        <v>1</v>
      </c>
      <c r="E1197" s="763">
        <f t="shared" ca="1" si="288"/>
        <v>4</v>
      </c>
      <c r="G1197" s="628"/>
      <c r="H1197" s="766" t="s">
        <v>368</v>
      </c>
      <c r="I1197" s="629" t="str">
        <f t="shared" ca="1" si="289"/>
        <v>17.001.001.004</v>
      </c>
      <c r="J1197" s="654" t="s">
        <v>1520</v>
      </c>
      <c r="K1197" s="630" t="s">
        <v>1</v>
      </c>
      <c r="L1197" s="631">
        <f ca="1">FACHADA!B54</f>
        <v>1105.74</v>
      </c>
      <c r="M1197" s="631">
        <f>VLOOKUP(J1197,Preços!$C$7:$F$498,4,FALSE)</f>
        <v>17.0505</v>
      </c>
      <c r="N1197" s="646">
        <f ca="1">L1197*M1197</f>
        <v>18853.419869999998</v>
      </c>
      <c r="O1197" s="767"/>
      <c r="P1197" s="632" t="s">
        <v>333</v>
      </c>
      <c r="R1197" s="742"/>
      <c r="S1197" s="742"/>
    </row>
    <row r="1198" spans="1:19" s="761" customFormat="1" hidden="1" outlineLevel="1" collapsed="1" x14ac:dyDescent="0.2">
      <c r="A1198" s="762" t="e">
        <f ca="1">IF($H1198="UNIDADE CONSTRUTIVA",OFFSET(A1198,-1,0)+1,LARGE(A$3:A1197,1))</f>
        <v>#NUM!</v>
      </c>
      <c r="B1198" s="762">
        <f t="shared" ca="1" si="285"/>
        <v>17</v>
      </c>
      <c r="C1198" s="762">
        <f t="shared" ca="1" si="286"/>
        <v>1</v>
      </c>
      <c r="D1198" s="763">
        <f t="shared" ca="1" si="287"/>
        <v>2</v>
      </c>
      <c r="E1198" s="763">
        <f t="shared" ca="1" si="288"/>
        <v>0</v>
      </c>
      <c r="G1198" s="628"/>
      <c r="H1198" s="766" t="s">
        <v>367</v>
      </c>
      <c r="I1198" s="629" t="str">
        <f t="shared" ca="1" si="289"/>
        <v>17.001.002</v>
      </c>
      <c r="J1198" s="654" t="s">
        <v>273</v>
      </c>
      <c r="K1198" s="630"/>
      <c r="L1198" s="631"/>
      <c r="M1198" s="631"/>
      <c r="N1198" s="646">
        <f ca="1">SUM(N1199:N1204)</f>
        <v>19864.5442</v>
      </c>
      <c r="O1198" s="767"/>
      <c r="P1198" s="632"/>
      <c r="R1198" s="742"/>
      <c r="S1198" s="742"/>
    </row>
    <row r="1199" spans="1:19" s="761" customFormat="1" ht="22.5" hidden="1" outlineLevel="2" x14ac:dyDescent="0.2">
      <c r="A1199" s="762" t="e">
        <f ca="1">IF($H1199="UNIDADE CONSTRUTIVA",OFFSET(A1199,-1,0)+1,LARGE(A$3:A1198,1))</f>
        <v>#NUM!</v>
      </c>
      <c r="B1199" s="762">
        <f t="shared" ca="1" si="285"/>
        <v>17</v>
      </c>
      <c r="C1199" s="762">
        <f t="shared" ca="1" si="286"/>
        <v>1</v>
      </c>
      <c r="D1199" s="763">
        <f t="shared" ca="1" si="287"/>
        <v>2</v>
      </c>
      <c r="E1199" s="763">
        <f t="shared" ca="1" si="288"/>
        <v>1</v>
      </c>
      <c r="G1199" s="628"/>
      <c r="H1199" s="766" t="s">
        <v>368</v>
      </c>
      <c r="I1199" s="629" t="str">
        <f t="shared" ca="1" si="289"/>
        <v>17.001.002.001</v>
      </c>
      <c r="J1199" s="654" t="s">
        <v>1013</v>
      </c>
      <c r="K1199" s="630" t="s">
        <v>1</v>
      </c>
      <c r="L1199" s="631">
        <f ca="1">SUM(L1200:L1204)</f>
        <v>927.75</v>
      </c>
      <c r="M1199" s="631">
        <f>VLOOKUP(J1199,Preços!$C$7:$F$498,4,FALSE)</f>
        <v>2.9333</v>
      </c>
      <c r="N1199" s="646">
        <f t="shared" ref="N1199:N1204" ca="1" si="290">L1199*M1199</f>
        <v>2721.3690750000001</v>
      </c>
      <c r="O1199" s="767"/>
      <c r="P1199" s="632" t="s">
        <v>333</v>
      </c>
      <c r="R1199" s="742"/>
      <c r="S1199" s="742"/>
    </row>
    <row r="1200" spans="1:19" s="761" customFormat="1" ht="22.5" hidden="1" outlineLevel="2" x14ac:dyDescent="0.2">
      <c r="A1200" s="762" t="e">
        <f ca="1">IF($H1200="UNIDADE CONSTRUTIVA",OFFSET(A1200,-1,0)+1,LARGE(A$3:A1199,1))</f>
        <v>#NUM!</v>
      </c>
      <c r="B1200" s="762">
        <f t="shared" ca="1" si="285"/>
        <v>17</v>
      </c>
      <c r="C1200" s="762">
        <f t="shared" ca="1" si="286"/>
        <v>1</v>
      </c>
      <c r="D1200" s="763">
        <f t="shared" ca="1" si="287"/>
        <v>2</v>
      </c>
      <c r="E1200" s="763">
        <f t="shared" ca="1" si="288"/>
        <v>2</v>
      </c>
      <c r="G1200" s="628"/>
      <c r="H1200" s="766" t="s">
        <v>368</v>
      </c>
      <c r="I1200" s="629" t="str">
        <f t="shared" ca="1" si="289"/>
        <v>17.001.002.002</v>
      </c>
      <c r="J1200" s="654" t="s">
        <v>1178</v>
      </c>
      <c r="K1200" s="630" t="s">
        <v>1</v>
      </c>
      <c r="L1200" s="631">
        <f ca="1">FACHADA!B55</f>
        <v>129.02000000000001</v>
      </c>
      <c r="M1200" s="631">
        <f>VLOOKUP(J1200,Preços!$C$7:$F$498,4,FALSE)</f>
        <v>12.168799999999999</v>
      </c>
      <c r="N1200" s="646">
        <f t="shared" ca="1" si="290"/>
        <v>1570.0185759999999</v>
      </c>
      <c r="O1200" s="767"/>
      <c r="P1200" s="632" t="s">
        <v>333</v>
      </c>
      <c r="R1200" s="742"/>
      <c r="S1200" s="742"/>
    </row>
    <row r="1201" spans="1:19" s="761" customFormat="1" ht="22.5" hidden="1" outlineLevel="2" x14ac:dyDescent="0.2">
      <c r="A1201" s="762" t="e">
        <f ca="1">IF($H1201="UNIDADE CONSTRUTIVA",OFFSET(A1201,-1,0)+1,LARGE(A$3:A1200,1))</f>
        <v>#NUM!</v>
      </c>
      <c r="B1201" s="762">
        <f t="shared" ca="1" si="285"/>
        <v>17</v>
      </c>
      <c r="C1201" s="762">
        <f t="shared" ca="1" si="286"/>
        <v>1</v>
      </c>
      <c r="D1201" s="763">
        <f t="shared" ca="1" si="287"/>
        <v>2</v>
      </c>
      <c r="E1201" s="763">
        <f t="shared" ca="1" si="288"/>
        <v>3</v>
      </c>
      <c r="G1201" s="628"/>
      <c r="H1201" s="766" t="s">
        <v>368</v>
      </c>
      <c r="I1201" s="629" t="str">
        <f t="shared" ca="1" si="289"/>
        <v>17.001.002.003</v>
      </c>
      <c r="J1201" s="654" t="s">
        <v>1179</v>
      </c>
      <c r="K1201" s="630" t="s">
        <v>1</v>
      </c>
      <c r="L1201" s="631">
        <f ca="1">FACHADA!B56</f>
        <v>70.59</v>
      </c>
      <c r="M1201" s="631">
        <f>VLOOKUP(J1201,Preços!$C$7:$F$498,4,FALSE)</f>
        <v>16.5</v>
      </c>
      <c r="N1201" s="646">
        <f t="shared" ca="1" si="290"/>
        <v>1164.7350000000001</v>
      </c>
      <c r="O1201" s="767"/>
      <c r="P1201" s="632" t="s">
        <v>333</v>
      </c>
      <c r="R1201" s="742"/>
      <c r="S1201" s="742"/>
    </row>
    <row r="1202" spans="1:19" s="761" customFormat="1" ht="22.5" hidden="1" outlineLevel="2" x14ac:dyDescent="0.2">
      <c r="A1202" s="762" t="e">
        <f ca="1">IF($H1202="UNIDADE CONSTRUTIVA",OFFSET(A1202,-1,0)+1,LARGE(A$3:A1201,1))</f>
        <v>#NUM!</v>
      </c>
      <c r="B1202" s="762">
        <f t="shared" ca="1" si="285"/>
        <v>17</v>
      </c>
      <c r="C1202" s="762">
        <f t="shared" ca="1" si="286"/>
        <v>1</v>
      </c>
      <c r="D1202" s="763">
        <f t="shared" ca="1" si="287"/>
        <v>2</v>
      </c>
      <c r="E1202" s="763">
        <f t="shared" ca="1" si="288"/>
        <v>4</v>
      </c>
      <c r="G1202" s="628"/>
      <c r="H1202" s="766" t="s">
        <v>368</v>
      </c>
      <c r="I1202" s="629" t="str">
        <f t="shared" ca="1" si="289"/>
        <v>17.001.002.004</v>
      </c>
      <c r="J1202" s="654" t="s">
        <v>1522</v>
      </c>
      <c r="K1202" s="630" t="s">
        <v>1</v>
      </c>
      <c r="L1202" s="631">
        <f ca="1">FACHADA!B57+FACHADA!B60+FACHADA!B65</f>
        <v>544.22</v>
      </c>
      <c r="M1202" s="631">
        <f>VLOOKUP(J1202,Preços!$C$7:$F$498,4,FALSE)</f>
        <v>18.876100000000001</v>
      </c>
      <c r="N1202" s="646">
        <f t="shared" ca="1" si="290"/>
        <v>10272.751142000001</v>
      </c>
      <c r="O1202" s="767"/>
      <c r="P1202" s="632" t="s">
        <v>333</v>
      </c>
      <c r="R1202" s="742"/>
      <c r="S1202" s="742"/>
    </row>
    <row r="1203" spans="1:19" s="761" customFormat="1" ht="22.5" hidden="1" outlineLevel="2" x14ac:dyDescent="0.2">
      <c r="A1203" s="762" t="e">
        <f ca="1">IF($H1203="UNIDADE CONSTRUTIVA",OFFSET(A1203,-1,0)+1,LARGE(A$3:A1202,1))</f>
        <v>#NUM!</v>
      </c>
      <c r="B1203" s="762">
        <f t="shared" ca="1" si="285"/>
        <v>17</v>
      </c>
      <c r="C1203" s="762">
        <f t="shared" ca="1" si="286"/>
        <v>1</v>
      </c>
      <c r="D1203" s="763">
        <f t="shared" ca="1" si="287"/>
        <v>2</v>
      </c>
      <c r="E1203" s="763">
        <f t="shared" ca="1" si="288"/>
        <v>5</v>
      </c>
      <c r="G1203" s="628"/>
      <c r="H1203" s="766" t="s">
        <v>368</v>
      </c>
      <c r="I1203" s="629" t="str">
        <f t="shared" ca="1" si="289"/>
        <v>17.001.002.005</v>
      </c>
      <c r="J1203" s="654" t="s">
        <v>1523</v>
      </c>
      <c r="K1203" s="630" t="s">
        <v>1</v>
      </c>
      <c r="L1203" s="631">
        <f ca="1">FACHADA!B59</f>
        <v>41.03</v>
      </c>
      <c r="M1203" s="631">
        <f>VLOOKUP(J1203,Preços!$C$7:$F$498,4,FALSE)</f>
        <v>23.2073</v>
      </c>
      <c r="N1203" s="646">
        <f t="shared" ca="1" si="290"/>
        <v>952.19551899999999</v>
      </c>
      <c r="O1203" s="767"/>
      <c r="P1203" s="632" t="s">
        <v>333</v>
      </c>
      <c r="R1203" s="742"/>
      <c r="S1203" s="742"/>
    </row>
    <row r="1204" spans="1:19" s="761" customFormat="1" ht="22.5" hidden="1" outlineLevel="2" x14ac:dyDescent="0.2">
      <c r="A1204" s="762" t="e">
        <f ca="1">IF($H1204="UNIDADE CONSTRUTIVA",OFFSET(A1204,-1,0)+1,LARGE(A$3:A1203,1))</f>
        <v>#NUM!</v>
      </c>
      <c r="B1204" s="762">
        <f t="shared" ca="1" si="285"/>
        <v>17</v>
      </c>
      <c r="C1204" s="762">
        <f t="shared" ca="1" si="286"/>
        <v>1</v>
      </c>
      <c r="D1204" s="763">
        <f t="shared" ca="1" si="287"/>
        <v>2</v>
      </c>
      <c r="E1204" s="763">
        <f t="shared" ca="1" si="288"/>
        <v>6</v>
      </c>
      <c r="G1204" s="628"/>
      <c r="H1204" s="766" t="s">
        <v>368</v>
      </c>
      <c r="I1204" s="629" t="str">
        <f t="shared" ca="1" si="289"/>
        <v>17.001.002.006</v>
      </c>
      <c r="J1204" s="654" t="s">
        <v>1524</v>
      </c>
      <c r="K1204" s="630" t="s">
        <v>1</v>
      </c>
      <c r="L1204" s="631">
        <f ca="1">FACHADA!B58</f>
        <v>142.88999999999999</v>
      </c>
      <c r="M1204" s="631">
        <f>VLOOKUP(J1204,Preços!$C$7:$F$498,4,FALSE)</f>
        <v>22.279199999999999</v>
      </c>
      <c r="N1204" s="646">
        <f t="shared" ca="1" si="290"/>
        <v>3183.4748879999997</v>
      </c>
      <c r="O1204" s="767"/>
      <c r="P1204" s="632" t="s">
        <v>333</v>
      </c>
      <c r="R1204" s="742"/>
      <c r="S1204" s="742"/>
    </row>
    <row r="1205" spans="1:19" s="761" customFormat="1" hidden="1" outlineLevel="1" collapsed="1" x14ac:dyDescent="0.2">
      <c r="A1205" s="762" t="e">
        <f ca="1">IF($H1205="UNIDADE CONSTRUTIVA",OFFSET(A1205,-1,0)+1,LARGE(A$3:A1202,1))</f>
        <v>#NUM!</v>
      </c>
      <c r="B1205" s="762">
        <f t="shared" ca="1" si="285"/>
        <v>17</v>
      </c>
      <c r="C1205" s="762">
        <f t="shared" ca="1" si="286"/>
        <v>1</v>
      </c>
      <c r="D1205" s="763">
        <f t="shared" ca="1" si="287"/>
        <v>3</v>
      </c>
      <c r="E1205" s="763">
        <f t="shared" ca="1" si="288"/>
        <v>0</v>
      </c>
      <c r="G1205" s="790"/>
      <c r="H1205" s="790" t="s">
        <v>367</v>
      </c>
      <c r="I1205" s="791" t="str">
        <f t="shared" ca="1" si="289"/>
        <v>17.001.003</v>
      </c>
      <c r="J1205" s="761" t="s">
        <v>1180</v>
      </c>
      <c r="K1205" s="742"/>
      <c r="L1205" s="792"/>
      <c r="M1205" s="792"/>
      <c r="N1205" s="793">
        <f ca="1">SUM(N1206:N1207)</f>
        <v>55186.364319999993</v>
      </c>
      <c r="O1205" s="794"/>
      <c r="P1205" s="741"/>
      <c r="R1205" s="742"/>
      <c r="S1205" s="742"/>
    </row>
    <row r="1206" spans="1:19" s="761" customFormat="1" ht="22.5" hidden="1" outlineLevel="2" x14ac:dyDescent="0.2">
      <c r="A1206" s="762" t="e">
        <f ca="1">IF($H1206="UNIDADE CONSTRUTIVA",OFFSET(A1206,-1,0)+1,LARGE(A$3:A1205,1))</f>
        <v>#NUM!</v>
      </c>
      <c r="B1206" s="762">
        <f t="shared" ca="1" si="285"/>
        <v>17</v>
      </c>
      <c r="C1206" s="762">
        <f t="shared" ca="1" si="286"/>
        <v>1</v>
      </c>
      <c r="D1206" s="763">
        <f t="shared" ca="1" si="287"/>
        <v>3</v>
      </c>
      <c r="E1206" s="763">
        <f t="shared" ca="1" si="288"/>
        <v>1</v>
      </c>
      <c r="G1206" s="628"/>
      <c r="H1206" s="766" t="s">
        <v>368</v>
      </c>
      <c r="I1206" s="629" t="str">
        <f t="shared" ca="1" si="289"/>
        <v>17.001.003.001</v>
      </c>
      <c r="J1206" s="654" t="s">
        <v>1181</v>
      </c>
      <c r="K1206" s="630" t="s">
        <v>1</v>
      </c>
      <c r="L1206" s="631">
        <f ca="1">FACHADA!B61+FACHADA!B62</f>
        <v>80.47999999999999</v>
      </c>
      <c r="M1206" s="631">
        <f>VLOOKUP(J1206,Preços!$C$7:$F$498,4,FALSE)</f>
        <v>234.464</v>
      </c>
      <c r="N1206" s="646">
        <f ca="1">L1206*M1206</f>
        <v>18869.662719999997</v>
      </c>
      <c r="O1206" s="767"/>
      <c r="P1206" s="632" t="s">
        <v>333</v>
      </c>
      <c r="R1206" s="742"/>
      <c r="S1206" s="742"/>
    </row>
    <row r="1207" spans="1:19" s="761" customFormat="1" ht="22.5" hidden="1" outlineLevel="2" x14ac:dyDescent="0.2">
      <c r="A1207" s="762" t="e">
        <f ca="1">IF($H1207="UNIDADE CONSTRUTIVA",OFFSET(A1207,-1,0)+1,LARGE(A$3:A1206,1))</f>
        <v>#NUM!</v>
      </c>
      <c r="B1207" s="762">
        <f t="shared" ca="1" si="285"/>
        <v>17</v>
      </c>
      <c r="C1207" s="762">
        <f t="shared" ca="1" si="286"/>
        <v>1</v>
      </c>
      <c r="D1207" s="763">
        <f t="shared" ca="1" si="287"/>
        <v>3</v>
      </c>
      <c r="E1207" s="763">
        <f t="shared" ca="1" si="288"/>
        <v>2</v>
      </c>
      <c r="G1207" s="628"/>
      <c r="H1207" s="766" t="s">
        <v>368</v>
      </c>
      <c r="I1207" s="629" t="str">
        <f t="shared" ref="I1207:I1238" ca="1" si="291">IF(H1207="Unidade Construtiva",TEXT(A1207,"00"),IF(H1207="Célula Construtiva",TEXT(B1207,"00"),IF(H1207="Etapa",CONCATENATE(TEXT(B1207,"00"),".",TEXT(C1207,"000")),IF(H1207="Subetapa",CONCATENATE(TEXT(B1207,"00"),".",TEXT(C1207,"000"),".",TEXT(D1207,"000")),IF(H1207="Serviço",CONCATENATE(TEXT(B1207,"00"),".",TEXT(C1207,"000"),".",TEXT(D1207,"000"),".",TEXT(E1207,"000")),"")))))</f>
        <v>17.001.003.002</v>
      </c>
      <c r="J1207" s="654" t="s">
        <v>1182</v>
      </c>
      <c r="K1207" s="630" t="s">
        <v>1</v>
      </c>
      <c r="L1207" s="631">
        <f ca="1">FACHADA!B63+FACHADA!B64</f>
        <v>125.52</v>
      </c>
      <c r="M1207" s="631">
        <f>VLOOKUP(J1207,Preços!$C$7:$F$498,4,FALSE)</f>
        <v>289.33</v>
      </c>
      <c r="N1207" s="646">
        <f ca="1">L1207*M1207</f>
        <v>36316.7016</v>
      </c>
      <c r="O1207" s="767"/>
      <c r="P1207" s="632" t="s">
        <v>333</v>
      </c>
      <c r="R1207" s="742"/>
      <c r="S1207" s="742"/>
    </row>
    <row r="1208" spans="1:19" s="761" customFormat="1" hidden="1" outlineLevel="1" collapsed="1" x14ac:dyDescent="0.2">
      <c r="A1208" s="762" t="e">
        <f ca="1">IF($H1208="UNIDADE CONSTRUTIVA",OFFSET(A1208,-1,0)+1,LARGE(A$3:A1207,1))</f>
        <v>#NUM!</v>
      </c>
      <c r="B1208" s="762">
        <f t="shared" ca="1" si="285"/>
        <v>17</v>
      </c>
      <c r="C1208" s="762">
        <f t="shared" ca="1" si="286"/>
        <v>1</v>
      </c>
      <c r="D1208" s="763">
        <f t="shared" ca="1" si="287"/>
        <v>4</v>
      </c>
      <c r="E1208" s="763">
        <f t="shared" ca="1" si="288"/>
        <v>0</v>
      </c>
      <c r="G1208" s="628"/>
      <c r="H1208" s="766" t="s">
        <v>367</v>
      </c>
      <c r="I1208" s="629" t="str">
        <f t="shared" ca="1" si="291"/>
        <v>17.001.004</v>
      </c>
      <c r="J1208" s="654" t="s">
        <v>275</v>
      </c>
      <c r="K1208" s="630"/>
      <c r="L1208" s="631"/>
      <c r="M1208" s="631"/>
      <c r="N1208" s="646">
        <f>SUM(N1209)</f>
        <v>4057.1767499999996</v>
      </c>
      <c r="O1208" s="767"/>
      <c r="P1208" s="632"/>
      <c r="R1208" s="742"/>
      <c r="S1208" s="742"/>
    </row>
    <row r="1209" spans="1:19" s="761" customFormat="1" ht="22.5" hidden="1" outlineLevel="2" x14ac:dyDescent="0.2">
      <c r="A1209" s="762" t="e">
        <f ca="1">IF($H1209="UNIDADE CONSTRUTIVA",OFFSET(A1209,-1,0)+1,LARGE(A$3:A1208,1))</f>
        <v>#NUM!</v>
      </c>
      <c r="B1209" s="762">
        <f t="shared" ca="1" si="285"/>
        <v>17</v>
      </c>
      <c r="C1209" s="762">
        <f t="shared" ca="1" si="286"/>
        <v>1</v>
      </c>
      <c r="D1209" s="763">
        <f t="shared" ca="1" si="287"/>
        <v>4</v>
      </c>
      <c r="E1209" s="763">
        <f t="shared" ca="1" si="288"/>
        <v>1</v>
      </c>
      <c r="G1209" s="628"/>
      <c r="H1209" s="766" t="s">
        <v>368</v>
      </c>
      <c r="I1209" s="629" t="str">
        <f t="shared" ca="1" si="291"/>
        <v>17.001.004.001</v>
      </c>
      <c r="J1209" s="654" t="s">
        <v>1183</v>
      </c>
      <c r="K1209" s="630" t="s">
        <v>3</v>
      </c>
      <c r="L1209" s="631">
        <v>197.67</v>
      </c>
      <c r="M1209" s="631">
        <f>VLOOKUP(J1209,Preços!$C$7:$F$498,4,FALSE)</f>
        <v>20.524999999999999</v>
      </c>
      <c r="N1209" s="646">
        <f>L1209*M1209</f>
        <v>4057.1767499999996</v>
      </c>
      <c r="O1209" s="767"/>
      <c r="P1209" s="632" t="s">
        <v>333</v>
      </c>
      <c r="R1209" s="742"/>
      <c r="S1209" s="742"/>
    </row>
    <row r="1210" spans="1:19" s="761" customFormat="1" hidden="1" outlineLevel="1" collapsed="1" x14ac:dyDescent="0.2">
      <c r="A1210" s="762" t="e">
        <f ca="1">IF($H1210="UNIDADE CONSTRUTIVA",OFFSET(A1210,-1,0)+1,LARGE(A$3:A1209,1))</f>
        <v>#NUM!</v>
      </c>
      <c r="B1210" s="762">
        <f t="shared" ca="1" si="285"/>
        <v>17</v>
      </c>
      <c r="C1210" s="762">
        <f t="shared" ca="1" si="286"/>
        <v>1</v>
      </c>
      <c r="D1210" s="763">
        <f t="shared" ca="1" si="287"/>
        <v>5</v>
      </c>
      <c r="E1210" s="763">
        <f t="shared" ca="1" si="288"/>
        <v>0</v>
      </c>
      <c r="G1210" s="628"/>
      <c r="H1210" s="766" t="s">
        <v>367</v>
      </c>
      <c r="I1210" s="629" t="str">
        <f t="shared" ca="1" si="291"/>
        <v>17.001.005</v>
      </c>
      <c r="J1210" s="654" t="s">
        <v>211</v>
      </c>
      <c r="K1210" s="630"/>
      <c r="L1210" s="631"/>
      <c r="M1210" s="631"/>
      <c r="N1210" s="646">
        <f ca="1">SUM(N1211:N1215)</f>
        <v>111431.15000000001</v>
      </c>
      <c r="O1210" s="767"/>
      <c r="P1210" s="632"/>
      <c r="R1210" s="742"/>
      <c r="S1210" s="742"/>
    </row>
    <row r="1211" spans="1:19" s="761" customFormat="1" ht="22.5" hidden="1" outlineLevel="2" x14ac:dyDescent="0.2">
      <c r="A1211" s="762" t="e">
        <f ca="1">IF($H1211="UNIDADE CONSTRUTIVA",OFFSET(A1211,-1,0)+1,LARGE(A$3:A1210,1))</f>
        <v>#NUM!</v>
      </c>
      <c r="B1211" s="762">
        <f t="shared" ca="1" si="285"/>
        <v>17</v>
      </c>
      <c r="C1211" s="762">
        <f t="shared" ca="1" si="286"/>
        <v>1</v>
      </c>
      <c r="D1211" s="763">
        <f t="shared" ca="1" si="287"/>
        <v>5</v>
      </c>
      <c r="E1211" s="763">
        <f t="shared" ca="1" si="288"/>
        <v>1</v>
      </c>
      <c r="G1211" s="628"/>
      <c r="H1211" s="766" t="s">
        <v>368</v>
      </c>
      <c r="I1211" s="629" t="str">
        <f t="shared" ca="1" si="291"/>
        <v>17.001.005.001</v>
      </c>
      <c r="J1211" s="654" t="s">
        <v>1521</v>
      </c>
      <c r="K1211" s="630" t="s">
        <v>1</v>
      </c>
      <c r="L1211" s="631">
        <f ca="1">L1197</f>
        <v>1105.74</v>
      </c>
      <c r="M1211" s="631">
        <f>VLOOKUP(J1211,Preços!$C$7:$F$498,4,FALSE)</f>
        <v>52</v>
      </c>
      <c r="N1211" s="646">
        <f ca="1">L1211*M1211</f>
        <v>57498.48</v>
      </c>
      <c r="O1211" s="767"/>
      <c r="P1211" s="632" t="s">
        <v>333</v>
      </c>
      <c r="R1211" s="742"/>
      <c r="S1211" s="742"/>
    </row>
    <row r="1212" spans="1:19" s="761" customFormat="1" ht="22.5" hidden="1" outlineLevel="2" x14ac:dyDescent="0.2">
      <c r="A1212" s="762" t="e">
        <f ca="1">IF($H1212="UNIDADE CONSTRUTIVA",OFFSET(A1212,-1,0)+1,LARGE(A$3:A1211,1))</f>
        <v>#NUM!</v>
      </c>
      <c r="B1212" s="762">
        <f t="shared" ca="1" si="285"/>
        <v>17</v>
      </c>
      <c r="C1212" s="762">
        <f t="shared" ca="1" si="286"/>
        <v>1</v>
      </c>
      <c r="D1212" s="763">
        <f t="shared" ca="1" si="287"/>
        <v>5</v>
      </c>
      <c r="E1212" s="763">
        <f t="shared" ca="1" si="288"/>
        <v>2</v>
      </c>
      <c r="G1212" s="628"/>
      <c r="H1212" s="766" t="s">
        <v>368</v>
      </c>
      <c r="I1212" s="629" t="str">
        <f t="shared" ca="1" si="291"/>
        <v>17.001.005.002</v>
      </c>
      <c r="J1212" s="654" t="s">
        <v>1526</v>
      </c>
      <c r="K1212" s="630" t="s">
        <v>1</v>
      </c>
      <c r="L1212" s="631">
        <f ca="1">L1200+L1201</f>
        <v>199.61</v>
      </c>
      <c r="M1212" s="631">
        <f>VLOOKUP(J1212,Preços!$C$7:$F$498,4,FALSE)</f>
        <v>38</v>
      </c>
      <c r="N1212" s="646">
        <f ca="1">L1212*M1212</f>
        <v>7585.18</v>
      </c>
      <c r="O1212" s="767"/>
      <c r="P1212" s="632" t="s">
        <v>333</v>
      </c>
      <c r="R1212" s="742"/>
    </row>
    <row r="1213" spans="1:19" s="761" customFormat="1" ht="22.5" hidden="1" outlineLevel="2" x14ac:dyDescent="0.2">
      <c r="A1213" s="762" t="e">
        <f ca="1">IF($H1213="UNIDADE CONSTRUTIVA",OFFSET(A1213,-1,0)+1,LARGE(A$3:A1212,1))</f>
        <v>#NUM!</v>
      </c>
      <c r="B1213" s="762">
        <f t="shared" ca="1" si="285"/>
        <v>17</v>
      </c>
      <c r="C1213" s="762">
        <f t="shared" ca="1" si="286"/>
        <v>1</v>
      </c>
      <c r="D1213" s="763">
        <f t="shared" ca="1" si="287"/>
        <v>5</v>
      </c>
      <c r="E1213" s="763">
        <f t="shared" ca="1" si="288"/>
        <v>3</v>
      </c>
      <c r="G1213" s="628"/>
      <c r="H1213" s="766" t="s">
        <v>368</v>
      </c>
      <c r="I1213" s="629" t="str">
        <f t="shared" ca="1" si="291"/>
        <v>17.001.005.003</v>
      </c>
      <c r="J1213" s="654" t="s">
        <v>1519</v>
      </c>
      <c r="K1213" s="630" t="s">
        <v>1</v>
      </c>
      <c r="L1213" s="631">
        <f ca="1">SUM(L1202:L1204)</f>
        <v>728.14</v>
      </c>
      <c r="M1213" s="631">
        <f>VLOOKUP(J1213,Preços!$C$7:$F$498,4,FALSE)</f>
        <v>46</v>
      </c>
      <c r="N1213" s="646">
        <f ca="1">L1213*M1213</f>
        <v>33494.44</v>
      </c>
      <c r="O1213" s="767"/>
      <c r="P1213" s="632" t="s">
        <v>333</v>
      </c>
      <c r="R1213" s="742"/>
      <c r="S1213" s="742"/>
    </row>
    <row r="1214" spans="1:19" s="761" customFormat="1" ht="22.5" hidden="1" outlineLevel="2" x14ac:dyDescent="0.2">
      <c r="A1214" s="762" t="e">
        <f ca="1">IF($H1214="UNIDADE CONSTRUTIVA",OFFSET(A1214,-1,0)+1,LARGE(A$3:A1212,1))</f>
        <v>#NUM!</v>
      </c>
      <c r="B1214" s="762">
        <f t="shared" ref="B1214:B1244" ca="1" si="292">IF(H1214="UNIDADE CONSTRUTIVA",0,IF(H1214="CÉLULA CONSTRUTIVA",OFFSET(B1214,-1,0)+1,OFFSET(B1214,-1,0)))</f>
        <v>17</v>
      </c>
      <c r="C1214" s="762">
        <f t="shared" ref="C1214:C1244" ca="1" si="293">IF(H1214="CÉLULA CONSTRUTIVA",0,IF(H1214="ETAPA",OFFSET(C1214,-1,0)+1,OFFSET(C1214,-1,0)))</f>
        <v>1</v>
      </c>
      <c r="D1214" s="763">
        <f t="shared" ref="D1214:D1244" ca="1" si="294">IF(H1214="ETAPA",0,IF(H1214="SUBETAPA",OFFSET(D1214,-1,0)+1,OFFSET(D1214,-1,0)))</f>
        <v>5</v>
      </c>
      <c r="E1214" s="763">
        <f t="shared" ref="E1214:E1244" ca="1" si="295">IF(H1214="Subetapa",0,IF(H1214="serviço",OFFSET(E1214,-1,0)+1,OFFSET(E1214,-1,0)))</f>
        <v>4</v>
      </c>
      <c r="G1214" s="628"/>
      <c r="H1214" s="766" t="s">
        <v>368</v>
      </c>
      <c r="I1214" s="629" t="str">
        <f t="shared" ca="1" si="291"/>
        <v>17.001.005.004</v>
      </c>
      <c r="J1214" s="654" t="s">
        <v>1527</v>
      </c>
      <c r="K1214" s="630" t="s">
        <v>1</v>
      </c>
      <c r="L1214" s="631">
        <f ca="1">SUM(L1206:L1207)</f>
        <v>206</v>
      </c>
      <c r="M1214" s="631">
        <f>VLOOKUP(J1214,Preços!$C$7:$F$498,4,FALSE)</f>
        <v>48</v>
      </c>
      <c r="N1214" s="646">
        <f ca="1">L1214*M1214</f>
        <v>9888</v>
      </c>
      <c r="O1214" s="767"/>
      <c r="P1214" s="632" t="s">
        <v>333</v>
      </c>
      <c r="R1214" s="742"/>
      <c r="S1214" s="742"/>
    </row>
    <row r="1215" spans="1:19" s="761" customFormat="1" ht="22.5" hidden="1" outlineLevel="2" x14ac:dyDescent="0.2">
      <c r="A1215" s="762" t="e">
        <f ca="1">IF($H1215="UNIDADE CONSTRUTIVA",OFFSET(A1215,-1,0)+1,LARGE(A$3:A1213,1))</f>
        <v>#NUM!</v>
      </c>
      <c r="B1215" s="762">
        <f t="shared" ca="1" si="292"/>
        <v>17</v>
      </c>
      <c r="C1215" s="762">
        <f t="shared" ca="1" si="293"/>
        <v>1</v>
      </c>
      <c r="D1215" s="763">
        <f t="shared" ca="1" si="294"/>
        <v>5</v>
      </c>
      <c r="E1215" s="763">
        <f t="shared" ca="1" si="295"/>
        <v>5</v>
      </c>
      <c r="G1215" s="628"/>
      <c r="H1215" s="766" t="s">
        <v>368</v>
      </c>
      <c r="I1215" s="629" t="str">
        <f t="shared" ca="1" si="291"/>
        <v>17.001.005.005</v>
      </c>
      <c r="J1215" s="654" t="s">
        <v>1665</v>
      </c>
      <c r="K1215" s="630" t="s">
        <v>3</v>
      </c>
      <c r="L1215" s="631">
        <f>L1209</f>
        <v>197.67</v>
      </c>
      <c r="M1215" s="631">
        <f>VLOOKUP(J1215,Preços!$C$7:$F$498,4,FALSE)</f>
        <v>15</v>
      </c>
      <c r="N1215" s="646">
        <f>L1215*M1215</f>
        <v>2965.0499999999997</v>
      </c>
      <c r="O1215" s="767"/>
      <c r="P1215" s="632" t="s">
        <v>333</v>
      </c>
      <c r="R1215" s="742"/>
      <c r="S1215" s="742"/>
    </row>
    <row r="1216" spans="1:19" s="761" customFormat="1" ht="22.5" hidden="1" outlineLevel="1" x14ac:dyDescent="0.2">
      <c r="A1216" s="762" t="e">
        <f ca="1">IF($H1216="UNIDADE CONSTRUTIVA",OFFSET(A1216,-1,0)+1,LARGE(A$3:A1178,1))</f>
        <v>#NUM!</v>
      </c>
      <c r="B1216" s="762">
        <f t="shared" ca="1" si="292"/>
        <v>17</v>
      </c>
      <c r="C1216" s="762">
        <f t="shared" ca="1" si="293"/>
        <v>2</v>
      </c>
      <c r="D1216" s="763">
        <f t="shared" ca="1" si="294"/>
        <v>0</v>
      </c>
      <c r="E1216" s="763">
        <f t="shared" ca="1" si="295"/>
        <v>5</v>
      </c>
      <c r="G1216" s="628"/>
      <c r="H1216" s="766" t="s">
        <v>366</v>
      </c>
      <c r="I1216" s="629" t="str">
        <f t="shared" ca="1" si="291"/>
        <v>17.002</v>
      </c>
      <c r="J1216" s="654" t="s">
        <v>1516</v>
      </c>
      <c r="K1216" s="630"/>
      <c r="L1216" s="631"/>
      <c r="M1216" s="631"/>
      <c r="N1216" s="646">
        <f ca="1">SUM(N1217,N1222,N1227,N1229)</f>
        <v>188233.91308899998</v>
      </c>
      <c r="O1216" s="767"/>
      <c r="P1216" s="632"/>
      <c r="R1216" s="742"/>
      <c r="S1216" s="742"/>
    </row>
    <row r="1217" spans="1:19" s="761" customFormat="1" hidden="1" outlineLevel="1" collapsed="1" x14ac:dyDescent="0.2">
      <c r="A1217" s="762" t="e">
        <f ca="1">IF($H1217="UNIDADE CONSTRUTIVA",OFFSET(A1217,-1,0)+1,LARGE(A$3:A1216,1))</f>
        <v>#NUM!</v>
      </c>
      <c r="B1217" s="762">
        <f t="shared" ca="1" si="292"/>
        <v>17</v>
      </c>
      <c r="C1217" s="762">
        <f t="shared" ca="1" si="293"/>
        <v>2</v>
      </c>
      <c r="D1217" s="763">
        <f t="shared" ca="1" si="294"/>
        <v>1</v>
      </c>
      <c r="E1217" s="763">
        <f t="shared" ca="1" si="295"/>
        <v>0</v>
      </c>
      <c r="G1217" s="628"/>
      <c r="H1217" s="766" t="s">
        <v>367</v>
      </c>
      <c r="I1217" s="629" t="str">
        <f t="shared" ca="1" si="291"/>
        <v>17.002.001</v>
      </c>
      <c r="J1217" s="654" t="s">
        <v>272</v>
      </c>
      <c r="K1217" s="630"/>
      <c r="L1217" s="631"/>
      <c r="M1217" s="631"/>
      <c r="N1217" s="646">
        <f ca="1">SUM(N1218:N1221)</f>
        <v>26853.327753999998</v>
      </c>
      <c r="O1217" s="767"/>
      <c r="P1217" s="632"/>
      <c r="R1217" s="742"/>
      <c r="S1217" s="742"/>
    </row>
    <row r="1218" spans="1:19" s="761" customFormat="1" ht="33.75" hidden="1" outlineLevel="2" x14ac:dyDescent="0.2">
      <c r="A1218" s="762" t="e">
        <f ca="1">IF($H1218="UNIDADE CONSTRUTIVA",OFFSET(A1218,-1,0)+1,LARGE(A$3:A1217,1))</f>
        <v>#NUM!</v>
      </c>
      <c r="B1218" s="762">
        <f t="shared" ca="1" si="292"/>
        <v>17</v>
      </c>
      <c r="C1218" s="762">
        <f t="shared" ca="1" si="293"/>
        <v>2</v>
      </c>
      <c r="D1218" s="763">
        <f t="shared" ca="1" si="294"/>
        <v>1</v>
      </c>
      <c r="E1218" s="763">
        <f t="shared" ca="1" si="295"/>
        <v>1</v>
      </c>
      <c r="G1218" s="628"/>
      <c r="H1218" s="766" t="s">
        <v>368</v>
      </c>
      <c r="I1218" s="629" t="str">
        <f t="shared" ca="1" si="291"/>
        <v>17.002.001.001</v>
      </c>
      <c r="J1218" s="654" t="s">
        <v>1176</v>
      </c>
      <c r="K1218" s="630" t="s">
        <v>1</v>
      </c>
      <c r="L1218" s="631">
        <f ca="1">FACHADA!B68</f>
        <v>682.58</v>
      </c>
      <c r="M1218" s="631">
        <f>VLOOKUP(J1218,Preços!$C$7:$F$498,4,FALSE)</f>
        <v>2.8022</v>
      </c>
      <c r="N1218" s="646">
        <f ca="1">L1218*M1218</f>
        <v>1912.725676</v>
      </c>
      <c r="O1218" s="767"/>
      <c r="P1218" s="632" t="s">
        <v>333</v>
      </c>
      <c r="R1218" s="742"/>
      <c r="S1218" s="742"/>
    </row>
    <row r="1219" spans="1:19" s="761" customFormat="1" ht="22.5" hidden="1" outlineLevel="2" x14ac:dyDescent="0.2">
      <c r="A1219" s="762" t="e">
        <f ca="1">IF($H1219="UNIDADE CONSTRUTIVA",OFFSET(A1219,-1,0)+1,LARGE(A$3:A1218,1))</f>
        <v>#NUM!</v>
      </c>
      <c r="B1219" s="762">
        <f t="shared" ca="1" si="292"/>
        <v>17</v>
      </c>
      <c r="C1219" s="762">
        <f t="shared" ca="1" si="293"/>
        <v>2</v>
      </c>
      <c r="D1219" s="763">
        <f t="shared" ca="1" si="294"/>
        <v>1</v>
      </c>
      <c r="E1219" s="763">
        <f t="shared" ca="1" si="295"/>
        <v>2</v>
      </c>
      <c r="G1219" s="628"/>
      <c r="H1219" s="766" t="s">
        <v>368</v>
      </c>
      <c r="I1219" s="629" t="str">
        <f t="shared" ca="1" si="291"/>
        <v>17.002.001.002</v>
      </c>
      <c r="J1219" s="654" t="s">
        <v>1177</v>
      </c>
      <c r="K1219" s="630" t="s">
        <v>1</v>
      </c>
      <c r="L1219" s="631">
        <f ca="1">FACHADA!B69</f>
        <v>583.44000000000005</v>
      </c>
      <c r="M1219" s="631">
        <f>VLOOKUP(J1219,Preços!$C$7:$F$498,4,FALSE)</f>
        <v>2.8022</v>
      </c>
      <c r="N1219" s="646">
        <f ca="1">L1219*M1219</f>
        <v>1634.9155680000001</v>
      </c>
      <c r="O1219" s="767"/>
      <c r="P1219" s="632" t="s">
        <v>333</v>
      </c>
      <c r="R1219" s="742"/>
      <c r="S1219" s="742"/>
    </row>
    <row r="1220" spans="1:19" s="761" customFormat="1" ht="22.5" hidden="1" outlineLevel="2" x14ac:dyDescent="0.2">
      <c r="A1220" s="762" t="e">
        <f ca="1">IF($H1220="UNIDADE CONSTRUTIVA",OFFSET(A1220,-1,0)+1,LARGE(A$3:A1218,1))</f>
        <v>#NUM!</v>
      </c>
      <c r="B1220" s="762">
        <f t="shared" ca="1" si="292"/>
        <v>17</v>
      </c>
      <c r="C1220" s="762">
        <f t="shared" ca="1" si="293"/>
        <v>2</v>
      </c>
      <c r="D1220" s="763">
        <f t="shared" ca="1" si="294"/>
        <v>1</v>
      </c>
      <c r="E1220" s="763">
        <f t="shared" ca="1" si="295"/>
        <v>3</v>
      </c>
      <c r="G1220" s="628"/>
      <c r="H1220" s="766" t="s">
        <v>368</v>
      </c>
      <c r="I1220" s="629" t="str">
        <f t="shared" ca="1" si="291"/>
        <v>17.002.001.003</v>
      </c>
      <c r="J1220" s="654" t="s">
        <v>1167</v>
      </c>
      <c r="K1220" s="630" t="s">
        <v>3</v>
      </c>
      <c r="L1220" s="631">
        <f>L1228</f>
        <v>264.52499999999998</v>
      </c>
      <c r="M1220" s="631">
        <f>VLOOKUP(J1220,Preços!$C$7:$F$498,4,FALSE)</f>
        <v>6.5</v>
      </c>
      <c r="N1220" s="646">
        <f>L1220*M1220</f>
        <v>1719.4124999999999</v>
      </c>
      <c r="O1220" s="767"/>
      <c r="P1220" s="632" t="s">
        <v>333</v>
      </c>
      <c r="R1220" s="742"/>
      <c r="S1220" s="742"/>
    </row>
    <row r="1221" spans="1:19" s="761" customFormat="1" ht="33.75" hidden="1" outlineLevel="2" x14ac:dyDescent="0.2">
      <c r="A1221" s="762" t="e">
        <f ca="1">IF($H1221="UNIDADE CONSTRUTIVA",OFFSET(A1221,-1,0)+1,LARGE(A$3:A1219,1))</f>
        <v>#NUM!</v>
      </c>
      <c r="B1221" s="762">
        <f t="shared" ca="1" si="292"/>
        <v>17</v>
      </c>
      <c r="C1221" s="762">
        <f t="shared" ca="1" si="293"/>
        <v>2</v>
      </c>
      <c r="D1221" s="763">
        <f t="shared" ca="1" si="294"/>
        <v>1</v>
      </c>
      <c r="E1221" s="763">
        <f t="shared" ca="1" si="295"/>
        <v>4</v>
      </c>
      <c r="G1221" s="628"/>
      <c r="H1221" s="766" t="s">
        <v>368</v>
      </c>
      <c r="I1221" s="629" t="str">
        <f t="shared" ca="1" si="291"/>
        <v>17.002.001.004</v>
      </c>
      <c r="J1221" s="654" t="s">
        <v>1520</v>
      </c>
      <c r="K1221" s="630" t="s">
        <v>1</v>
      </c>
      <c r="L1221" s="631">
        <f ca="1">FACHADA!B70</f>
        <v>1266.02</v>
      </c>
      <c r="M1221" s="631">
        <f>VLOOKUP(J1221,Preços!$C$7:$F$498,4,FALSE)</f>
        <v>17.0505</v>
      </c>
      <c r="N1221" s="646">
        <f ca="1">L1221*M1221</f>
        <v>21586.274009999997</v>
      </c>
      <c r="O1221" s="767"/>
      <c r="P1221" s="632" t="s">
        <v>333</v>
      </c>
      <c r="R1221" s="742"/>
      <c r="S1221" s="742"/>
    </row>
    <row r="1222" spans="1:19" s="761" customFormat="1" hidden="1" outlineLevel="1" collapsed="1" x14ac:dyDescent="0.2">
      <c r="A1222" s="762" t="e">
        <f ca="1">IF($H1222="UNIDADE CONSTRUTIVA",OFFSET(A1222,-1,0)+1,LARGE(A$3:A1221,1))</f>
        <v>#NUM!</v>
      </c>
      <c r="B1222" s="762">
        <f t="shared" ca="1" si="292"/>
        <v>17</v>
      </c>
      <c r="C1222" s="762">
        <f t="shared" ca="1" si="293"/>
        <v>2</v>
      </c>
      <c r="D1222" s="763">
        <f t="shared" ca="1" si="294"/>
        <v>2</v>
      </c>
      <c r="E1222" s="763">
        <f t="shared" ca="1" si="295"/>
        <v>0</v>
      </c>
      <c r="G1222" s="628"/>
      <c r="H1222" s="766" t="s">
        <v>367</v>
      </c>
      <c r="I1222" s="629" t="str">
        <f t="shared" ca="1" si="291"/>
        <v>17.002.002</v>
      </c>
      <c r="J1222" s="654" t="s">
        <v>273</v>
      </c>
      <c r="K1222" s="630"/>
      <c r="L1222" s="631"/>
      <c r="M1222" s="631"/>
      <c r="N1222" s="646">
        <f ca="1">SUM(N1223:N1226)</f>
        <v>27913.834709999999</v>
      </c>
      <c r="O1222" s="767"/>
      <c r="P1222" s="632"/>
      <c r="R1222" s="742"/>
      <c r="S1222" s="742"/>
    </row>
    <row r="1223" spans="1:19" s="761" customFormat="1" ht="22.5" hidden="1" outlineLevel="2" x14ac:dyDescent="0.2">
      <c r="A1223" s="762" t="e">
        <f ca="1">IF($H1223="UNIDADE CONSTRUTIVA",OFFSET(A1223,-1,0)+1,LARGE(A$3:A1222,1))</f>
        <v>#NUM!</v>
      </c>
      <c r="B1223" s="762">
        <f t="shared" ca="1" si="292"/>
        <v>17</v>
      </c>
      <c r="C1223" s="762">
        <f t="shared" ca="1" si="293"/>
        <v>2</v>
      </c>
      <c r="D1223" s="763">
        <f t="shared" ca="1" si="294"/>
        <v>2</v>
      </c>
      <c r="E1223" s="763">
        <f t="shared" ca="1" si="295"/>
        <v>1</v>
      </c>
      <c r="G1223" s="628"/>
      <c r="H1223" s="766" t="s">
        <v>368</v>
      </c>
      <c r="I1223" s="629" t="str">
        <f t="shared" ca="1" si="291"/>
        <v>17.002.002.001</v>
      </c>
      <c r="J1223" s="654" t="s">
        <v>1013</v>
      </c>
      <c r="K1223" s="630" t="s">
        <v>1</v>
      </c>
      <c r="L1223" s="631">
        <f ca="1">L1221</f>
        <v>1266.02</v>
      </c>
      <c r="M1223" s="631">
        <f>VLOOKUP(J1223,Preços!$C$7:$F$498,4,FALSE)</f>
        <v>2.9333</v>
      </c>
      <c r="N1223" s="646">
        <f ca="1">L1223*M1223</f>
        <v>3713.6164659999999</v>
      </c>
      <c r="O1223" s="767"/>
      <c r="P1223" s="632" t="s">
        <v>333</v>
      </c>
      <c r="R1223" s="742"/>
      <c r="S1223" s="742"/>
    </row>
    <row r="1224" spans="1:19" s="761" customFormat="1" ht="22.5" hidden="1" outlineLevel="2" x14ac:dyDescent="0.2">
      <c r="A1224" s="762" t="e">
        <f ca="1">IF($H1224="UNIDADE CONSTRUTIVA",OFFSET(A1224,-1,0)+1,LARGE(A$3:A1223,1))</f>
        <v>#NUM!</v>
      </c>
      <c r="B1224" s="762">
        <f t="shared" ca="1" si="292"/>
        <v>17</v>
      </c>
      <c r="C1224" s="762">
        <f t="shared" ca="1" si="293"/>
        <v>2</v>
      </c>
      <c r="D1224" s="763">
        <f t="shared" ca="1" si="294"/>
        <v>2</v>
      </c>
      <c r="E1224" s="763">
        <f t="shared" ca="1" si="295"/>
        <v>2</v>
      </c>
      <c r="G1224" s="628"/>
      <c r="H1224" s="766" t="s">
        <v>368</v>
      </c>
      <c r="I1224" s="629" t="str">
        <f t="shared" ca="1" si="291"/>
        <v>17.002.002.002</v>
      </c>
      <c r="J1224" s="654" t="s">
        <v>1522</v>
      </c>
      <c r="K1224" s="630" t="s">
        <v>1</v>
      </c>
      <c r="L1224" s="631">
        <f ca="1">FACHADA!B71+FACHADA!B73</f>
        <v>1201.55</v>
      </c>
      <c r="M1224" s="631">
        <f>VLOOKUP(J1224,Preços!$C$7:$F$498,4,FALSE)</f>
        <v>18.876100000000001</v>
      </c>
      <c r="N1224" s="646">
        <f ca="1">L1224*M1224</f>
        <v>22680.577955000001</v>
      </c>
      <c r="O1224" s="767"/>
      <c r="P1224" s="632" t="s">
        <v>333</v>
      </c>
      <c r="R1224" s="742"/>
      <c r="S1224" s="742"/>
    </row>
    <row r="1225" spans="1:19" s="761" customFormat="1" ht="22.5" hidden="1" outlineLevel="2" x14ac:dyDescent="0.2">
      <c r="A1225" s="762" t="e">
        <f ca="1">IF($H1225="UNIDADE CONSTRUTIVA",OFFSET(A1225,-1,0)+1,LARGE(A$3:A1224,1))</f>
        <v>#NUM!</v>
      </c>
      <c r="B1225" s="762">
        <f t="shared" ca="1" si="292"/>
        <v>17</v>
      </c>
      <c r="C1225" s="762">
        <f t="shared" ca="1" si="293"/>
        <v>2</v>
      </c>
      <c r="D1225" s="763">
        <f t="shared" ca="1" si="294"/>
        <v>2</v>
      </c>
      <c r="E1225" s="763">
        <f t="shared" ca="1" si="295"/>
        <v>3</v>
      </c>
      <c r="G1225" s="628"/>
      <c r="H1225" s="766" t="s">
        <v>368</v>
      </c>
      <c r="I1225" s="629" t="str">
        <f t="shared" ca="1" si="291"/>
        <v>17.002.002.003</v>
      </c>
      <c r="J1225" s="654" t="s">
        <v>1523</v>
      </c>
      <c r="K1225" s="630" t="s">
        <v>1</v>
      </c>
      <c r="L1225" s="631">
        <f ca="1">FACHADA!B72</f>
        <v>20.190000000000001</v>
      </c>
      <c r="M1225" s="631">
        <f>VLOOKUP(J1225,Preços!$C$7:$F$498,4,FALSE)</f>
        <v>23.2073</v>
      </c>
      <c r="N1225" s="646">
        <f ca="1">L1225*M1225</f>
        <v>468.55538700000005</v>
      </c>
      <c r="O1225" s="767"/>
      <c r="P1225" s="632" t="s">
        <v>333</v>
      </c>
      <c r="R1225" s="742"/>
      <c r="S1225" s="742"/>
    </row>
    <row r="1226" spans="1:19" s="761" customFormat="1" ht="22.5" hidden="1" outlineLevel="2" x14ac:dyDescent="0.2">
      <c r="A1226" s="762" t="e">
        <f ca="1">IF($H1226="UNIDADE CONSTRUTIVA",OFFSET(A1226,-1,0)+1,LARGE(A$3:A1225,1))</f>
        <v>#NUM!</v>
      </c>
      <c r="B1226" s="762">
        <f t="shared" ca="1" si="292"/>
        <v>17</v>
      </c>
      <c r="C1226" s="762">
        <f t="shared" ca="1" si="293"/>
        <v>2</v>
      </c>
      <c r="D1226" s="763">
        <f t="shared" ca="1" si="294"/>
        <v>2</v>
      </c>
      <c r="E1226" s="763">
        <f t="shared" ca="1" si="295"/>
        <v>4</v>
      </c>
      <c r="G1226" s="628"/>
      <c r="H1226" s="766" t="s">
        <v>368</v>
      </c>
      <c r="I1226" s="629" t="str">
        <f t="shared" ca="1" si="291"/>
        <v>17.002.002.004</v>
      </c>
      <c r="J1226" s="654" t="s">
        <v>1525</v>
      </c>
      <c r="K1226" s="630" t="s">
        <v>1</v>
      </c>
      <c r="L1226" s="631">
        <f ca="1">FACHADA!B74</f>
        <v>44.27</v>
      </c>
      <c r="M1226" s="631">
        <f>VLOOKUP(J1226,Preços!$C$7:$F$498,4,FALSE)</f>
        <v>23.742599999999999</v>
      </c>
      <c r="N1226" s="646">
        <f ca="1">L1226*M1226</f>
        <v>1051.0849020000001</v>
      </c>
      <c r="O1226" s="767"/>
      <c r="P1226" s="632" t="s">
        <v>333</v>
      </c>
      <c r="R1226" s="742"/>
      <c r="S1226" s="742"/>
    </row>
    <row r="1227" spans="1:19" s="761" customFormat="1" hidden="1" outlineLevel="1" collapsed="1" x14ac:dyDescent="0.2">
      <c r="A1227" s="762" t="e">
        <f ca="1">IF($H1227="UNIDADE CONSTRUTIVA",OFFSET(A1227,-1,0)+1,LARGE(A$3:A1226,1))</f>
        <v>#NUM!</v>
      </c>
      <c r="B1227" s="762">
        <f t="shared" ca="1" si="292"/>
        <v>17</v>
      </c>
      <c r="C1227" s="762">
        <f t="shared" ca="1" si="293"/>
        <v>2</v>
      </c>
      <c r="D1227" s="763">
        <f t="shared" ca="1" si="294"/>
        <v>3</v>
      </c>
      <c r="E1227" s="763">
        <f t="shared" ca="1" si="295"/>
        <v>0</v>
      </c>
      <c r="G1227" s="628"/>
      <c r="H1227" s="766" t="s">
        <v>367</v>
      </c>
      <c r="I1227" s="629" t="str">
        <f t="shared" ca="1" si="291"/>
        <v>17.002.003</v>
      </c>
      <c r="J1227" s="654" t="s">
        <v>275</v>
      </c>
      <c r="K1227" s="630"/>
      <c r="L1227" s="631"/>
      <c r="M1227" s="631"/>
      <c r="N1227" s="646">
        <f>SUM(N1228)</f>
        <v>5429.3756249999988</v>
      </c>
      <c r="O1227" s="767"/>
      <c r="P1227" s="632"/>
      <c r="R1227" s="742"/>
      <c r="S1227" s="742"/>
    </row>
    <row r="1228" spans="1:19" s="761" customFormat="1" ht="22.5" hidden="1" outlineLevel="2" x14ac:dyDescent="0.2">
      <c r="A1228" s="762" t="e">
        <f ca="1">IF($H1228="UNIDADE CONSTRUTIVA",OFFSET(A1228,-1,0)+1,LARGE(A$3:A1227,1))</f>
        <v>#NUM!</v>
      </c>
      <c r="B1228" s="762">
        <f t="shared" ca="1" si="292"/>
        <v>17</v>
      </c>
      <c r="C1228" s="762">
        <f t="shared" ca="1" si="293"/>
        <v>2</v>
      </c>
      <c r="D1228" s="763">
        <f t="shared" ca="1" si="294"/>
        <v>3</v>
      </c>
      <c r="E1228" s="763">
        <f t="shared" ca="1" si="295"/>
        <v>1</v>
      </c>
      <c r="G1228" s="628"/>
      <c r="H1228" s="766" t="s">
        <v>368</v>
      </c>
      <c r="I1228" s="629" t="str">
        <f t="shared" ca="1" si="291"/>
        <v>17.002.003.001</v>
      </c>
      <c r="J1228" s="654" t="s">
        <v>1183</v>
      </c>
      <c r="K1228" s="630" t="s">
        <v>3</v>
      </c>
      <c r="L1228" s="631">
        <v>264.52499999999998</v>
      </c>
      <c r="M1228" s="631">
        <f>VLOOKUP(J1228,Preços!$C$7:$F$498,4,FALSE)</f>
        <v>20.524999999999999</v>
      </c>
      <c r="N1228" s="646">
        <f>L1228*M1228</f>
        <v>5429.3756249999988</v>
      </c>
      <c r="O1228" s="767"/>
      <c r="P1228" s="632" t="s">
        <v>333</v>
      </c>
      <c r="R1228" s="742"/>
      <c r="S1228" s="742"/>
    </row>
    <row r="1229" spans="1:19" s="761" customFormat="1" hidden="1" outlineLevel="1" collapsed="1" x14ac:dyDescent="0.2">
      <c r="A1229" s="762" t="e">
        <f ca="1">IF($H1229="UNIDADE CONSTRUTIVA",OFFSET(A1229,-1,0)+1,LARGE(A$3:A1228,1))</f>
        <v>#NUM!</v>
      </c>
      <c r="B1229" s="762">
        <f t="shared" ca="1" si="292"/>
        <v>17</v>
      </c>
      <c r="C1229" s="762">
        <f t="shared" ca="1" si="293"/>
        <v>2</v>
      </c>
      <c r="D1229" s="763">
        <f t="shared" ca="1" si="294"/>
        <v>4</v>
      </c>
      <c r="E1229" s="763">
        <f t="shared" ca="1" si="295"/>
        <v>0</v>
      </c>
      <c r="G1229" s="628"/>
      <c r="H1229" s="766" t="s">
        <v>367</v>
      </c>
      <c r="I1229" s="629" t="str">
        <f t="shared" ca="1" si="291"/>
        <v>17.002.004</v>
      </c>
      <c r="J1229" s="654" t="s">
        <v>211</v>
      </c>
      <c r="K1229" s="630"/>
      <c r="L1229" s="631"/>
      <c r="M1229" s="631"/>
      <c r="N1229" s="646">
        <f ca="1">SUM(N1230:N1232)</f>
        <v>128037.375</v>
      </c>
      <c r="O1229" s="767"/>
      <c r="P1229" s="632"/>
      <c r="R1229" s="742"/>
      <c r="S1229" s="742"/>
    </row>
    <row r="1230" spans="1:19" s="761" customFormat="1" ht="22.5" hidden="1" outlineLevel="2" x14ac:dyDescent="0.2">
      <c r="A1230" s="762" t="e">
        <f ca="1">IF($H1230="UNIDADE CONSTRUTIVA",OFFSET(A1230,-1,0)+1,LARGE(A$3:A1229,1))</f>
        <v>#NUM!</v>
      </c>
      <c r="B1230" s="762">
        <f t="shared" ca="1" si="292"/>
        <v>17</v>
      </c>
      <c r="C1230" s="762">
        <f t="shared" ca="1" si="293"/>
        <v>2</v>
      </c>
      <c r="D1230" s="763">
        <f t="shared" ca="1" si="294"/>
        <v>4</v>
      </c>
      <c r="E1230" s="763">
        <f t="shared" ca="1" si="295"/>
        <v>1</v>
      </c>
      <c r="G1230" s="628"/>
      <c r="H1230" s="766" t="s">
        <v>368</v>
      </c>
      <c r="I1230" s="629" t="str">
        <f t="shared" ca="1" si="291"/>
        <v>17.002.004.001</v>
      </c>
      <c r="J1230" s="654" t="s">
        <v>1521</v>
      </c>
      <c r="K1230" s="630" t="s">
        <v>1</v>
      </c>
      <c r="L1230" s="631">
        <f ca="1">L1221</f>
        <v>1266.02</v>
      </c>
      <c r="M1230" s="631">
        <f>VLOOKUP(J1230,Preços!$C$7:$F$498,4,FALSE)</f>
        <v>52</v>
      </c>
      <c r="N1230" s="646">
        <f ca="1">L1230*M1230</f>
        <v>65833.039999999994</v>
      </c>
      <c r="O1230" s="767"/>
      <c r="P1230" s="632" t="s">
        <v>333</v>
      </c>
      <c r="R1230" s="742"/>
      <c r="S1230" s="742"/>
    </row>
    <row r="1231" spans="1:19" s="761" customFormat="1" ht="22.5" hidden="1" outlineLevel="2" x14ac:dyDescent="0.2">
      <c r="A1231" s="762" t="e">
        <f ca="1">IF($H1231="UNIDADE CONSTRUTIVA",OFFSET(A1231,-1,0)+1,LARGE(A$3:A1230,1))</f>
        <v>#NUM!</v>
      </c>
      <c r="B1231" s="762">
        <f t="shared" ca="1" si="292"/>
        <v>17</v>
      </c>
      <c r="C1231" s="762">
        <f t="shared" ca="1" si="293"/>
        <v>2</v>
      </c>
      <c r="D1231" s="763">
        <f t="shared" ca="1" si="294"/>
        <v>4</v>
      </c>
      <c r="E1231" s="763">
        <f t="shared" ca="1" si="295"/>
        <v>2</v>
      </c>
      <c r="G1231" s="628"/>
      <c r="H1231" s="766" t="s">
        <v>368</v>
      </c>
      <c r="I1231" s="629" t="str">
        <f t="shared" ca="1" si="291"/>
        <v>17.002.004.002</v>
      </c>
      <c r="J1231" s="654" t="s">
        <v>1519</v>
      </c>
      <c r="K1231" s="630" t="s">
        <v>1</v>
      </c>
      <c r="L1231" s="631">
        <f ca="1">SUM(L1224:L1226)</f>
        <v>1266.01</v>
      </c>
      <c r="M1231" s="631">
        <f>VLOOKUP(J1231,Preços!$C$7:$F$498,4,FALSE)</f>
        <v>46</v>
      </c>
      <c r="N1231" s="646">
        <f ca="1">L1231*M1231</f>
        <v>58236.46</v>
      </c>
      <c r="O1231" s="767"/>
      <c r="P1231" s="632" t="s">
        <v>333</v>
      </c>
      <c r="R1231" s="742"/>
      <c r="S1231" s="742"/>
    </row>
    <row r="1232" spans="1:19" s="761" customFormat="1" ht="22.5" hidden="1" outlineLevel="2" x14ac:dyDescent="0.2">
      <c r="A1232" s="762" t="e">
        <f ca="1">IF($H1232="UNIDADE CONSTRUTIVA",OFFSET(A1232,-1,0)+1,LARGE(A$3:A1230,1))</f>
        <v>#NUM!</v>
      </c>
      <c r="B1232" s="762">
        <f t="shared" ca="1" si="292"/>
        <v>17</v>
      </c>
      <c r="C1232" s="762">
        <f t="shared" ca="1" si="293"/>
        <v>2</v>
      </c>
      <c r="D1232" s="763">
        <f t="shared" ca="1" si="294"/>
        <v>4</v>
      </c>
      <c r="E1232" s="763">
        <f t="shared" ca="1" si="295"/>
        <v>3</v>
      </c>
      <c r="G1232" s="628"/>
      <c r="H1232" s="766" t="s">
        <v>368</v>
      </c>
      <c r="I1232" s="629" t="str">
        <f t="shared" ca="1" si="291"/>
        <v>17.002.004.003</v>
      </c>
      <c r="J1232" s="654" t="s">
        <v>1665</v>
      </c>
      <c r="K1232" s="630" t="s">
        <v>1</v>
      </c>
      <c r="L1232" s="631">
        <f>L1228</f>
        <v>264.52499999999998</v>
      </c>
      <c r="M1232" s="631">
        <f>VLOOKUP(J1232,Preços!$C$7:$F$498,4,FALSE)</f>
        <v>15</v>
      </c>
      <c r="N1232" s="646">
        <f>L1232*M1232</f>
        <v>3967.8749999999995</v>
      </c>
      <c r="O1232" s="767"/>
      <c r="P1232" s="632" t="s">
        <v>333</v>
      </c>
      <c r="R1232" s="742"/>
      <c r="S1232" s="742"/>
    </row>
    <row r="1233" spans="1:19" s="761" customFormat="1" ht="22.5" hidden="1" outlineLevel="1" x14ac:dyDescent="0.2">
      <c r="A1233" s="762" t="e">
        <f ca="1">IF($H1233="UNIDADE CONSTRUTIVA",OFFSET(A1233,-1,0)+1,LARGE(A$3:A1191,1))</f>
        <v>#NUM!</v>
      </c>
      <c r="B1233" s="762">
        <f t="shared" ca="1" si="292"/>
        <v>17</v>
      </c>
      <c r="C1233" s="762">
        <f t="shared" ca="1" si="293"/>
        <v>3</v>
      </c>
      <c r="D1233" s="763">
        <f t="shared" ca="1" si="294"/>
        <v>0</v>
      </c>
      <c r="E1233" s="763">
        <f t="shared" ca="1" si="295"/>
        <v>3</v>
      </c>
      <c r="G1233" s="628"/>
      <c r="H1233" s="766" t="s">
        <v>366</v>
      </c>
      <c r="I1233" s="629" t="str">
        <f t="shared" ca="1" si="291"/>
        <v>17.003</v>
      </c>
      <c r="J1233" s="654" t="s">
        <v>1517</v>
      </c>
      <c r="K1233" s="630"/>
      <c r="L1233" s="631"/>
      <c r="M1233" s="631"/>
      <c r="N1233" s="646">
        <f ca="1">SUM(N1234,N1239,N1245,N1247,N1249)</f>
        <v>232810.28411499999</v>
      </c>
      <c r="O1233" s="767"/>
      <c r="P1233" s="632"/>
      <c r="R1233" s="742"/>
      <c r="S1233" s="742"/>
    </row>
    <row r="1234" spans="1:19" s="761" customFormat="1" hidden="1" outlineLevel="1" collapsed="1" x14ac:dyDescent="0.2">
      <c r="A1234" s="762" t="e">
        <f ca="1">IF($H1234="UNIDADE CONSTRUTIVA",OFFSET(A1234,-1,0)+1,LARGE(A$3:A1233,1))</f>
        <v>#NUM!</v>
      </c>
      <c r="B1234" s="762">
        <f t="shared" ca="1" si="292"/>
        <v>17</v>
      </c>
      <c r="C1234" s="762">
        <f t="shared" ca="1" si="293"/>
        <v>3</v>
      </c>
      <c r="D1234" s="763">
        <f t="shared" ca="1" si="294"/>
        <v>1</v>
      </c>
      <c r="E1234" s="763">
        <f t="shared" ca="1" si="295"/>
        <v>0</v>
      </c>
      <c r="G1234" s="628"/>
      <c r="H1234" s="766" t="s">
        <v>367</v>
      </c>
      <c r="I1234" s="629" t="str">
        <f t="shared" ca="1" si="291"/>
        <v>17.003.001</v>
      </c>
      <c r="J1234" s="654" t="s">
        <v>272</v>
      </c>
      <c r="K1234" s="630"/>
      <c r="L1234" s="631"/>
      <c r="M1234" s="631"/>
      <c r="N1234" s="646">
        <f ca="1">SUM(N1235:N1238)</f>
        <v>33645.065924999995</v>
      </c>
      <c r="O1234" s="767"/>
      <c r="P1234" s="632"/>
      <c r="R1234" s="742"/>
      <c r="S1234" s="742"/>
    </row>
    <row r="1235" spans="1:19" s="761" customFormat="1" ht="33.75" hidden="1" outlineLevel="2" x14ac:dyDescent="0.2">
      <c r="A1235" s="762" t="e">
        <f ca="1">IF($H1235="UNIDADE CONSTRUTIVA",OFFSET(A1235,-1,0)+1,LARGE(A$3:A1234,1))</f>
        <v>#NUM!</v>
      </c>
      <c r="B1235" s="762">
        <f t="shared" ca="1" si="292"/>
        <v>17</v>
      </c>
      <c r="C1235" s="762">
        <f t="shared" ca="1" si="293"/>
        <v>3</v>
      </c>
      <c r="D1235" s="763">
        <f t="shared" ca="1" si="294"/>
        <v>1</v>
      </c>
      <c r="E1235" s="763">
        <f t="shared" ca="1" si="295"/>
        <v>1</v>
      </c>
      <c r="G1235" s="628"/>
      <c r="H1235" s="766" t="s">
        <v>368</v>
      </c>
      <c r="I1235" s="629" t="str">
        <f t="shared" ca="1" si="291"/>
        <v>17.003.001.001</v>
      </c>
      <c r="J1235" s="654" t="s">
        <v>1176</v>
      </c>
      <c r="K1235" s="630" t="s">
        <v>1</v>
      </c>
      <c r="L1235" s="631">
        <f ca="1">FACHADA!B77</f>
        <v>632.77</v>
      </c>
      <c r="M1235" s="631">
        <f>VLOOKUP(J1235,Preços!$C$7:$F$498,4,FALSE)</f>
        <v>2.8022</v>
      </c>
      <c r="N1235" s="646">
        <f ca="1">L1235*M1235</f>
        <v>1773.1480939999999</v>
      </c>
      <c r="O1235" s="767" t="s">
        <v>1973</v>
      </c>
      <c r="P1235" s="632" t="s">
        <v>333</v>
      </c>
      <c r="R1235" s="742"/>
      <c r="S1235" s="742"/>
    </row>
    <row r="1236" spans="1:19" s="761" customFormat="1" ht="22.5" hidden="1" outlineLevel="2" x14ac:dyDescent="0.2">
      <c r="A1236" s="762" t="e">
        <f ca="1">IF($H1236="UNIDADE CONSTRUTIVA",OFFSET(A1236,-1,0)+1,LARGE(A$3:A1235,1))</f>
        <v>#NUM!</v>
      </c>
      <c r="B1236" s="762">
        <f t="shared" ca="1" si="292"/>
        <v>17</v>
      </c>
      <c r="C1236" s="762">
        <f t="shared" ca="1" si="293"/>
        <v>3</v>
      </c>
      <c r="D1236" s="763">
        <f t="shared" ca="1" si="294"/>
        <v>1</v>
      </c>
      <c r="E1236" s="763">
        <f t="shared" ca="1" si="295"/>
        <v>2</v>
      </c>
      <c r="G1236" s="628"/>
      <c r="H1236" s="766" t="s">
        <v>368</v>
      </c>
      <c r="I1236" s="629" t="str">
        <f t="shared" ca="1" si="291"/>
        <v>17.003.001.002</v>
      </c>
      <c r="J1236" s="654" t="s">
        <v>1177</v>
      </c>
      <c r="K1236" s="630" t="s">
        <v>1</v>
      </c>
      <c r="L1236" s="631">
        <f ca="1">FACHADA!B78</f>
        <v>974.98</v>
      </c>
      <c r="M1236" s="631">
        <f>VLOOKUP(J1236,Preços!$C$7:$F$498,4,FALSE)</f>
        <v>2.8022</v>
      </c>
      <c r="N1236" s="646">
        <f ca="1">L1236*M1236</f>
        <v>2732.0889560000001</v>
      </c>
      <c r="O1236" s="767"/>
      <c r="P1236" s="632" t="s">
        <v>333</v>
      </c>
      <c r="R1236" s="742"/>
      <c r="S1236" s="742"/>
    </row>
    <row r="1237" spans="1:19" s="761" customFormat="1" ht="22.5" hidden="1" outlineLevel="2" x14ac:dyDescent="0.2">
      <c r="A1237" s="762" t="e">
        <f ca="1">IF($H1237="UNIDADE CONSTRUTIVA",OFFSET(A1237,-1,0)+1,LARGE(A$3:A1235,1))</f>
        <v>#NUM!</v>
      </c>
      <c r="B1237" s="762">
        <f t="shared" ca="1" si="292"/>
        <v>17</v>
      </c>
      <c r="C1237" s="762">
        <f t="shared" ca="1" si="293"/>
        <v>3</v>
      </c>
      <c r="D1237" s="763">
        <f t="shared" ca="1" si="294"/>
        <v>1</v>
      </c>
      <c r="E1237" s="763">
        <f t="shared" ca="1" si="295"/>
        <v>3</v>
      </c>
      <c r="G1237" s="628"/>
      <c r="H1237" s="766" t="s">
        <v>368</v>
      </c>
      <c r="I1237" s="629" t="str">
        <f t="shared" ca="1" si="291"/>
        <v>17.003.001.003</v>
      </c>
      <c r="J1237" s="654" t="s">
        <v>1167</v>
      </c>
      <c r="K1237" s="630" t="s">
        <v>3</v>
      </c>
      <c r="L1237" s="631">
        <f>L1248</f>
        <v>265.67500000000001</v>
      </c>
      <c r="M1237" s="631">
        <f>VLOOKUP(J1237,Preços!$C$7:$F$498,4,FALSE)</f>
        <v>6.5</v>
      </c>
      <c r="N1237" s="646">
        <f>L1237*M1237</f>
        <v>1726.8875</v>
      </c>
      <c r="O1237" s="767" t="s">
        <v>1974</v>
      </c>
      <c r="P1237" s="632" t="s">
        <v>333</v>
      </c>
      <c r="R1237" s="742"/>
      <c r="S1237" s="742"/>
    </row>
    <row r="1238" spans="1:19" s="761" customFormat="1" ht="33.75" hidden="1" outlineLevel="2" x14ac:dyDescent="0.2">
      <c r="A1238" s="762" t="e">
        <f ca="1">IF($H1238="UNIDADE CONSTRUTIVA",OFFSET(A1238,-1,0)+1,LARGE(A$3:A1236,1))</f>
        <v>#NUM!</v>
      </c>
      <c r="B1238" s="762">
        <f t="shared" ca="1" si="292"/>
        <v>17</v>
      </c>
      <c r="C1238" s="762">
        <f t="shared" ca="1" si="293"/>
        <v>3</v>
      </c>
      <c r="D1238" s="763">
        <f t="shared" ca="1" si="294"/>
        <v>1</v>
      </c>
      <c r="E1238" s="763">
        <f t="shared" ca="1" si="295"/>
        <v>4</v>
      </c>
      <c r="G1238" s="628"/>
      <c r="H1238" s="766" t="s">
        <v>368</v>
      </c>
      <c r="I1238" s="629" t="str">
        <f t="shared" ca="1" si="291"/>
        <v>17.003.001.004</v>
      </c>
      <c r="J1238" s="654" t="s">
        <v>1520</v>
      </c>
      <c r="K1238" s="630" t="s">
        <v>1</v>
      </c>
      <c r="L1238" s="631">
        <f ca="1">FACHADA!B79</f>
        <v>1607.75</v>
      </c>
      <c r="M1238" s="631">
        <f>VLOOKUP(J1238,Preços!$C$7:$F$498,4,FALSE)</f>
        <v>17.0505</v>
      </c>
      <c r="N1238" s="646">
        <f ca="1">L1238*M1238</f>
        <v>27412.941374999999</v>
      </c>
      <c r="O1238" s="767"/>
      <c r="P1238" s="632" t="s">
        <v>333</v>
      </c>
      <c r="R1238" s="742"/>
      <c r="S1238" s="742"/>
    </row>
    <row r="1239" spans="1:19" s="761" customFormat="1" hidden="1" outlineLevel="1" collapsed="1" x14ac:dyDescent="0.2">
      <c r="A1239" s="762" t="e">
        <f ca="1">IF($H1239="UNIDADE CONSTRUTIVA",OFFSET(A1239,-1,0)+1,LARGE(A$3:A1238,1))</f>
        <v>#NUM!</v>
      </c>
      <c r="B1239" s="762">
        <f t="shared" ca="1" si="292"/>
        <v>17</v>
      </c>
      <c r="C1239" s="762">
        <f t="shared" ca="1" si="293"/>
        <v>3</v>
      </c>
      <c r="D1239" s="763">
        <f t="shared" ca="1" si="294"/>
        <v>2</v>
      </c>
      <c r="E1239" s="763">
        <f t="shared" ca="1" si="295"/>
        <v>0</v>
      </c>
      <c r="G1239" s="628"/>
      <c r="H1239" s="766" t="s">
        <v>367</v>
      </c>
      <c r="I1239" s="629" t="str">
        <f t="shared" ref="I1239:I1244" ca="1" si="296">IF(H1239="Unidade Construtiva",TEXT(A1239,"00"),IF(H1239="Célula Construtiva",TEXT(B1239,"00"),IF(H1239="Etapa",CONCATENATE(TEXT(B1239,"00"),".",TEXT(C1239,"000")),IF(H1239="Subetapa",CONCATENATE(TEXT(B1239,"00"),".",TEXT(C1239,"000"),".",TEXT(D1239,"000")),IF(H1239="Serviço",CONCATENATE(TEXT(B1239,"00"),".",TEXT(C1239,"000"),".",TEXT(D1239,"000"),".",TEXT(E1239,"000")),"")))))</f>
        <v>17.003.002</v>
      </c>
      <c r="J1239" s="654" t="s">
        <v>273</v>
      </c>
      <c r="K1239" s="630"/>
      <c r="L1239" s="631"/>
      <c r="M1239" s="631"/>
      <c r="N1239" s="646">
        <f ca="1">SUM(N1240:N1244)</f>
        <v>32696.537655000007</v>
      </c>
      <c r="O1239" s="767"/>
      <c r="P1239" s="632"/>
      <c r="R1239" s="742"/>
      <c r="S1239" s="742"/>
    </row>
    <row r="1240" spans="1:19" s="761" customFormat="1" ht="22.5" hidden="1" outlineLevel="2" x14ac:dyDescent="0.2">
      <c r="A1240" s="762" t="e">
        <f ca="1">IF($H1240="UNIDADE CONSTRUTIVA",OFFSET(A1240,-1,0)+1,LARGE(A$3:A1239,1))</f>
        <v>#NUM!</v>
      </c>
      <c r="B1240" s="762">
        <f t="shared" ca="1" si="292"/>
        <v>17</v>
      </c>
      <c r="C1240" s="762">
        <f t="shared" ca="1" si="293"/>
        <v>3</v>
      </c>
      <c r="D1240" s="763">
        <f t="shared" ca="1" si="294"/>
        <v>2</v>
      </c>
      <c r="E1240" s="763">
        <f t="shared" ca="1" si="295"/>
        <v>1</v>
      </c>
      <c r="G1240" s="628"/>
      <c r="H1240" s="766" t="s">
        <v>368</v>
      </c>
      <c r="I1240" s="629" t="str">
        <f t="shared" ca="1" si="296"/>
        <v>17.003.002.001</v>
      </c>
      <c r="J1240" s="654" t="s">
        <v>1013</v>
      </c>
      <c r="K1240" s="630" t="s">
        <v>1</v>
      </c>
      <c r="L1240" s="631">
        <f ca="1">SUM(L1241:L1244)</f>
        <v>1596.81</v>
      </c>
      <c r="M1240" s="631">
        <f>VLOOKUP(J1240,Preços!$C$7:$F$498,4,FALSE)</f>
        <v>2.9333</v>
      </c>
      <c r="N1240" s="646">
        <f ca="1">L1240*M1240</f>
        <v>4683.9227730000002</v>
      </c>
      <c r="O1240" s="767"/>
      <c r="P1240" s="632" t="s">
        <v>333</v>
      </c>
      <c r="R1240" s="742"/>
      <c r="S1240" s="742"/>
    </row>
    <row r="1241" spans="1:19" s="761" customFormat="1" ht="22.5" hidden="1" outlineLevel="2" x14ac:dyDescent="0.2">
      <c r="A1241" s="762" t="e">
        <f ca="1">IF($H1241="UNIDADE CONSTRUTIVA",OFFSET(A1241,-1,0)+1,LARGE(A$3:A1240,1))</f>
        <v>#NUM!</v>
      </c>
      <c r="B1241" s="762">
        <f t="shared" ca="1" si="292"/>
        <v>17</v>
      </c>
      <c r="C1241" s="762">
        <f t="shared" ca="1" si="293"/>
        <v>3</v>
      </c>
      <c r="D1241" s="763">
        <f t="shared" ca="1" si="294"/>
        <v>2</v>
      </c>
      <c r="E1241" s="763">
        <f t="shared" ca="1" si="295"/>
        <v>2</v>
      </c>
      <c r="G1241" s="628"/>
      <c r="H1241" s="766" t="s">
        <v>368</v>
      </c>
      <c r="I1241" s="629" t="str">
        <f t="shared" ca="1" si="296"/>
        <v>17.003.002.002</v>
      </c>
      <c r="J1241" s="654" t="s">
        <v>1178</v>
      </c>
      <c r="K1241" s="630" t="s">
        <v>1</v>
      </c>
      <c r="L1241" s="631">
        <f ca="1">FACHADA!B80</f>
        <v>389.48</v>
      </c>
      <c r="M1241" s="631">
        <f>VLOOKUP(J1241,Preços!$C$7:$F$498,4,FALSE)</f>
        <v>12.168799999999999</v>
      </c>
      <c r="N1241" s="646">
        <f ca="1">L1241*M1241</f>
        <v>4739.5042240000002</v>
      </c>
      <c r="O1241" s="767"/>
      <c r="P1241" s="632" t="s">
        <v>333</v>
      </c>
      <c r="R1241" s="742"/>
      <c r="S1241" s="742"/>
    </row>
    <row r="1242" spans="1:19" s="761" customFormat="1" ht="22.5" hidden="1" outlineLevel="2" x14ac:dyDescent="0.2">
      <c r="A1242" s="762" t="e">
        <f ca="1">IF($H1242="UNIDADE CONSTRUTIVA",OFFSET(A1242,-1,0)+1,LARGE(A$3:A1241,1))</f>
        <v>#NUM!</v>
      </c>
      <c r="B1242" s="762">
        <f t="shared" ca="1" si="292"/>
        <v>17</v>
      </c>
      <c r="C1242" s="762">
        <f t="shared" ca="1" si="293"/>
        <v>3</v>
      </c>
      <c r="D1242" s="763">
        <f t="shared" ca="1" si="294"/>
        <v>2</v>
      </c>
      <c r="E1242" s="763">
        <f t="shared" ca="1" si="295"/>
        <v>3</v>
      </c>
      <c r="G1242" s="628"/>
      <c r="H1242" s="766" t="s">
        <v>368</v>
      </c>
      <c r="I1242" s="629" t="str">
        <f t="shared" ca="1" si="296"/>
        <v>17.003.002.003</v>
      </c>
      <c r="J1242" s="654" t="s">
        <v>1522</v>
      </c>
      <c r="K1242" s="630" t="s">
        <v>1</v>
      </c>
      <c r="L1242" s="631">
        <f ca="1">FACHADA!B81+FACHADA!B83</f>
        <v>1104.56</v>
      </c>
      <c r="M1242" s="631">
        <f>VLOOKUP(J1242,Preços!$C$7:$F$498,4,FALSE)</f>
        <v>18.876100000000001</v>
      </c>
      <c r="N1242" s="646">
        <f ca="1">L1242*M1242</f>
        <v>20849.785016000002</v>
      </c>
      <c r="O1242" s="767"/>
      <c r="P1242" s="632" t="s">
        <v>333</v>
      </c>
      <c r="R1242" s="742"/>
      <c r="S1242" s="742"/>
    </row>
    <row r="1243" spans="1:19" s="761" customFormat="1" ht="22.5" hidden="1" outlineLevel="2" x14ac:dyDescent="0.2">
      <c r="A1243" s="762" t="e">
        <f ca="1">IF($H1243="UNIDADE CONSTRUTIVA",OFFSET(A1243,-1,0)+1,LARGE(A$3:A1242,1))</f>
        <v>#NUM!</v>
      </c>
      <c r="B1243" s="762">
        <f t="shared" ca="1" si="292"/>
        <v>17</v>
      </c>
      <c r="C1243" s="762">
        <f t="shared" ca="1" si="293"/>
        <v>3</v>
      </c>
      <c r="D1243" s="763">
        <f t="shared" ca="1" si="294"/>
        <v>2</v>
      </c>
      <c r="E1243" s="763">
        <f t="shared" ca="1" si="295"/>
        <v>4</v>
      </c>
      <c r="G1243" s="628"/>
      <c r="H1243" s="766" t="s">
        <v>368</v>
      </c>
      <c r="I1243" s="629" t="str">
        <f t="shared" ca="1" si="296"/>
        <v>17.003.002.004</v>
      </c>
      <c r="J1243" s="654" t="s">
        <v>1523</v>
      </c>
      <c r="K1243" s="630" t="s">
        <v>1</v>
      </c>
      <c r="L1243" s="631">
        <f ca="1">FACHADA!B82</f>
        <v>31.2</v>
      </c>
      <c r="M1243" s="631">
        <f>VLOOKUP(J1243,Preços!$C$7:$F$498,4,FALSE)</f>
        <v>23.2073</v>
      </c>
      <c r="N1243" s="646">
        <f ca="1">L1243*M1243</f>
        <v>724.06776000000002</v>
      </c>
      <c r="O1243" s="767"/>
      <c r="P1243" s="632" t="s">
        <v>333</v>
      </c>
      <c r="R1243" s="742"/>
      <c r="S1243" s="742"/>
    </row>
    <row r="1244" spans="1:19" s="761" customFormat="1" ht="22.5" hidden="1" outlineLevel="2" x14ac:dyDescent="0.2">
      <c r="A1244" s="762" t="e">
        <f ca="1">IF($H1244="UNIDADE CONSTRUTIVA",OFFSET(A1244,-1,0)+1,LARGE(A$3:A1243,1))</f>
        <v>#NUM!</v>
      </c>
      <c r="B1244" s="762">
        <f t="shared" ca="1" si="292"/>
        <v>17</v>
      </c>
      <c r="C1244" s="762">
        <f t="shared" ca="1" si="293"/>
        <v>3</v>
      </c>
      <c r="D1244" s="763">
        <f t="shared" ca="1" si="294"/>
        <v>2</v>
      </c>
      <c r="E1244" s="763">
        <f t="shared" ca="1" si="295"/>
        <v>5</v>
      </c>
      <c r="G1244" s="628"/>
      <c r="H1244" s="766" t="s">
        <v>368</v>
      </c>
      <c r="I1244" s="629" t="str">
        <f t="shared" ca="1" si="296"/>
        <v>17.003.002.005</v>
      </c>
      <c r="J1244" s="654" t="s">
        <v>1525</v>
      </c>
      <c r="K1244" s="630" t="s">
        <v>1</v>
      </c>
      <c r="L1244" s="631">
        <f ca="1">FACHADA!B84</f>
        <v>71.569999999999993</v>
      </c>
      <c r="M1244" s="631">
        <f>VLOOKUP(J1244,Preços!$C$7:$F$498,4,FALSE)</f>
        <v>23.742599999999999</v>
      </c>
      <c r="N1244" s="646">
        <f ca="1">L1244*M1244</f>
        <v>1699.2578819999999</v>
      </c>
      <c r="O1244" s="767"/>
      <c r="P1244" s="632" t="s">
        <v>333</v>
      </c>
      <c r="R1244" s="742"/>
      <c r="S1244" s="742"/>
    </row>
    <row r="1245" spans="1:19" s="761" customFormat="1" hidden="1" outlineLevel="1" collapsed="1" x14ac:dyDescent="0.2">
      <c r="A1245" s="762" t="e">
        <f ca="1">IF($H1245="UNIDADE CONSTRUTIVA",OFFSET(A1245,-1,0)+1,LARGE(A$3:A1242,1))</f>
        <v>#NUM!</v>
      </c>
      <c r="B1245" s="762">
        <f t="shared" ref="B1245:B1253" ca="1" si="297">IF(H1245="UNIDADE CONSTRUTIVA",0,IF(H1245="CÉLULA CONSTRUTIVA",OFFSET(B1245,-1,0)+1,OFFSET(B1245,-1,0)))</f>
        <v>17</v>
      </c>
      <c r="C1245" s="762">
        <f t="shared" ref="C1245:C1253" ca="1" si="298">IF(H1245="CÉLULA CONSTRUTIVA",0,IF(H1245="ETAPA",OFFSET(C1245,-1,0)+1,OFFSET(C1245,-1,0)))</f>
        <v>3</v>
      </c>
      <c r="D1245" s="763">
        <f t="shared" ref="D1245:D1253" ca="1" si="299">IF(H1245="ETAPA",0,IF(H1245="SUBETAPA",OFFSET(D1245,-1,0)+1,OFFSET(D1245,-1,0)))</f>
        <v>3</v>
      </c>
      <c r="E1245" s="763">
        <f t="shared" ref="E1245:E1253" ca="1" si="300">IF(H1245="Subetapa",0,IF(H1245="serviço",OFFSET(E1245,-1,0)+1,OFFSET(E1245,-1,0)))</f>
        <v>0</v>
      </c>
      <c r="G1245" s="790"/>
      <c r="H1245" s="790" t="s">
        <v>367</v>
      </c>
      <c r="I1245" s="791" t="str">
        <f t="shared" ref="I1245:I1253" ca="1" si="301">IF(H1245="Unidade Construtiva",TEXT(A1245,"00"),IF(H1245="Célula Construtiva",TEXT(B1245,"00"),IF(H1245="Etapa",CONCATENATE(TEXT(B1245,"00"),".",TEXT(C1245,"000")),IF(H1245="Subetapa",CONCATENATE(TEXT(B1245,"00"),".",TEXT(C1245,"000"),".",TEXT(D1245,"000")),IF(H1245="Serviço",CONCATENATE(TEXT(B1245,"00"),".",TEXT(C1245,"000"),".",TEXT(D1245,"000"),".",TEXT(E1245,"000")),"")))))</f>
        <v>17.003.003</v>
      </c>
      <c r="J1245" s="761" t="s">
        <v>1180</v>
      </c>
      <c r="K1245" s="742"/>
      <c r="L1245" s="792"/>
      <c r="M1245" s="792"/>
      <c r="N1245" s="646">
        <f ca="1">SUM(N1246)</f>
        <v>2565.0361599999997</v>
      </c>
      <c r="O1245" s="794"/>
      <c r="P1245" s="741"/>
      <c r="R1245" s="742"/>
      <c r="S1245" s="742"/>
    </row>
    <row r="1246" spans="1:19" s="761" customFormat="1" ht="22.5" hidden="1" outlineLevel="2" x14ac:dyDescent="0.2">
      <c r="A1246" s="762" t="e">
        <f ca="1">IF($H1246="UNIDADE CONSTRUTIVA",OFFSET(A1246,-1,0)+1,LARGE(A$3:A1245,1))</f>
        <v>#NUM!</v>
      </c>
      <c r="B1246" s="762">
        <f t="shared" ca="1" si="297"/>
        <v>17</v>
      </c>
      <c r="C1246" s="762">
        <f t="shared" ca="1" si="298"/>
        <v>3</v>
      </c>
      <c r="D1246" s="763">
        <f t="shared" ca="1" si="299"/>
        <v>3</v>
      </c>
      <c r="E1246" s="763">
        <f t="shared" ca="1" si="300"/>
        <v>1</v>
      </c>
      <c r="G1246" s="628"/>
      <c r="H1246" s="766" t="s">
        <v>368</v>
      </c>
      <c r="I1246" s="629" t="str">
        <f t="shared" ca="1" si="301"/>
        <v>17.003.003.001</v>
      </c>
      <c r="J1246" s="654" t="s">
        <v>1181</v>
      </c>
      <c r="K1246" s="630" t="s">
        <v>1</v>
      </c>
      <c r="L1246" s="631">
        <f ca="1">FACHADA!B85+FACHADA!B86+FACHADA!B87</f>
        <v>10.94</v>
      </c>
      <c r="M1246" s="631">
        <f>VLOOKUP(J1246,Preços!$C$7:$F$498,4,FALSE)</f>
        <v>234.464</v>
      </c>
      <c r="N1246" s="646">
        <f ca="1">L1246*M1246</f>
        <v>2565.0361599999997</v>
      </c>
      <c r="O1246" s="767"/>
      <c r="P1246" s="632" t="s">
        <v>333</v>
      </c>
      <c r="R1246" s="742"/>
      <c r="S1246" s="742"/>
    </row>
    <row r="1247" spans="1:19" s="761" customFormat="1" hidden="1" outlineLevel="1" collapsed="1" x14ac:dyDescent="0.2">
      <c r="A1247" s="762" t="e">
        <f ca="1">IF($H1247="UNIDADE CONSTRUTIVA",OFFSET(A1247,-1,0)+1,LARGE(A$3:A1246,1))</f>
        <v>#NUM!</v>
      </c>
      <c r="B1247" s="762">
        <f t="shared" ca="1" si="297"/>
        <v>17</v>
      </c>
      <c r="C1247" s="762">
        <f t="shared" ca="1" si="298"/>
        <v>3</v>
      </c>
      <c r="D1247" s="763">
        <f t="shared" ca="1" si="299"/>
        <v>4</v>
      </c>
      <c r="E1247" s="763">
        <f t="shared" ca="1" si="300"/>
        <v>0</v>
      </c>
      <c r="G1247" s="628"/>
      <c r="H1247" s="766" t="s">
        <v>367</v>
      </c>
      <c r="I1247" s="629" t="str">
        <f t="shared" ca="1" si="301"/>
        <v>17.003.004</v>
      </c>
      <c r="J1247" s="654" t="s">
        <v>275</v>
      </c>
      <c r="K1247" s="630"/>
      <c r="L1247" s="631"/>
      <c r="M1247" s="631"/>
      <c r="N1247" s="646">
        <f>SUM(N1248)</f>
        <v>5452.9793749999999</v>
      </c>
      <c r="O1247" s="767"/>
      <c r="P1247" s="632"/>
      <c r="R1247" s="742"/>
      <c r="S1247" s="742"/>
    </row>
    <row r="1248" spans="1:19" s="761" customFormat="1" ht="22.5" hidden="1" outlineLevel="2" x14ac:dyDescent="0.2">
      <c r="A1248" s="762" t="e">
        <f ca="1">IF($H1248="UNIDADE CONSTRUTIVA",OFFSET(A1248,-1,0)+1,LARGE(A$3:A1247,1))</f>
        <v>#NUM!</v>
      </c>
      <c r="B1248" s="762">
        <f t="shared" ca="1" si="297"/>
        <v>17</v>
      </c>
      <c r="C1248" s="762">
        <f t="shared" ca="1" si="298"/>
        <v>3</v>
      </c>
      <c r="D1248" s="763">
        <f t="shared" ca="1" si="299"/>
        <v>4</v>
      </c>
      <c r="E1248" s="763">
        <f t="shared" ca="1" si="300"/>
        <v>1</v>
      </c>
      <c r="G1248" s="628"/>
      <c r="H1248" s="766" t="s">
        <v>368</v>
      </c>
      <c r="I1248" s="629" t="str">
        <f t="shared" ca="1" si="301"/>
        <v>17.003.004.001</v>
      </c>
      <c r="J1248" s="654" t="s">
        <v>1183</v>
      </c>
      <c r="K1248" s="630" t="s">
        <v>3</v>
      </c>
      <c r="L1248" s="631">
        <v>265.67500000000001</v>
      </c>
      <c r="M1248" s="631">
        <f>VLOOKUP(J1248,Preços!$C$7:$F$498,4,FALSE)</f>
        <v>20.524999999999999</v>
      </c>
      <c r="N1248" s="646">
        <f>L1248*M1248</f>
        <v>5452.9793749999999</v>
      </c>
      <c r="O1248" s="767"/>
      <c r="P1248" s="632" t="s">
        <v>333</v>
      </c>
      <c r="R1248" s="742"/>
      <c r="S1248" s="742"/>
    </row>
    <row r="1249" spans="1:19" s="761" customFormat="1" hidden="1" outlineLevel="1" collapsed="1" x14ac:dyDescent="0.2">
      <c r="A1249" s="762" t="e">
        <f ca="1">IF($H1249="UNIDADE CONSTRUTIVA",OFFSET(A1249,-1,0)+1,LARGE(A$3:A1248,1))</f>
        <v>#NUM!</v>
      </c>
      <c r="B1249" s="762">
        <f t="shared" ca="1" si="297"/>
        <v>17</v>
      </c>
      <c r="C1249" s="762">
        <f t="shared" ca="1" si="298"/>
        <v>3</v>
      </c>
      <c r="D1249" s="763">
        <f t="shared" ca="1" si="299"/>
        <v>5</v>
      </c>
      <c r="E1249" s="763">
        <f t="shared" ca="1" si="300"/>
        <v>0</v>
      </c>
      <c r="G1249" s="628"/>
      <c r="H1249" s="766" t="s">
        <v>367</v>
      </c>
      <c r="I1249" s="629" t="str">
        <f t="shared" ca="1" si="301"/>
        <v>17.003.005</v>
      </c>
      <c r="J1249" s="654" t="s">
        <v>211</v>
      </c>
      <c r="K1249" s="630"/>
      <c r="L1249" s="631"/>
      <c r="M1249" s="631"/>
      <c r="N1249" s="646">
        <f ca="1">SUM(N1250:N1254)</f>
        <v>158450.66499999998</v>
      </c>
      <c r="O1249" s="767"/>
      <c r="P1249" s="632"/>
      <c r="R1249" s="742"/>
      <c r="S1249" s="742"/>
    </row>
    <row r="1250" spans="1:19" s="761" customFormat="1" ht="22.5" hidden="1" outlineLevel="2" x14ac:dyDescent="0.2">
      <c r="A1250" s="762" t="e">
        <f ca="1">IF($H1250="UNIDADE CONSTRUTIVA",OFFSET(A1250,-1,0)+1,LARGE(A$3:A1249,1))</f>
        <v>#NUM!</v>
      </c>
      <c r="B1250" s="762">
        <f t="shared" ca="1" si="297"/>
        <v>17</v>
      </c>
      <c r="C1250" s="762">
        <f t="shared" ca="1" si="298"/>
        <v>3</v>
      </c>
      <c r="D1250" s="763">
        <f t="shared" ca="1" si="299"/>
        <v>5</v>
      </c>
      <c r="E1250" s="763">
        <f t="shared" ca="1" si="300"/>
        <v>1</v>
      </c>
      <c r="G1250" s="628"/>
      <c r="H1250" s="766" t="s">
        <v>368</v>
      </c>
      <c r="I1250" s="629" t="str">
        <f t="shared" ca="1" si="301"/>
        <v>17.003.005.001</v>
      </c>
      <c r="J1250" s="654" t="s">
        <v>1521</v>
      </c>
      <c r="K1250" s="630" t="s">
        <v>1</v>
      </c>
      <c r="L1250" s="631">
        <f ca="1">L1238</f>
        <v>1607.75</v>
      </c>
      <c r="M1250" s="631">
        <f>VLOOKUP(J1250,Preços!$C$7:$F$498,4,FALSE)</f>
        <v>52</v>
      </c>
      <c r="N1250" s="646">
        <f ca="1">L1250*M1250</f>
        <v>83603</v>
      </c>
      <c r="O1250" s="767"/>
      <c r="P1250" s="632" t="s">
        <v>333</v>
      </c>
      <c r="R1250" s="742"/>
      <c r="S1250" s="742"/>
    </row>
    <row r="1251" spans="1:19" s="761" customFormat="1" ht="22.5" hidden="1" outlineLevel="2" x14ac:dyDescent="0.2">
      <c r="A1251" s="762" t="e">
        <f ca="1">IF($H1251="UNIDADE CONSTRUTIVA",OFFSET(A1251,-1,0)+1,LARGE(A$3:A1250,1))</f>
        <v>#NUM!</v>
      </c>
      <c r="B1251" s="762">
        <f t="shared" ca="1" si="297"/>
        <v>17</v>
      </c>
      <c r="C1251" s="762">
        <f t="shared" ca="1" si="298"/>
        <v>3</v>
      </c>
      <c r="D1251" s="763">
        <f t="shared" ca="1" si="299"/>
        <v>5</v>
      </c>
      <c r="E1251" s="763">
        <f t="shared" ca="1" si="300"/>
        <v>2</v>
      </c>
      <c r="G1251" s="628"/>
      <c r="H1251" s="766" t="s">
        <v>368</v>
      </c>
      <c r="I1251" s="629" t="str">
        <f t="shared" ca="1" si="301"/>
        <v>17.003.005.002</v>
      </c>
      <c r="J1251" s="654" t="s">
        <v>1526</v>
      </c>
      <c r="K1251" s="630" t="s">
        <v>1</v>
      </c>
      <c r="L1251" s="631">
        <f ca="1">L1241</f>
        <v>389.48</v>
      </c>
      <c r="M1251" s="631">
        <f>VLOOKUP(J1251,Preços!$C$7:$F$498,4,FALSE)</f>
        <v>38</v>
      </c>
      <c r="N1251" s="646">
        <f ca="1">L1251*M1251</f>
        <v>14800.240000000002</v>
      </c>
      <c r="O1251" s="767"/>
      <c r="P1251" s="632" t="s">
        <v>333</v>
      </c>
      <c r="R1251" s="742"/>
      <c r="S1251" s="742"/>
    </row>
    <row r="1252" spans="1:19" s="761" customFormat="1" ht="22.5" hidden="1" outlineLevel="2" x14ac:dyDescent="0.2">
      <c r="A1252" s="762" t="e">
        <f ca="1">IF($H1252="UNIDADE CONSTRUTIVA",OFFSET(A1252,-1,0)+1,LARGE(A$3:A1251,1))</f>
        <v>#NUM!</v>
      </c>
      <c r="B1252" s="762">
        <f t="shared" ca="1" si="297"/>
        <v>17</v>
      </c>
      <c r="C1252" s="762">
        <f t="shared" ca="1" si="298"/>
        <v>3</v>
      </c>
      <c r="D1252" s="763">
        <f t="shared" ca="1" si="299"/>
        <v>5</v>
      </c>
      <c r="E1252" s="763">
        <f t="shared" ca="1" si="300"/>
        <v>3</v>
      </c>
      <c r="G1252" s="628"/>
      <c r="H1252" s="766" t="s">
        <v>368</v>
      </c>
      <c r="I1252" s="629" t="str">
        <f t="shared" ca="1" si="301"/>
        <v>17.003.005.003</v>
      </c>
      <c r="J1252" s="654" t="s">
        <v>1519</v>
      </c>
      <c r="K1252" s="630" t="s">
        <v>1</v>
      </c>
      <c r="L1252" s="631">
        <f ca="1">SUM(L1242:L1244)</f>
        <v>1207.33</v>
      </c>
      <c r="M1252" s="631">
        <f>VLOOKUP(J1252,Preços!$C$7:$F$498,4,FALSE)</f>
        <v>46</v>
      </c>
      <c r="N1252" s="646">
        <f ca="1">L1252*M1252</f>
        <v>55537.179999999993</v>
      </c>
      <c r="O1252" s="767"/>
      <c r="P1252" s="632" t="s">
        <v>333</v>
      </c>
      <c r="R1252" s="742"/>
      <c r="S1252" s="742"/>
    </row>
    <row r="1253" spans="1:19" s="761" customFormat="1" ht="22.5" hidden="1" outlineLevel="2" x14ac:dyDescent="0.2">
      <c r="A1253" s="762" t="e">
        <f ca="1">IF($H1253="UNIDADE CONSTRUTIVA",OFFSET(A1253,-1,0)+1,LARGE(A$3:A1251,1))</f>
        <v>#NUM!</v>
      </c>
      <c r="B1253" s="762">
        <f t="shared" ca="1" si="297"/>
        <v>17</v>
      </c>
      <c r="C1253" s="762">
        <f t="shared" ca="1" si="298"/>
        <v>3</v>
      </c>
      <c r="D1253" s="763">
        <f t="shared" ca="1" si="299"/>
        <v>5</v>
      </c>
      <c r="E1253" s="763">
        <f t="shared" ca="1" si="300"/>
        <v>4</v>
      </c>
      <c r="G1253" s="628"/>
      <c r="H1253" s="766" t="s">
        <v>368</v>
      </c>
      <c r="I1253" s="629" t="str">
        <f t="shared" ca="1" si="301"/>
        <v>17.003.005.004</v>
      </c>
      <c r="J1253" s="654" t="s">
        <v>1527</v>
      </c>
      <c r="K1253" s="630" t="s">
        <v>1</v>
      </c>
      <c r="L1253" s="631">
        <f ca="1">SUM(L1246)</f>
        <v>10.94</v>
      </c>
      <c r="M1253" s="631">
        <f>VLOOKUP(J1253,Preços!$C$7:$F$498,4,FALSE)</f>
        <v>48</v>
      </c>
      <c r="N1253" s="646">
        <f ca="1">L1253*M1253</f>
        <v>525.12</v>
      </c>
      <c r="O1253" s="767"/>
      <c r="P1253" s="632" t="s">
        <v>333</v>
      </c>
      <c r="R1253" s="742"/>
      <c r="S1253" s="742"/>
    </row>
    <row r="1254" spans="1:19" s="761" customFormat="1" ht="22.5" hidden="1" outlineLevel="2" x14ac:dyDescent="0.2">
      <c r="A1254" s="762" t="e">
        <f ca="1">IF($H1254="UNIDADE CONSTRUTIVA",OFFSET(A1254,-1,0)+1,LARGE(A$3:A1251,1))</f>
        <v>#NUM!</v>
      </c>
      <c r="B1254" s="762">
        <f t="shared" ref="B1254:B1266" ca="1" si="302">IF(H1254="UNIDADE CONSTRUTIVA",0,IF(H1254="CÉLULA CONSTRUTIVA",OFFSET(B1254,-1,0)+1,OFFSET(B1254,-1,0)))</f>
        <v>17</v>
      </c>
      <c r="C1254" s="762">
        <f t="shared" ref="C1254:C1266" ca="1" si="303">IF(H1254="CÉLULA CONSTRUTIVA",0,IF(H1254="ETAPA",OFFSET(C1254,-1,0)+1,OFFSET(C1254,-1,0)))</f>
        <v>3</v>
      </c>
      <c r="D1254" s="763">
        <f t="shared" ref="D1254:D1266" ca="1" si="304">IF(H1254="ETAPA",0,IF(H1254="SUBETAPA",OFFSET(D1254,-1,0)+1,OFFSET(D1254,-1,0)))</f>
        <v>5</v>
      </c>
      <c r="E1254" s="763">
        <f t="shared" ref="E1254:E1266" ca="1" si="305">IF(H1254="Subetapa",0,IF(H1254="serviço",OFFSET(E1254,-1,0)+1,OFFSET(E1254,-1,0)))</f>
        <v>5</v>
      </c>
      <c r="G1254" s="628"/>
      <c r="H1254" s="766" t="s">
        <v>368</v>
      </c>
      <c r="I1254" s="629" t="str">
        <f t="shared" ref="I1254:I1266" ca="1" si="306">IF(H1254="Unidade Construtiva",TEXT(A1254,"00"),IF(H1254="Célula Construtiva",TEXT(B1254,"00"),IF(H1254="Etapa",CONCATENATE(TEXT(B1254,"00"),".",TEXT(C1254,"000")),IF(H1254="Subetapa",CONCATENATE(TEXT(B1254,"00"),".",TEXT(C1254,"000"),".",TEXT(D1254,"000")),IF(H1254="Serviço",CONCATENATE(TEXT(B1254,"00"),".",TEXT(C1254,"000"),".",TEXT(D1254,"000"),".",TEXT(E1254,"000")),"")))))</f>
        <v>17.003.005.005</v>
      </c>
      <c r="J1254" s="654" t="s">
        <v>1665</v>
      </c>
      <c r="K1254" s="630" t="s">
        <v>1</v>
      </c>
      <c r="L1254" s="631">
        <f>L1248</f>
        <v>265.67500000000001</v>
      </c>
      <c r="M1254" s="631">
        <f>VLOOKUP(J1254,Preços!$C$7:$F$498,4,FALSE)</f>
        <v>15</v>
      </c>
      <c r="N1254" s="646">
        <f>L1254*M1254</f>
        <v>3985.125</v>
      </c>
      <c r="O1254" s="767"/>
      <c r="P1254" s="632" t="s">
        <v>333</v>
      </c>
      <c r="R1254" s="742"/>
      <c r="S1254" s="742"/>
    </row>
    <row r="1255" spans="1:19" s="761" customFormat="1" ht="22.5" hidden="1" outlineLevel="1" x14ac:dyDescent="0.2">
      <c r="A1255" s="762" t="e">
        <f ca="1">IF($H1255="UNIDADE CONSTRUTIVA",OFFSET(A1255,-1,0)+1,LARGE(A$3:A1213,1))</f>
        <v>#NUM!</v>
      </c>
      <c r="B1255" s="762">
        <f t="shared" ca="1" si="302"/>
        <v>17</v>
      </c>
      <c r="C1255" s="762">
        <f t="shared" ca="1" si="303"/>
        <v>4</v>
      </c>
      <c r="D1255" s="763">
        <f t="shared" ca="1" si="304"/>
        <v>0</v>
      </c>
      <c r="E1255" s="763">
        <f t="shared" ca="1" si="305"/>
        <v>5</v>
      </c>
      <c r="G1255" s="628"/>
      <c r="H1255" s="766" t="s">
        <v>366</v>
      </c>
      <c r="I1255" s="629" t="str">
        <f t="shared" ca="1" si="306"/>
        <v>17.004</v>
      </c>
      <c r="J1255" s="654" t="s">
        <v>1518</v>
      </c>
      <c r="K1255" s="630"/>
      <c r="L1255" s="631"/>
      <c r="M1255" s="631"/>
      <c r="N1255" s="646">
        <f ca="1">SUM(N1256,N1261,N1267,N1269)</f>
        <v>190664.65996799996</v>
      </c>
      <c r="O1255" s="767"/>
      <c r="P1255" s="632"/>
      <c r="R1255" s="742"/>
      <c r="S1255" s="742"/>
    </row>
    <row r="1256" spans="1:19" s="761" customFormat="1" hidden="1" outlineLevel="1" collapsed="1" x14ac:dyDescent="0.2">
      <c r="A1256" s="762" t="e">
        <f ca="1">IF($H1256="UNIDADE CONSTRUTIVA",OFFSET(A1256,-1,0)+1,LARGE(A$3:A1255,1))</f>
        <v>#NUM!</v>
      </c>
      <c r="B1256" s="762">
        <f t="shared" ca="1" si="302"/>
        <v>17</v>
      </c>
      <c r="C1256" s="762">
        <f t="shared" ca="1" si="303"/>
        <v>4</v>
      </c>
      <c r="D1256" s="763">
        <f t="shared" ca="1" si="304"/>
        <v>1</v>
      </c>
      <c r="E1256" s="763">
        <f t="shared" ca="1" si="305"/>
        <v>0</v>
      </c>
      <c r="G1256" s="628"/>
      <c r="H1256" s="766" t="s">
        <v>367</v>
      </c>
      <c r="I1256" s="629" t="str">
        <f t="shared" ca="1" si="306"/>
        <v>17.004.001</v>
      </c>
      <c r="J1256" s="654" t="s">
        <v>272</v>
      </c>
      <c r="K1256" s="630"/>
      <c r="L1256" s="631"/>
      <c r="M1256" s="631"/>
      <c r="N1256" s="646">
        <f ca="1">SUM(N1257:N1260)</f>
        <v>27979.719029</v>
      </c>
      <c r="O1256" s="767"/>
      <c r="P1256" s="632"/>
      <c r="R1256" s="742"/>
      <c r="S1256" s="742"/>
    </row>
    <row r="1257" spans="1:19" s="761" customFormat="1" ht="33.75" hidden="1" outlineLevel="2" x14ac:dyDescent="0.2">
      <c r="A1257" s="762" t="e">
        <f ca="1">IF($H1257="UNIDADE CONSTRUTIVA",OFFSET(A1257,-1,0)+1,LARGE(A$3:A1256,1))</f>
        <v>#NUM!</v>
      </c>
      <c r="B1257" s="762">
        <f t="shared" ca="1" si="302"/>
        <v>17</v>
      </c>
      <c r="C1257" s="762">
        <f t="shared" ca="1" si="303"/>
        <v>4</v>
      </c>
      <c r="D1257" s="763">
        <f t="shared" ca="1" si="304"/>
        <v>1</v>
      </c>
      <c r="E1257" s="763">
        <f t="shared" ca="1" si="305"/>
        <v>1</v>
      </c>
      <c r="G1257" s="628"/>
      <c r="H1257" s="766" t="s">
        <v>368</v>
      </c>
      <c r="I1257" s="629" t="str">
        <f t="shared" ca="1" si="306"/>
        <v>17.004.001.001</v>
      </c>
      <c r="J1257" s="654" t="s">
        <v>1176</v>
      </c>
      <c r="K1257" s="630" t="s">
        <v>1</v>
      </c>
      <c r="L1257" s="631">
        <f ca="1">FACHADA!B90</f>
        <v>494.17</v>
      </c>
      <c r="M1257" s="631">
        <f>VLOOKUP(J1257,Preços!$C$7:$F$498,4,FALSE)</f>
        <v>2.8022</v>
      </c>
      <c r="N1257" s="646">
        <f ca="1">L1257*M1257</f>
        <v>1384.7631740000002</v>
      </c>
      <c r="O1257" s="767"/>
      <c r="P1257" s="632" t="s">
        <v>333</v>
      </c>
      <c r="R1257" s="742"/>
      <c r="S1257" s="742"/>
    </row>
    <row r="1258" spans="1:19" s="761" customFormat="1" ht="22.5" hidden="1" outlineLevel="2" x14ac:dyDescent="0.2">
      <c r="A1258" s="762" t="e">
        <f ca="1">IF($H1258="UNIDADE CONSTRUTIVA",OFFSET(A1258,-1,0)+1,LARGE(A$3:A1257,1))</f>
        <v>#NUM!</v>
      </c>
      <c r="B1258" s="762">
        <f t="shared" ca="1" si="302"/>
        <v>17</v>
      </c>
      <c r="C1258" s="762">
        <f t="shared" ca="1" si="303"/>
        <v>4</v>
      </c>
      <c r="D1258" s="763">
        <f t="shared" ca="1" si="304"/>
        <v>1</v>
      </c>
      <c r="E1258" s="763">
        <f t="shared" ca="1" si="305"/>
        <v>2</v>
      </c>
      <c r="G1258" s="628"/>
      <c r="H1258" s="766" t="s">
        <v>368</v>
      </c>
      <c r="I1258" s="629" t="str">
        <f t="shared" ca="1" si="306"/>
        <v>17.004.001.002</v>
      </c>
      <c r="J1258" s="654" t="s">
        <v>1177</v>
      </c>
      <c r="K1258" s="630" t="s">
        <v>1</v>
      </c>
      <c r="L1258" s="631">
        <f ca="1">FACHADA!B91</f>
        <v>850.1</v>
      </c>
      <c r="M1258" s="631">
        <f>VLOOKUP(J1258,Preços!$C$7:$F$498,4,FALSE)</f>
        <v>2.8022</v>
      </c>
      <c r="N1258" s="646">
        <f ca="1">L1258*M1258</f>
        <v>2382.15022</v>
      </c>
      <c r="O1258" s="767"/>
      <c r="P1258" s="632" t="s">
        <v>333</v>
      </c>
      <c r="R1258" s="742"/>
      <c r="S1258" s="742"/>
    </row>
    <row r="1259" spans="1:19" s="761" customFormat="1" ht="22.5" hidden="1" outlineLevel="2" x14ac:dyDescent="0.2">
      <c r="A1259" s="762" t="e">
        <f ca="1">IF($H1259="UNIDADE CONSTRUTIVA",OFFSET(A1259,-1,0)+1,LARGE(A$3:A1257,1))</f>
        <v>#NUM!</v>
      </c>
      <c r="B1259" s="762">
        <f t="shared" ca="1" si="302"/>
        <v>17</v>
      </c>
      <c r="C1259" s="762">
        <f t="shared" ca="1" si="303"/>
        <v>4</v>
      </c>
      <c r="D1259" s="763">
        <f t="shared" ca="1" si="304"/>
        <v>1</v>
      </c>
      <c r="E1259" s="763">
        <f t="shared" ca="1" si="305"/>
        <v>3</v>
      </c>
      <c r="G1259" s="628"/>
      <c r="H1259" s="766" t="s">
        <v>368</v>
      </c>
      <c r="I1259" s="629" t="str">
        <f t="shared" ca="1" si="306"/>
        <v>17.004.001.003</v>
      </c>
      <c r="J1259" s="654" t="s">
        <v>1167</v>
      </c>
      <c r="K1259" s="630" t="s">
        <v>3</v>
      </c>
      <c r="L1259" s="631">
        <f>L1268</f>
        <v>198.82</v>
      </c>
      <c r="M1259" s="631">
        <f>VLOOKUP(J1259,Preços!$C$7:$F$498,4,FALSE)</f>
        <v>6.5</v>
      </c>
      <c r="N1259" s="646">
        <f>L1259*M1259</f>
        <v>1292.33</v>
      </c>
      <c r="O1259" s="767"/>
      <c r="P1259" s="632" t="s">
        <v>333</v>
      </c>
      <c r="R1259" s="742"/>
      <c r="S1259" s="742"/>
    </row>
    <row r="1260" spans="1:19" s="761" customFormat="1" ht="33.75" hidden="1" outlineLevel="2" x14ac:dyDescent="0.2">
      <c r="A1260" s="762" t="e">
        <f ca="1">IF($H1260="UNIDADE CONSTRUTIVA",OFFSET(A1260,-1,0)+1,LARGE(A$3:A1258,1))</f>
        <v>#NUM!</v>
      </c>
      <c r="B1260" s="762">
        <f t="shared" ca="1" si="302"/>
        <v>17</v>
      </c>
      <c r="C1260" s="762">
        <f t="shared" ca="1" si="303"/>
        <v>4</v>
      </c>
      <c r="D1260" s="763">
        <f t="shared" ca="1" si="304"/>
        <v>1</v>
      </c>
      <c r="E1260" s="763">
        <f t="shared" ca="1" si="305"/>
        <v>4</v>
      </c>
      <c r="G1260" s="628"/>
      <c r="H1260" s="766" t="s">
        <v>368</v>
      </c>
      <c r="I1260" s="629" t="str">
        <f t="shared" ca="1" si="306"/>
        <v>17.004.001.004</v>
      </c>
      <c r="J1260" s="654" t="s">
        <v>1520</v>
      </c>
      <c r="K1260" s="630" t="s">
        <v>1</v>
      </c>
      <c r="L1260" s="631">
        <f ca="1">FACHADA!B92</f>
        <v>1344.27</v>
      </c>
      <c r="M1260" s="631">
        <f>VLOOKUP(J1260,Preços!$C$7:$F$498,4,FALSE)</f>
        <v>17.0505</v>
      </c>
      <c r="N1260" s="646">
        <f ca="1">L1260*M1260</f>
        <v>22920.475634999999</v>
      </c>
      <c r="O1260" s="767"/>
      <c r="P1260" s="632" t="s">
        <v>333</v>
      </c>
      <c r="R1260" s="742"/>
      <c r="S1260" s="742"/>
    </row>
    <row r="1261" spans="1:19" s="761" customFormat="1" hidden="1" outlineLevel="1" collapsed="1" x14ac:dyDescent="0.2">
      <c r="A1261" s="762" t="e">
        <f ca="1">IF($H1261="UNIDADE CONSTRUTIVA",OFFSET(A1261,-1,0)+1,LARGE(A$3:A1260,1))</f>
        <v>#NUM!</v>
      </c>
      <c r="B1261" s="762">
        <f t="shared" ca="1" si="302"/>
        <v>17</v>
      </c>
      <c r="C1261" s="762">
        <f t="shared" ca="1" si="303"/>
        <v>4</v>
      </c>
      <c r="D1261" s="763">
        <f t="shared" ca="1" si="304"/>
        <v>2</v>
      </c>
      <c r="E1261" s="763">
        <f t="shared" ca="1" si="305"/>
        <v>0</v>
      </c>
      <c r="G1261" s="628"/>
      <c r="H1261" s="766" t="s">
        <v>367</v>
      </c>
      <c r="I1261" s="629" t="str">
        <f t="shared" ca="1" si="306"/>
        <v>17.004.002</v>
      </c>
      <c r="J1261" s="654" t="s">
        <v>273</v>
      </c>
      <c r="K1261" s="630"/>
      <c r="L1261" s="631"/>
      <c r="M1261" s="631"/>
      <c r="N1261" s="646">
        <f ca="1">SUM(N1262:N1266)</f>
        <v>27040.900438999997</v>
      </c>
      <c r="O1261" s="767"/>
      <c r="P1261" s="632"/>
      <c r="R1261" s="742"/>
      <c r="S1261" s="742"/>
    </row>
    <row r="1262" spans="1:19" s="761" customFormat="1" ht="22.5" hidden="1" outlineLevel="2" x14ac:dyDescent="0.2">
      <c r="A1262" s="762" t="e">
        <f ca="1">IF($H1262="UNIDADE CONSTRUTIVA",OFFSET(A1262,-1,0)+1,LARGE(A$3:A1261,1))</f>
        <v>#NUM!</v>
      </c>
      <c r="B1262" s="762">
        <f t="shared" ca="1" si="302"/>
        <v>17</v>
      </c>
      <c r="C1262" s="762">
        <f t="shared" ca="1" si="303"/>
        <v>4</v>
      </c>
      <c r="D1262" s="763">
        <f t="shared" ca="1" si="304"/>
        <v>2</v>
      </c>
      <c r="E1262" s="763">
        <f t="shared" ca="1" si="305"/>
        <v>1</v>
      </c>
      <c r="G1262" s="628"/>
      <c r="H1262" s="766" t="s">
        <v>368</v>
      </c>
      <c r="I1262" s="629" t="str">
        <f t="shared" ca="1" si="306"/>
        <v>17.004.002.001</v>
      </c>
      <c r="J1262" s="654" t="s">
        <v>1013</v>
      </c>
      <c r="K1262" s="630" t="s">
        <v>1</v>
      </c>
      <c r="L1262" s="631">
        <f ca="1">L1260</f>
        <v>1344.27</v>
      </c>
      <c r="M1262" s="631">
        <f>VLOOKUP(J1262,Preços!$C$7:$F$498,4,FALSE)</f>
        <v>2.9333</v>
      </c>
      <c r="N1262" s="646">
        <f ca="1">L1262*M1262</f>
        <v>3943.147191</v>
      </c>
      <c r="O1262" s="767"/>
      <c r="P1262" s="632" t="s">
        <v>333</v>
      </c>
      <c r="R1262" s="742"/>
      <c r="S1262" s="742"/>
    </row>
    <row r="1263" spans="1:19" s="761" customFormat="1" ht="22.5" hidden="1" outlineLevel="2" x14ac:dyDescent="0.2">
      <c r="A1263" s="762" t="e">
        <f ca="1">IF($H1263="UNIDADE CONSTRUTIVA",OFFSET(A1263,-1,0)+1,LARGE(A$3:A1262,1))</f>
        <v>#NUM!</v>
      </c>
      <c r="B1263" s="762">
        <f t="shared" ca="1" si="302"/>
        <v>17</v>
      </c>
      <c r="C1263" s="762">
        <f t="shared" ca="1" si="303"/>
        <v>4</v>
      </c>
      <c r="D1263" s="763">
        <f t="shared" ca="1" si="304"/>
        <v>2</v>
      </c>
      <c r="E1263" s="763">
        <f t="shared" ca="1" si="305"/>
        <v>2</v>
      </c>
      <c r="G1263" s="628"/>
      <c r="H1263" s="766" t="s">
        <v>368</v>
      </c>
      <c r="I1263" s="629" t="str">
        <f t="shared" ca="1" si="306"/>
        <v>17.004.002.002</v>
      </c>
      <c r="J1263" s="654" t="s">
        <v>1178</v>
      </c>
      <c r="K1263" s="630" t="s">
        <v>1</v>
      </c>
      <c r="L1263" s="631">
        <f ca="1">FACHADA!B93</f>
        <v>394.63</v>
      </c>
      <c r="M1263" s="631">
        <f>VLOOKUP(J1263,Preços!$C$7:$F$498,4,FALSE)</f>
        <v>12.168799999999999</v>
      </c>
      <c r="N1263" s="646">
        <f ca="1">L1263*M1263</f>
        <v>4802.1735439999993</v>
      </c>
      <c r="O1263" s="767"/>
      <c r="P1263" s="632" t="s">
        <v>333</v>
      </c>
      <c r="R1263" s="742"/>
      <c r="S1263" s="742"/>
    </row>
    <row r="1264" spans="1:19" s="761" customFormat="1" ht="22.5" hidden="1" outlineLevel="2" x14ac:dyDescent="0.2">
      <c r="A1264" s="762" t="e">
        <f ca="1">IF($H1264="UNIDADE CONSTRUTIVA",OFFSET(A1264,-1,0)+1,LARGE(A$3:A1263,1))</f>
        <v>#NUM!</v>
      </c>
      <c r="B1264" s="762">
        <f t="shared" ca="1" si="302"/>
        <v>17</v>
      </c>
      <c r="C1264" s="762">
        <f t="shared" ca="1" si="303"/>
        <v>4</v>
      </c>
      <c r="D1264" s="763">
        <f t="shared" ca="1" si="304"/>
        <v>2</v>
      </c>
      <c r="E1264" s="763">
        <f t="shared" ca="1" si="305"/>
        <v>3</v>
      </c>
      <c r="G1264" s="628"/>
      <c r="H1264" s="766" t="s">
        <v>368</v>
      </c>
      <c r="I1264" s="629" t="str">
        <f t="shared" ca="1" si="306"/>
        <v>17.004.002.003</v>
      </c>
      <c r="J1264" s="654" t="s">
        <v>1522</v>
      </c>
      <c r="K1264" s="630" t="s">
        <v>1</v>
      </c>
      <c r="L1264" s="631">
        <f ca="1">FACHADA!B94+FACHADA!B96</f>
        <v>871.81999999999994</v>
      </c>
      <c r="M1264" s="631">
        <f>VLOOKUP(J1264,Preços!$C$7:$F$498,4,FALSE)</f>
        <v>18.876100000000001</v>
      </c>
      <c r="N1264" s="646">
        <f ca="1">L1264*M1264</f>
        <v>16456.561502</v>
      </c>
      <c r="O1264" s="767"/>
      <c r="P1264" s="632" t="s">
        <v>333</v>
      </c>
      <c r="R1264" s="742"/>
      <c r="S1264" s="742"/>
    </row>
    <row r="1265" spans="1:19" s="761" customFormat="1" ht="22.5" hidden="1" outlineLevel="2" x14ac:dyDescent="0.2">
      <c r="A1265" s="762" t="e">
        <f ca="1">IF($H1265="UNIDADE CONSTRUTIVA",OFFSET(A1265,-1,0)+1,LARGE(A$3:A1264,1))</f>
        <v>#NUM!</v>
      </c>
      <c r="B1265" s="762">
        <f t="shared" ca="1" si="302"/>
        <v>17</v>
      </c>
      <c r="C1265" s="762">
        <f t="shared" ca="1" si="303"/>
        <v>4</v>
      </c>
      <c r="D1265" s="763">
        <f t="shared" ca="1" si="304"/>
        <v>2</v>
      </c>
      <c r="E1265" s="763">
        <f t="shared" ca="1" si="305"/>
        <v>4</v>
      </c>
      <c r="G1265" s="628"/>
      <c r="H1265" s="766" t="s">
        <v>368</v>
      </c>
      <c r="I1265" s="629" t="str">
        <f t="shared" ca="1" si="306"/>
        <v>17.004.002.004</v>
      </c>
      <c r="J1265" s="654" t="s">
        <v>1523</v>
      </c>
      <c r="K1265" s="630" t="s">
        <v>1</v>
      </c>
      <c r="L1265" s="631">
        <f ca="1">FACHADA!B95</f>
        <v>15.68</v>
      </c>
      <c r="M1265" s="631">
        <f>VLOOKUP(J1265,Preços!$C$7:$F$498,4,FALSE)</f>
        <v>23.2073</v>
      </c>
      <c r="N1265" s="646">
        <f ca="1">L1265*M1265</f>
        <v>363.89046400000001</v>
      </c>
      <c r="O1265" s="767"/>
      <c r="P1265" s="632" t="s">
        <v>333</v>
      </c>
      <c r="R1265" s="742"/>
      <c r="S1265" s="742"/>
    </row>
    <row r="1266" spans="1:19" s="761" customFormat="1" ht="22.5" hidden="1" outlineLevel="2" x14ac:dyDescent="0.2">
      <c r="A1266" s="762" t="e">
        <f ca="1">IF($H1266="UNIDADE CONSTRUTIVA",OFFSET(A1266,-1,0)+1,LARGE(A$3:A1265,1))</f>
        <v>#NUM!</v>
      </c>
      <c r="B1266" s="762">
        <f t="shared" ca="1" si="302"/>
        <v>17</v>
      </c>
      <c r="C1266" s="762">
        <f t="shared" ca="1" si="303"/>
        <v>4</v>
      </c>
      <c r="D1266" s="763">
        <f t="shared" ca="1" si="304"/>
        <v>2</v>
      </c>
      <c r="E1266" s="763">
        <f t="shared" ca="1" si="305"/>
        <v>5</v>
      </c>
      <c r="G1266" s="628"/>
      <c r="H1266" s="766" t="s">
        <v>368</v>
      </c>
      <c r="I1266" s="629" t="str">
        <f t="shared" ca="1" si="306"/>
        <v>17.004.002.005</v>
      </c>
      <c r="J1266" s="654" t="s">
        <v>1525</v>
      </c>
      <c r="K1266" s="630" t="s">
        <v>1</v>
      </c>
      <c r="L1266" s="631">
        <f ca="1">FACHADA!B97</f>
        <v>62.13</v>
      </c>
      <c r="M1266" s="631">
        <f>VLOOKUP(J1266,Preços!$C$7:$F$498,4,FALSE)</f>
        <v>23.742599999999999</v>
      </c>
      <c r="N1266" s="646">
        <f ca="1">L1266*M1266</f>
        <v>1475.1277380000001</v>
      </c>
      <c r="O1266" s="767"/>
      <c r="P1266" s="632" t="s">
        <v>333</v>
      </c>
      <c r="R1266" s="742"/>
      <c r="S1266" s="742"/>
    </row>
    <row r="1267" spans="1:19" s="761" customFormat="1" hidden="1" outlineLevel="1" collapsed="1" x14ac:dyDescent="0.2">
      <c r="A1267" s="762" t="e">
        <f ca="1">IF($H1267="UNIDADE CONSTRUTIVA",OFFSET(A1267,-1,0)+1,LARGE(A$3:A1266,1))</f>
        <v>#NUM!</v>
      </c>
      <c r="B1267" s="762">
        <f t="shared" ref="B1267:B1272" ca="1" si="307">IF(H1267="UNIDADE CONSTRUTIVA",0,IF(H1267="CÉLULA CONSTRUTIVA",OFFSET(B1267,-1,0)+1,OFFSET(B1267,-1,0)))</f>
        <v>17</v>
      </c>
      <c r="C1267" s="762">
        <f t="shared" ref="C1267:C1272" ca="1" si="308">IF(H1267="CÉLULA CONSTRUTIVA",0,IF(H1267="ETAPA",OFFSET(C1267,-1,0)+1,OFFSET(C1267,-1,0)))</f>
        <v>4</v>
      </c>
      <c r="D1267" s="763">
        <f t="shared" ref="D1267:D1272" ca="1" si="309">IF(H1267="ETAPA",0,IF(H1267="SUBETAPA",OFFSET(D1267,-1,0)+1,OFFSET(D1267,-1,0)))</f>
        <v>3</v>
      </c>
      <c r="E1267" s="763">
        <f t="shared" ref="E1267:E1272" ca="1" si="310">IF(H1267="Subetapa",0,IF(H1267="serviço",OFFSET(E1267,-1,0)+1,OFFSET(E1267,-1,0)))</f>
        <v>0</v>
      </c>
      <c r="G1267" s="628"/>
      <c r="H1267" s="766" t="s">
        <v>367</v>
      </c>
      <c r="I1267" s="629" t="str">
        <f t="shared" ref="I1267:I1272" ca="1" si="311">IF(H1267="Unidade Construtiva",TEXT(A1267,"00"),IF(H1267="Célula Construtiva",TEXT(B1267,"00"),IF(H1267="Etapa",CONCATENATE(TEXT(B1267,"00"),".",TEXT(C1267,"000")),IF(H1267="Subetapa",CONCATENATE(TEXT(B1267,"00"),".",TEXT(C1267,"000"),".",TEXT(D1267,"000")),IF(H1267="Serviço",CONCATENATE(TEXT(B1267,"00"),".",TEXT(C1267,"000"),".",TEXT(D1267,"000"),".",TEXT(E1267,"000")),"")))))</f>
        <v>17.004.003</v>
      </c>
      <c r="J1267" s="654" t="s">
        <v>275</v>
      </c>
      <c r="K1267" s="630"/>
      <c r="L1267" s="631"/>
      <c r="M1267" s="631"/>
      <c r="N1267" s="646">
        <f>SUM(N1268)</f>
        <v>4080.7804999999994</v>
      </c>
      <c r="O1267" s="767"/>
      <c r="P1267" s="632"/>
      <c r="R1267" s="742"/>
      <c r="S1267" s="742"/>
    </row>
    <row r="1268" spans="1:19" s="761" customFormat="1" ht="22.5" hidden="1" outlineLevel="2" x14ac:dyDescent="0.2">
      <c r="A1268" s="762" t="e">
        <f ca="1">IF($H1268="UNIDADE CONSTRUTIVA",OFFSET(A1268,-1,0)+1,LARGE(A$3:A1267,1))</f>
        <v>#NUM!</v>
      </c>
      <c r="B1268" s="762">
        <f t="shared" ca="1" si="307"/>
        <v>17</v>
      </c>
      <c r="C1268" s="762">
        <f t="shared" ca="1" si="308"/>
        <v>4</v>
      </c>
      <c r="D1268" s="763">
        <f t="shared" ca="1" si="309"/>
        <v>3</v>
      </c>
      <c r="E1268" s="763">
        <f t="shared" ca="1" si="310"/>
        <v>1</v>
      </c>
      <c r="G1268" s="628"/>
      <c r="H1268" s="766" t="s">
        <v>368</v>
      </c>
      <c r="I1268" s="629" t="str">
        <f t="shared" ca="1" si="311"/>
        <v>17.004.003.001</v>
      </c>
      <c r="J1268" s="654" t="s">
        <v>1183</v>
      </c>
      <c r="K1268" s="630" t="s">
        <v>3</v>
      </c>
      <c r="L1268" s="631">
        <v>198.82</v>
      </c>
      <c r="M1268" s="631">
        <f>VLOOKUP(J1268,Preços!$C$7:$F$498,4,FALSE)</f>
        <v>20.524999999999999</v>
      </c>
      <c r="N1268" s="646">
        <f>L1268*M1268</f>
        <v>4080.7804999999994</v>
      </c>
      <c r="O1268" s="767"/>
      <c r="P1268" s="632" t="s">
        <v>333</v>
      </c>
      <c r="R1268" s="742"/>
      <c r="S1268" s="742"/>
    </row>
    <row r="1269" spans="1:19" s="761" customFormat="1" hidden="1" outlineLevel="1" collapsed="1" x14ac:dyDescent="0.2">
      <c r="A1269" s="762" t="e">
        <f ca="1">IF($H1269="UNIDADE CONSTRUTIVA",OFFSET(A1269,-1,0)+1,LARGE(A$3:A1268,1))</f>
        <v>#NUM!</v>
      </c>
      <c r="B1269" s="762">
        <f t="shared" ca="1" si="307"/>
        <v>17</v>
      </c>
      <c r="C1269" s="762">
        <f t="shared" ca="1" si="308"/>
        <v>4</v>
      </c>
      <c r="D1269" s="763">
        <f t="shared" ca="1" si="309"/>
        <v>4</v>
      </c>
      <c r="E1269" s="763">
        <f t="shared" ca="1" si="310"/>
        <v>0</v>
      </c>
      <c r="G1269" s="628"/>
      <c r="H1269" s="766" t="s">
        <v>367</v>
      </c>
      <c r="I1269" s="629" t="str">
        <f t="shared" ca="1" si="311"/>
        <v>17.004.004</v>
      </c>
      <c r="J1269" s="654" t="s">
        <v>211</v>
      </c>
      <c r="K1269" s="630"/>
      <c r="L1269" s="631"/>
      <c r="M1269" s="631"/>
      <c r="N1269" s="646">
        <f ca="1">SUM(N1270:N1273)</f>
        <v>131563.25999999998</v>
      </c>
      <c r="O1269" s="767"/>
      <c r="P1269" s="632"/>
      <c r="R1269" s="742"/>
      <c r="S1269" s="742"/>
    </row>
    <row r="1270" spans="1:19" s="761" customFormat="1" ht="22.5" hidden="1" outlineLevel="2" x14ac:dyDescent="0.2">
      <c r="A1270" s="762" t="e">
        <f ca="1">IF($H1270="UNIDADE CONSTRUTIVA",OFFSET(A1270,-1,0)+1,LARGE(A$3:A1269,1))</f>
        <v>#NUM!</v>
      </c>
      <c r="B1270" s="762">
        <f t="shared" ca="1" si="307"/>
        <v>17</v>
      </c>
      <c r="C1270" s="762">
        <f t="shared" ca="1" si="308"/>
        <v>4</v>
      </c>
      <c r="D1270" s="763">
        <f t="shared" ca="1" si="309"/>
        <v>4</v>
      </c>
      <c r="E1270" s="763">
        <f t="shared" ca="1" si="310"/>
        <v>1</v>
      </c>
      <c r="G1270" s="628"/>
      <c r="H1270" s="766" t="s">
        <v>368</v>
      </c>
      <c r="I1270" s="629" t="str">
        <f t="shared" ca="1" si="311"/>
        <v>17.004.004.001</v>
      </c>
      <c r="J1270" s="654" t="s">
        <v>1521</v>
      </c>
      <c r="K1270" s="630" t="s">
        <v>1</v>
      </c>
      <c r="L1270" s="631">
        <f ca="1">L1260</f>
        <v>1344.27</v>
      </c>
      <c r="M1270" s="631">
        <f>VLOOKUP(J1270,Preços!$C$7:$F$498,4,FALSE)</f>
        <v>52</v>
      </c>
      <c r="N1270" s="646">
        <f ca="1">L1270*M1270</f>
        <v>69902.039999999994</v>
      </c>
      <c r="O1270" s="767"/>
      <c r="P1270" s="632" t="s">
        <v>333</v>
      </c>
      <c r="R1270" s="742"/>
      <c r="S1270" s="742"/>
    </row>
    <row r="1271" spans="1:19" s="761" customFormat="1" ht="22.5" hidden="1" outlineLevel="2" x14ac:dyDescent="0.2">
      <c r="A1271" s="762" t="e">
        <f ca="1">IF($H1271="UNIDADE CONSTRUTIVA",OFFSET(A1271,-1,0)+1,LARGE(A$3:A1270,1))</f>
        <v>#NUM!</v>
      </c>
      <c r="B1271" s="762">
        <f t="shared" ca="1" si="307"/>
        <v>17</v>
      </c>
      <c r="C1271" s="762">
        <f t="shared" ca="1" si="308"/>
        <v>4</v>
      </c>
      <c r="D1271" s="763">
        <f t="shared" ca="1" si="309"/>
        <v>4</v>
      </c>
      <c r="E1271" s="763">
        <f t="shared" ca="1" si="310"/>
        <v>2</v>
      </c>
      <c r="G1271" s="628"/>
      <c r="H1271" s="766" t="s">
        <v>368</v>
      </c>
      <c r="I1271" s="629" t="str">
        <f t="shared" ca="1" si="311"/>
        <v>17.004.004.002</v>
      </c>
      <c r="J1271" s="654" t="s">
        <v>1526</v>
      </c>
      <c r="K1271" s="630" t="s">
        <v>1</v>
      </c>
      <c r="L1271" s="631">
        <f ca="1">L1263</f>
        <v>394.63</v>
      </c>
      <c r="M1271" s="631">
        <f>VLOOKUP(J1271,Preços!$C$7:$F$498,4,FALSE)</f>
        <v>38</v>
      </c>
      <c r="N1271" s="646">
        <f ca="1">L1271*M1271</f>
        <v>14995.94</v>
      </c>
      <c r="O1271" s="767"/>
      <c r="P1271" s="632" t="s">
        <v>333</v>
      </c>
      <c r="R1271" s="742"/>
      <c r="S1271" s="742"/>
    </row>
    <row r="1272" spans="1:19" s="761" customFormat="1" ht="22.5" hidden="1" outlineLevel="2" x14ac:dyDescent="0.2">
      <c r="A1272" s="762" t="e">
        <f ca="1">IF($H1272="UNIDADE CONSTRUTIVA",OFFSET(A1272,-1,0)+1,LARGE(A$3:A1271,1))</f>
        <v>#NUM!</v>
      </c>
      <c r="B1272" s="762">
        <f t="shared" ca="1" si="307"/>
        <v>17</v>
      </c>
      <c r="C1272" s="762">
        <f t="shared" ca="1" si="308"/>
        <v>4</v>
      </c>
      <c r="D1272" s="763">
        <f t="shared" ca="1" si="309"/>
        <v>4</v>
      </c>
      <c r="E1272" s="763">
        <f t="shared" ca="1" si="310"/>
        <v>3</v>
      </c>
      <c r="G1272" s="628"/>
      <c r="H1272" s="766" t="s">
        <v>368</v>
      </c>
      <c r="I1272" s="629" t="str">
        <f t="shared" ca="1" si="311"/>
        <v>17.004.004.003</v>
      </c>
      <c r="J1272" s="654" t="s">
        <v>1519</v>
      </c>
      <c r="K1272" s="630" t="s">
        <v>1</v>
      </c>
      <c r="L1272" s="631">
        <f ca="1">SUM(L1264:L1266)</f>
        <v>949.62999999999988</v>
      </c>
      <c r="M1272" s="631">
        <f>VLOOKUP(J1272,Preços!$C$7:$F$498,4,FALSE)</f>
        <v>46</v>
      </c>
      <c r="N1272" s="646">
        <f ca="1">L1272*M1272</f>
        <v>43682.979999999996</v>
      </c>
      <c r="O1272" s="767"/>
      <c r="P1272" s="632" t="s">
        <v>333</v>
      </c>
      <c r="R1272" s="742"/>
      <c r="S1272" s="742"/>
    </row>
    <row r="1273" spans="1:19" s="761" customFormat="1" ht="22.5" hidden="1" outlineLevel="2" x14ac:dyDescent="0.2">
      <c r="A1273" s="762" t="e">
        <f ca="1">IF($H1273="UNIDADE CONSTRUTIVA",OFFSET(A1273,-1,0)+1,LARGE(A$3:A1271,1))</f>
        <v>#NUM!</v>
      </c>
      <c r="B1273" s="762">
        <f t="shared" ref="B1273:B1329" ca="1" si="312">IF(H1273="UNIDADE CONSTRUTIVA",0,IF(H1273="CÉLULA CONSTRUTIVA",OFFSET(B1273,-1,0)+1,OFFSET(B1273,-1,0)))</f>
        <v>17</v>
      </c>
      <c r="C1273" s="762">
        <f t="shared" ref="C1273:C1329" ca="1" si="313">IF(H1273="CÉLULA CONSTRUTIVA",0,IF(H1273="ETAPA",OFFSET(C1273,-1,0)+1,OFFSET(C1273,-1,0)))</f>
        <v>4</v>
      </c>
      <c r="D1273" s="763">
        <f t="shared" ref="D1273:D1329" ca="1" si="314">IF(H1273="ETAPA",0,IF(H1273="SUBETAPA",OFFSET(D1273,-1,0)+1,OFFSET(D1273,-1,0)))</f>
        <v>4</v>
      </c>
      <c r="E1273" s="763">
        <f t="shared" ref="E1273:E1329" ca="1" si="315">IF(H1273="Subetapa",0,IF(H1273="serviço",OFFSET(E1273,-1,0)+1,OFFSET(E1273,-1,0)))</f>
        <v>4</v>
      </c>
      <c r="G1273" s="628"/>
      <c r="H1273" s="766" t="s">
        <v>368</v>
      </c>
      <c r="I1273" s="629" t="str">
        <f ca="1">IF(H1273="Unidade Construtiva",TEXT(A1273,"00"),IF(H1273="Célula Construtiva",TEXT(B1273,"00"),IF(H1273="Etapa",CONCATENATE(TEXT(B1273,"00"),".",TEXT(C1273,"000")),IF(H1273="Subetapa",CONCATENATE(TEXT(B1273,"00"),".",TEXT(C1273,"000"),".",TEXT(D1273,"000")),IF(H1273="Serviço",CONCATENATE(TEXT(B1273,"00"),".",TEXT(C1273,"000"),".",TEXT(D1273,"000"),".",TEXT(E1273,"000")),"")))))</f>
        <v>17.004.004.004</v>
      </c>
      <c r="J1273" s="654" t="s">
        <v>1665</v>
      </c>
      <c r="K1273" s="630" t="s">
        <v>1</v>
      </c>
      <c r="L1273" s="631">
        <f>L1268</f>
        <v>198.82</v>
      </c>
      <c r="M1273" s="631">
        <f>VLOOKUP(J1273,Preços!$C$7:$F$498,4,FALSE)</f>
        <v>15</v>
      </c>
      <c r="N1273" s="646">
        <f>L1273*M1273</f>
        <v>2982.2999999999997</v>
      </c>
      <c r="O1273" s="767"/>
      <c r="P1273" s="632" t="s">
        <v>333</v>
      </c>
      <c r="R1273" s="742"/>
      <c r="S1273" s="742"/>
    </row>
    <row r="1274" spans="1:19" s="761" customFormat="1" collapsed="1" x14ac:dyDescent="0.2">
      <c r="A1274" s="762" t="e">
        <f ca="1">IF($H1274="UNIDADE CONSTRUTIVA",OFFSET(A1274,-1,0)+1,LARGE(A$3:A619,1))</f>
        <v>#NUM!</v>
      </c>
      <c r="B1274" s="762">
        <f t="shared" ref="B1274:B1287" ca="1" si="316">IF(H1274="UNIDADE CONSTRUTIVA",0,IF(H1274="CÉLULA CONSTRUTIVA",OFFSET(B1274,-1,0)+1,OFFSET(B1274,-1,0)))</f>
        <v>18</v>
      </c>
      <c r="C1274" s="762">
        <f t="shared" ref="C1274:C1287" ca="1" si="317">IF(H1274="CÉLULA CONSTRUTIVA",0,IF(H1274="ETAPA",OFFSET(C1274,-1,0)+1,OFFSET(C1274,-1,0)))</f>
        <v>0</v>
      </c>
      <c r="D1274" s="763">
        <f t="shared" ref="D1274:D1287" ca="1" si="318">IF(H1274="ETAPA",0,IF(H1274="SUBETAPA",OFFSET(D1274,-1,0)+1,OFFSET(D1274,-1,0)))</f>
        <v>4</v>
      </c>
      <c r="E1274" s="763">
        <f t="shared" ref="E1274:E1287" ca="1" si="319">IF(H1274="Subetapa",0,IF(H1274="serviço",OFFSET(E1274,-1,0)+1,OFFSET(E1274,-1,0)))</f>
        <v>4</v>
      </c>
      <c r="G1274" s="628"/>
      <c r="H1274" s="766" t="s">
        <v>365</v>
      </c>
      <c r="I1274" s="629" t="str">
        <f t="shared" ref="I1274:I1287" ca="1" si="320">IF(H1274="Unidade Construtiva",TEXT(A1274,"00"),IF(H1274="Célula Construtiva",TEXT(B1274,"00"),IF(H1274="Etapa",CONCATENATE(TEXT(B1274,"00"),".",TEXT(C1274,"000")),IF(H1274="Subetapa",CONCATENATE(TEXT(B1274,"00"),".",TEXT(C1274,"000"),".",TEXT(D1274,"000")),IF(H1274="Serviço",CONCATENATE(TEXT(B1274,"00"),".",TEXT(C1274,"000"),".",TEXT(D1274,"000"),".",TEXT(E1274,"000")),"")))))</f>
        <v>18</v>
      </c>
      <c r="J1274" s="654" t="s">
        <v>303</v>
      </c>
      <c r="K1274" s="630"/>
      <c r="L1274" s="631"/>
      <c r="M1274" s="631"/>
      <c r="N1274" s="646">
        <f>SUM(N1275,N1280)</f>
        <v>1064716.1000000001</v>
      </c>
      <c r="O1274" s="767"/>
      <c r="P1274" s="632"/>
      <c r="R1274" s="742"/>
      <c r="S1274" s="742"/>
    </row>
    <row r="1275" spans="1:19" s="761" customFormat="1" hidden="1" outlineLevel="1" collapsed="1" x14ac:dyDescent="0.2">
      <c r="A1275" s="762" t="e">
        <f ca="1">IF($H1275="UNIDADE CONSTRUTIVA",OFFSET(A1275,-1,0)+1,LARGE(A$3:A1274,1))</f>
        <v>#NUM!</v>
      </c>
      <c r="B1275" s="762">
        <f t="shared" ca="1" si="316"/>
        <v>18</v>
      </c>
      <c r="C1275" s="762">
        <f t="shared" ca="1" si="317"/>
        <v>1</v>
      </c>
      <c r="D1275" s="763">
        <f t="shared" ca="1" si="318"/>
        <v>0</v>
      </c>
      <c r="E1275" s="763">
        <f t="shared" ca="1" si="319"/>
        <v>4</v>
      </c>
      <c r="G1275" s="628"/>
      <c r="H1275" s="766" t="s">
        <v>366</v>
      </c>
      <c r="I1275" s="629" t="str">
        <f t="shared" ca="1" si="320"/>
        <v>18.001</v>
      </c>
      <c r="J1275" s="654" t="s">
        <v>381</v>
      </c>
      <c r="K1275" s="630"/>
      <c r="L1275" s="631"/>
      <c r="M1275" s="631"/>
      <c r="N1275" s="646">
        <f>SUM(N1276,N1278)</f>
        <v>958251.5</v>
      </c>
      <c r="O1275" s="767"/>
      <c r="P1275" s="632"/>
      <c r="R1275" s="742"/>
      <c r="S1275" s="742"/>
    </row>
    <row r="1276" spans="1:19" s="761" customFormat="1" hidden="1" outlineLevel="2" x14ac:dyDescent="0.2">
      <c r="A1276" s="762" t="e">
        <f ca="1">IF($H1276="UNIDADE CONSTRUTIVA",OFFSET(A1276,-1,0)+1,LARGE(A$3:A1275,1))</f>
        <v>#NUM!</v>
      </c>
      <c r="B1276" s="762">
        <f t="shared" ca="1" si="316"/>
        <v>18</v>
      </c>
      <c r="C1276" s="762">
        <f t="shared" ca="1" si="317"/>
        <v>1</v>
      </c>
      <c r="D1276" s="763">
        <f t="shared" ca="1" si="318"/>
        <v>1</v>
      </c>
      <c r="E1276" s="763">
        <f t="shared" ca="1" si="319"/>
        <v>0</v>
      </c>
      <c r="G1276" s="628"/>
      <c r="H1276" s="766" t="s">
        <v>367</v>
      </c>
      <c r="I1276" s="629" t="str">
        <f t="shared" ca="1" si="320"/>
        <v>18.001.001</v>
      </c>
      <c r="J1276" s="654" t="s">
        <v>304</v>
      </c>
      <c r="K1276" s="630"/>
      <c r="L1276" s="631"/>
      <c r="M1276" s="631"/>
      <c r="N1276" s="646">
        <f>N1277</f>
        <v>68251.5</v>
      </c>
      <c r="O1276" s="767"/>
      <c r="P1276" s="632"/>
      <c r="R1276" s="742"/>
      <c r="S1276" s="742"/>
    </row>
    <row r="1277" spans="1:19" s="761" customFormat="1" ht="22.5" hidden="1" outlineLevel="2" x14ac:dyDescent="0.2">
      <c r="A1277" s="762" t="e">
        <f ca="1">IF($H1277="UNIDADE CONSTRUTIVA",OFFSET(A1277,-1,0)+1,LARGE(A$3:A1276,1))</f>
        <v>#NUM!</v>
      </c>
      <c r="B1277" s="762">
        <f t="shared" ca="1" si="316"/>
        <v>18</v>
      </c>
      <c r="C1277" s="762">
        <f t="shared" ca="1" si="317"/>
        <v>1</v>
      </c>
      <c r="D1277" s="763">
        <f t="shared" ca="1" si="318"/>
        <v>1</v>
      </c>
      <c r="E1277" s="763">
        <f t="shared" ca="1" si="319"/>
        <v>1</v>
      </c>
      <c r="G1277" s="628"/>
      <c r="H1277" s="766" t="s">
        <v>368</v>
      </c>
      <c r="I1277" s="629" t="str">
        <f t="shared" ca="1" si="320"/>
        <v>18.001.001.001</v>
      </c>
      <c r="J1277" s="654" t="s">
        <v>1171</v>
      </c>
      <c r="K1277" s="630" t="s">
        <v>250</v>
      </c>
      <c r="L1277" s="631">
        <v>1</v>
      </c>
      <c r="M1277" s="631">
        <f>VLOOKUP(J1277,Preços!$C$7:$F$498,4,FALSE)</f>
        <v>68251.5</v>
      </c>
      <c r="N1277" s="646">
        <f>L1277*M1277</f>
        <v>68251.5</v>
      </c>
      <c r="O1277" s="767"/>
      <c r="P1277" s="632" t="s">
        <v>333</v>
      </c>
      <c r="R1277" s="742"/>
      <c r="S1277" s="742"/>
    </row>
    <row r="1278" spans="1:19" s="761" customFormat="1" hidden="1" outlineLevel="2" collapsed="1" x14ac:dyDescent="0.2">
      <c r="A1278" s="762" t="e">
        <f ca="1">IF($H1278="UNIDADE CONSTRUTIVA",OFFSET(A1278,-1,0)+1,LARGE(A$3:A1277,1))</f>
        <v>#NUM!</v>
      </c>
      <c r="B1278" s="762">
        <f t="shared" ca="1" si="316"/>
        <v>18</v>
      </c>
      <c r="C1278" s="762">
        <f t="shared" ca="1" si="317"/>
        <v>1</v>
      </c>
      <c r="D1278" s="763">
        <f t="shared" ca="1" si="318"/>
        <v>2</v>
      </c>
      <c r="E1278" s="763">
        <f t="shared" ca="1" si="319"/>
        <v>0</v>
      </c>
      <c r="G1278" s="628"/>
      <c r="H1278" s="766" t="s">
        <v>367</v>
      </c>
      <c r="I1278" s="629" t="str">
        <f t="shared" ca="1" si="320"/>
        <v>18.001.002</v>
      </c>
      <c r="J1278" s="654" t="s">
        <v>305</v>
      </c>
      <c r="K1278" s="630"/>
      <c r="L1278" s="631"/>
      <c r="M1278" s="631"/>
      <c r="N1278" s="646">
        <f>N1279</f>
        <v>890000</v>
      </c>
      <c r="O1278" s="767"/>
      <c r="P1278" s="632"/>
      <c r="R1278" s="742"/>
      <c r="S1278" s="742"/>
    </row>
    <row r="1279" spans="1:19" s="761" customFormat="1" ht="22.5" hidden="1" outlineLevel="2" x14ac:dyDescent="0.2">
      <c r="A1279" s="762" t="e">
        <f ca="1">IF($H1279="UNIDADE CONSTRUTIVA",OFFSET(A1279,-1,0)+1,LARGE(A$3:A1278,1))</f>
        <v>#NUM!</v>
      </c>
      <c r="B1279" s="762">
        <f t="shared" ca="1" si="316"/>
        <v>18</v>
      </c>
      <c r="C1279" s="762">
        <f t="shared" ca="1" si="317"/>
        <v>1</v>
      </c>
      <c r="D1279" s="763">
        <f t="shared" ca="1" si="318"/>
        <v>2</v>
      </c>
      <c r="E1279" s="763">
        <f t="shared" ca="1" si="319"/>
        <v>1</v>
      </c>
      <c r="G1279" s="628"/>
      <c r="H1279" s="766" t="s">
        <v>368</v>
      </c>
      <c r="I1279" s="629" t="str">
        <f t="shared" ca="1" si="320"/>
        <v>18.001.002.001</v>
      </c>
      <c r="J1279" s="654" t="s">
        <v>1016</v>
      </c>
      <c r="K1279" s="630" t="s">
        <v>2</v>
      </c>
      <c r="L1279" s="631">
        <v>2</v>
      </c>
      <c r="M1279" s="631">
        <f>VLOOKUP(J1279,Preços!$C$7:$F$498,4,FALSE)</f>
        <v>445000</v>
      </c>
      <c r="N1279" s="646">
        <f>L1279*M1279</f>
        <v>890000</v>
      </c>
      <c r="O1279" s="767"/>
      <c r="P1279" s="632" t="s">
        <v>333</v>
      </c>
      <c r="R1279" s="742"/>
      <c r="S1279" s="742"/>
    </row>
    <row r="1280" spans="1:19" s="761" customFormat="1" hidden="1" outlineLevel="1" x14ac:dyDescent="0.2">
      <c r="A1280" s="762" t="e">
        <f ca="1">IF($H1280="UNIDADE CONSTRUTIVA",OFFSET(A1280,-1,0)+1,LARGE(A$3:A1279,1))</f>
        <v>#NUM!</v>
      </c>
      <c r="B1280" s="762">
        <f t="shared" ca="1" si="316"/>
        <v>18</v>
      </c>
      <c r="C1280" s="762">
        <f t="shared" ca="1" si="317"/>
        <v>2</v>
      </c>
      <c r="D1280" s="763">
        <f t="shared" ca="1" si="318"/>
        <v>0</v>
      </c>
      <c r="E1280" s="763">
        <f t="shared" ca="1" si="319"/>
        <v>1</v>
      </c>
      <c r="G1280" s="628"/>
      <c r="H1280" s="766" t="s">
        <v>366</v>
      </c>
      <c r="I1280" s="629" t="str">
        <f t="shared" ca="1" si="320"/>
        <v>18.002</v>
      </c>
      <c r="J1280" s="654" t="s">
        <v>382</v>
      </c>
      <c r="K1280" s="630"/>
      <c r="L1280" s="631"/>
      <c r="M1280" s="631"/>
      <c r="N1280" s="646">
        <f>SUM(N1281,N1283,N1286,N1288)</f>
        <v>106464.59999999999</v>
      </c>
      <c r="O1280" s="767"/>
      <c r="P1280" s="632"/>
      <c r="R1280" s="742"/>
      <c r="S1280" s="742"/>
    </row>
    <row r="1281" spans="1:19" s="761" customFormat="1" hidden="1" outlineLevel="2" collapsed="1" x14ac:dyDescent="0.2">
      <c r="A1281" s="762" t="e">
        <f ca="1">IF($H1281="UNIDADE CONSTRUTIVA",OFFSET(A1281,-1,0)+1,LARGE(A$3:A1280,1))</f>
        <v>#NUM!</v>
      </c>
      <c r="B1281" s="762">
        <f t="shared" ca="1" si="316"/>
        <v>18</v>
      </c>
      <c r="C1281" s="762">
        <f t="shared" ca="1" si="317"/>
        <v>2</v>
      </c>
      <c r="D1281" s="763">
        <f t="shared" ca="1" si="318"/>
        <v>1</v>
      </c>
      <c r="E1281" s="763">
        <f t="shared" ca="1" si="319"/>
        <v>0</v>
      </c>
      <c r="G1281" s="628"/>
      <c r="H1281" s="766" t="s">
        <v>367</v>
      </c>
      <c r="I1281" s="629" t="str">
        <f t="shared" ca="1" si="320"/>
        <v>18.002.001</v>
      </c>
      <c r="J1281" s="654" t="s">
        <v>383</v>
      </c>
      <c r="K1281" s="630"/>
      <c r="L1281" s="631"/>
      <c r="M1281" s="631"/>
      <c r="N1281" s="646">
        <f>N1282</f>
        <v>33000</v>
      </c>
      <c r="O1281" s="767"/>
      <c r="P1281" s="632"/>
      <c r="R1281" s="742"/>
      <c r="S1281" s="742"/>
    </row>
    <row r="1282" spans="1:19" s="761" customFormat="1" ht="22.5" hidden="1" outlineLevel="2" x14ac:dyDescent="0.2">
      <c r="A1282" s="762" t="e">
        <f ca="1">IF($H1282="UNIDADE CONSTRUTIVA",OFFSET(A1282,-1,0)+1,LARGE(A$3:A1281,1))</f>
        <v>#NUM!</v>
      </c>
      <c r="B1282" s="762">
        <f t="shared" ca="1" si="316"/>
        <v>18</v>
      </c>
      <c r="C1282" s="762">
        <f t="shared" ca="1" si="317"/>
        <v>2</v>
      </c>
      <c r="D1282" s="763">
        <f t="shared" ca="1" si="318"/>
        <v>1</v>
      </c>
      <c r="E1282" s="763">
        <f t="shared" ca="1" si="319"/>
        <v>1</v>
      </c>
      <c r="G1282" s="628"/>
      <c r="H1282" s="766" t="s">
        <v>368</v>
      </c>
      <c r="I1282" s="629" t="str">
        <f t="shared" ca="1" si="320"/>
        <v>18.002.001.001</v>
      </c>
      <c r="J1282" s="654" t="s">
        <v>383</v>
      </c>
      <c r="K1282" s="630" t="s">
        <v>2</v>
      </c>
      <c r="L1282" s="631">
        <v>60</v>
      </c>
      <c r="M1282" s="631">
        <v>550</v>
      </c>
      <c r="N1282" s="646">
        <f>L1282*M1282</f>
        <v>33000</v>
      </c>
      <c r="O1282" s="767" t="s">
        <v>2083</v>
      </c>
      <c r="P1282" s="632" t="s">
        <v>1704</v>
      </c>
      <c r="R1282" s="742"/>
      <c r="S1282" s="742"/>
    </row>
    <row r="1283" spans="1:19" s="761" customFormat="1" hidden="1" outlineLevel="2" collapsed="1" x14ac:dyDescent="0.2">
      <c r="A1283" s="762" t="e">
        <f ca="1">IF($H1283="UNIDADE CONSTRUTIVA",OFFSET(A1283,-1,0)+1,LARGE(A$3:A1282,1))</f>
        <v>#NUM!</v>
      </c>
      <c r="B1283" s="762">
        <f t="shared" ca="1" si="316"/>
        <v>18</v>
      </c>
      <c r="C1283" s="762">
        <f t="shared" ca="1" si="317"/>
        <v>2</v>
      </c>
      <c r="D1283" s="763">
        <f t="shared" ca="1" si="318"/>
        <v>2</v>
      </c>
      <c r="E1283" s="763">
        <f t="shared" ca="1" si="319"/>
        <v>0</v>
      </c>
      <c r="G1283" s="628"/>
      <c r="H1283" s="766" t="s">
        <v>367</v>
      </c>
      <c r="I1283" s="629" t="str">
        <f t="shared" ca="1" si="320"/>
        <v>18.002.002</v>
      </c>
      <c r="J1283" s="654" t="s">
        <v>928</v>
      </c>
      <c r="K1283" s="630"/>
      <c r="L1283" s="631"/>
      <c r="M1283" s="631"/>
      <c r="N1283" s="646">
        <f>SUM(N1284:N1285)</f>
        <v>32193.4</v>
      </c>
      <c r="O1283" s="767"/>
      <c r="P1283" s="632"/>
      <c r="R1283" s="742"/>
      <c r="S1283" s="742"/>
    </row>
    <row r="1284" spans="1:19" s="761" customFormat="1" ht="22.5" hidden="1" outlineLevel="2" x14ac:dyDescent="0.2">
      <c r="A1284" s="762" t="e">
        <f ca="1">IF($H1284="UNIDADE CONSTRUTIVA",OFFSET(A1284,-1,0)+1,LARGE(A$3:A1283,1))</f>
        <v>#NUM!</v>
      </c>
      <c r="B1284" s="762">
        <f t="shared" ca="1" si="316"/>
        <v>18</v>
      </c>
      <c r="C1284" s="762">
        <f t="shared" ca="1" si="317"/>
        <v>2</v>
      </c>
      <c r="D1284" s="763">
        <f t="shared" ca="1" si="318"/>
        <v>2</v>
      </c>
      <c r="E1284" s="763">
        <f t="shared" ca="1" si="319"/>
        <v>1</v>
      </c>
      <c r="G1284" s="628"/>
      <c r="H1284" s="766" t="s">
        <v>368</v>
      </c>
      <c r="I1284" s="629" t="str">
        <f t="shared" ca="1" si="320"/>
        <v>18.002.002.001</v>
      </c>
      <c r="J1284" s="654" t="s">
        <v>926</v>
      </c>
      <c r="K1284" s="630" t="s">
        <v>250</v>
      </c>
      <c r="L1284" s="631">
        <v>1</v>
      </c>
      <c r="M1284" s="631">
        <f>8*'Projeção torre'!F49</f>
        <v>5224.3999999999996</v>
      </c>
      <c r="N1284" s="646">
        <f>L1284*M1284</f>
        <v>5224.3999999999996</v>
      </c>
      <c r="O1284" s="767" t="s">
        <v>1672</v>
      </c>
      <c r="P1284" s="632" t="s">
        <v>333</v>
      </c>
      <c r="R1284" s="742"/>
      <c r="S1284" s="742"/>
    </row>
    <row r="1285" spans="1:19" s="761" customFormat="1" ht="22.5" hidden="1" outlineLevel="2" x14ac:dyDescent="0.2">
      <c r="A1285" s="762" t="e">
        <f ca="1">IF($H1285="UNIDADE CONSTRUTIVA",OFFSET(A1285,-1,0)+1,LARGE(A$3:A1284,1))</f>
        <v>#NUM!</v>
      </c>
      <c r="B1285" s="762">
        <f t="shared" ca="1" si="316"/>
        <v>18</v>
      </c>
      <c r="C1285" s="762">
        <f t="shared" ca="1" si="317"/>
        <v>2</v>
      </c>
      <c r="D1285" s="763">
        <f t="shared" ca="1" si="318"/>
        <v>2</v>
      </c>
      <c r="E1285" s="763">
        <f t="shared" ca="1" si="319"/>
        <v>2</v>
      </c>
      <c r="G1285" s="628"/>
      <c r="H1285" s="766" t="s">
        <v>368</v>
      </c>
      <c r="I1285" s="629" t="str">
        <f t="shared" ca="1" si="320"/>
        <v>18.002.002.002</v>
      </c>
      <c r="J1285" s="654" t="s">
        <v>929</v>
      </c>
      <c r="K1285" s="630" t="s">
        <v>250</v>
      </c>
      <c r="L1285" s="631">
        <v>1</v>
      </c>
      <c r="M1285" s="631">
        <f>5*'Projeção torre'!F50</f>
        <v>26969</v>
      </c>
      <c r="N1285" s="646">
        <f>L1285*M1285</f>
        <v>26969</v>
      </c>
      <c r="O1285" s="767" t="s">
        <v>1672</v>
      </c>
      <c r="P1285" s="632" t="s">
        <v>333</v>
      </c>
      <c r="R1285" s="742"/>
      <c r="S1285" s="742"/>
    </row>
    <row r="1286" spans="1:19" s="761" customFormat="1" hidden="1" outlineLevel="2" collapsed="1" x14ac:dyDescent="0.2">
      <c r="A1286" s="762" t="e">
        <f ca="1">IF($H1286="UNIDADE CONSTRUTIVA",OFFSET(A1286,-1,0)+1,LARGE(A$3:A1284,1))</f>
        <v>#NUM!</v>
      </c>
      <c r="B1286" s="762">
        <f t="shared" ca="1" si="316"/>
        <v>18</v>
      </c>
      <c r="C1286" s="762">
        <f t="shared" ca="1" si="317"/>
        <v>2</v>
      </c>
      <c r="D1286" s="763">
        <f t="shared" ca="1" si="318"/>
        <v>3</v>
      </c>
      <c r="E1286" s="763">
        <f t="shared" ca="1" si="319"/>
        <v>0</v>
      </c>
      <c r="G1286" s="628"/>
      <c r="H1286" s="766" t="s">
        <v>367</v>
      </c>
      <c r="I1286" s="629" t="str">
        <f t="shared" ca="1" si="320"/>
        <v>18.002.003</v>
      </c>
      <c r="J1286" s="654" t="s">
        <v>927</v>
      </c>
      <c r="K1286" s="630"/>
      <c r="L1286" s="631"/>
      <c r="M1286" s="631"/>
      <c r="N1286" s="646">
        <f>N1287</f>
        <v>35000</v>
      </c>
      <c r="O1286" s="767"/>
      <c r="P1286" s="632"/>
      <c r="R1286" s="742"/>
      <c r="S1286" s="742"/>
    </row>
    <row r="1287" spans="1:19" s="761" customFormat="1" ht="22.5" hidden="1" outlineLevel="2" x14ac:dyDescent="0.2">
      <c r="A1287" s="762" t="e">
        <f ca="1">IF($H1287="UNIDADE CONSTRUTIVA",OFFSET(A1287,-1,0)+1,LARGE(A$3:A1286,1))</f>
        <v>#NUM!</v>
      </c>
      <c r="B1287" s="762">
        <f t="shared" ca="1" si="316"/>
        <v>18</v>
      </c>
      <c r="C1287" s="762">
        <f t="shared" ca="1" si="317"/>
        <v>2</v>
      </c>
      <c r="D1287" s="763">
        <f t="shared" ca="1" si="318"/>
        <v>3</v>
      </c>
      <c r="E1287" s="763">
        <f t="shared" ca="1" si="319"/>
        <v>1</v>
      </c>
      <c r="G1287" s="628"/>
      <c r="H1287" s="766" t="s">
        <v>368</v>
      </c>
      <c r="I1287" s="629" t="str">
        <f t="shared" ca="1" si="320"/>
        <v>18.002.003.001</v>
      </c>
      <c r="J1287" s="654" t="s">
        <v>1666</v>
      </c>
      <c r="K1287" s="630" t="s">
        <v>250</v>
      </c>
      <c r="L1287" s="631">
        <v>1</v>
      </c>
      <c r="M1287" s="631">
        <v>35000</v>
      </c>
      <c r="N1287" s="646">
        <f>L1287*M1287</f>
        <v>35000</v>
      </c>
      <c r="O1287" s="1228" t="s">
        <v>2084</v>
      </c>
      <c r="P1287" s="632" t="s">
        <v>333</v>
      </c>
      <c r="R1287" s="742"/>
      <c r="S1287" s="742"/>
    </row>
    <row r="1288" spans="1:19" s="761" customFormat="1" hidden="1" outlineLevel="2" collapsed="1" x14ac:dyDescent="0.2">
      <c r="A1288" s="762" t="e">
        <f ca="1">IF($H1288="UNIDADE CONSTRUTIVA",OFFSET(A1288,-1,0)+1,LARGE(A$3:A1287,1))</f>
        <v>#NUM!</v>
      </c>
      <c r="B1288" s="762">
        <f t="shared" ref="B1288:B1297" ca="1" si="321">IF(H1288="UNIDADE CONSTRUTIVA",0,IF(H1288="CÉLULA CONSTRUTIVA",OFFSET(B1288,-1,0)+1,OFFSET(B1288,-1,0)))</f>
        <v>18</v>
      </c>
      <c r="C1288" s="762">
        <f t="shared" ref="C1288:C1297" ca="1" si="322">IF(H1288="CÉLULA CONSTRUTIVA",0,IF(H1288="ETAPA",OFFSET(C1288,-1,0)+1,OFFSET(C1288,-1,0)))</f>
        <v>2</v>
      </c>
      <c r="D1288" s="763">
        <f t="shared" ref="D1288:D1297" ca="1" si="323">IF(H1288="ETAPA",0,IF(H1288="SUBETAPA",OFFSET(D1288,-1,0)+1,OFFSET(D1288,-1,0)))</f>
        <v>4</v>
      </c>
      <c r="E1288" s="763">
        <f t="shared" ref="E1288:E1297" ca="1" si="324">IF(H1288="Subetapa",0,IF(H1288="serviço",OFFSET(E1288,-1,0)+1,OFFSET(E1288,-1,0)))</f>
        <v>0</v>
      </c>
      <c r="G1288" s="628"/>
      <c r="H1288" s="766" t="s">
        <v>367</v>
      </c>
      <c r="I1288" s="629" t="str">
        <f t="shared" ref="I1288:I1319" ca="1" si="325">IF(H1288="Unidade Construtiva",TEXT(A1288,"00"),IF(H1288="Célula Construtiva",TEXT(B1288,"00"),IF(H1288="Etapa",CONCATENATE(TEXT(B1288,"00"),".",TEXT(C1288,"000")),IF(H1288="Subetapa",CONCATENATE(TEXT(B1288,"00"),".",TEXT(C1288,"000"),".",TEXT(D1288,"000")),IF(H1288="Serviço",CONCATENATE(TEXT(B1288,"00"),".",TEXT(C1288,"000"),".",TEXT(D1288,"000"),".",TEXT(E1288,"000")),"")))))</f>
        <v>18.002.004</v>
      </c>
      <c r="J1288" s="654" t="s">
        <v>1671</v>
      </c>
      <c r="K1288" s="630"/>
      <c r="L1288" s="631"/>
      <c r="M1288" s="631"/>
      <c r="N1288" s="646">
        <f>N1289</f>
        <v>6271.2</v>
      </c>
      <c r="O1288" s="767"/>
      <c r="P1288" s="632"/>
      <c r="R1288" s="742"/>
      <c r="S1288" s="742"/>
    </row>
    <row r="1289" spans="1:19" s="761" customFormat="1" ht="22.5" hidden="1" outlineLevel="2" x14ac:dyDescent="0.2">
      <c r="A1289" s="762" t="e">
        <f ca="1">IF($H1289="UNIDADE CONSTRUTIVA",OFFSET(A1289,-1,0)+1,LARGE(A$3:A1288,1))</f>
        <v>#NUM!</v>
      </c>
      <c r="B1289" s="762">
        <f t="shared" ca="1" si="321"/>
        <v>18</v>
      </c>
      <c r="C1289" s="762">
        <f t="shared" ca="1" si="322"/>
        <v>2</v>
      </c>
      <c r="D1289" s="763">
        <f t="shared" ca="1" si="323"/>
        <v>4</v>
      </c>
      <c r="E1289" s="763">
        <f t="shared" ca="1" si="324"/>
        <v>1</v>
      </c>
      <c r="G1289" s="628"/>
      <c r="H1289" s="766" t="s">
        <v>368</v>
      </c>
      <c r="I1289" s="629" t="str">
        <f t="shared" ca="1" si="325"/>
        <v>18.002.004.001</v>
      </c>
      <c r="J1289" s="654" t="s">
        <v>1671</v>
      </c>
      <c r="K1289" s="630" t="s">
        <v>250</v>
      </c>
      <c r="L1289" s="631">
        <v>1</v>
      </c>
      <c r="M1289" s="631">
        <f>INTERFONIA!F21</f>
        <v>6271.2</v>
      </c>
      <c r="N1289" s="646">
        <f>L1289*M1289</f>
        <v>6271.2</v>
      </c>
      <c r="O1289" s="767"/>
      <c r="P1289" s="632" t="s">
        <v>1704</v>
      </c>
      <c r="R1289" s="742"/>
      <c r="S1289" s="742"/>
    </row>
    <row r="1290" spans="1:19" s="761" customFormat="1" collapsed="1" x14ac:dyDescent="0.2">
      <c r="A1290" s="762" t="e">
        <f ca="1">IF($H1290="UNIDADE CONSTRUTIVA",OFFSET(A1290,-1,0)+1,LARGE(A$3:A1184,1))</f>
        <v>#NUM!</v>
      </c>
      <c r="B1290" s="762">
        <f t="shared" ca="1" si="321"/>
        <v>19</v>
      </c>
      <c r="C1290" s="762">
        <f t="shared" ca="1" si="322"/>
        <v>0</v>
      </c>
      <c r="D1290" s="763">
        <f t="shared" ca="1" si="323"/>
        <v>4</v>
      </c>
      <c r="E1290" s="763">
        <f t="shared" ca="1" si="324"/>
        <v>1</v>
      </c>
      <c r="G1290" s="628"/>
      <c r="H1290" s="766" t="s">
        <v>365</v>
      </c>
      <c r="I1290" s="629" t="str">
        <f t="shared" ca="1" si="325"/>
        <v>19</v>
      </c>
      <c r="J1290" s="654" t="s">
        <v>247</v>
      </c>
      <c r="K1290" s="869"/>
      <c r="L1290" s="869"/>
      <c r="M1290" s="631"/>
      <c r="N1290" s="646">
        <f ca="1">N1291</f>
        <v>300014.33000000007</v>
      </c>
      <c r="O1290" s="767"/>
      <c r="P1290" s="632"/>
      <c r="R1290" s="742"/>
      <c r="S1290" s="742"/>
    </row>
    <row r="1291" spans="1:19" s="761" customFormat="1" hidden="1" outlineLevel="1" collapsed="1" x14ac:dyDescent="0.2">
      <c r="A1291" s="762" t="e">
        <f ca="1">IF($H1291="UNIDADE CONSTRUTIVA",OFFSET(A1291,-1,0)+1,LARGE(A$3:A1290,1))</f>
        <v>#NUM!</v>
      </c>
      <c r="B1291" s="762">
        <f t="shared" ca="1" si="321"/>
        <v>19</v>
      </c>
      <c r="C1291" s="762">
        <f t="shared" ca="1" si="322"/>
        <v>1</v>
      </c>
      <c r="D1291" s="763">
        <f t="shared" ca="1" si="323"/>
        <v>0</v>
      </c>
      <c r="E1291" s="763">
        <f t="shared" ca="1" si="324"/>
        <v>1</v>
      </c>
      <c r="G1291" s="628"/>
      <c r="H1291" s="766" t="s">
        <v>366</v>
      </c>
      <c r="I1291" s="629" t="str">
        <f t="shared" ca="1" si="325"/>
        <v>19.001</v>
      </c>
      <c r="J1291" s="654" t="s">
        <v>247</v>
      </c>
      <c r="K1291" s="630"/>
      <c r="L1291" s="631"/>
      <c r="M1291" s="631"/>
      <c r="N1291" s="646">
        <f ca="1">SUM(N1292,N1294,N1296)</f>
        <v>300014.33000000007</v>
      </c>
      <c r="O1291" s="767"/>
      <c r="P1291" s="632"/>
      <c r="R1291" s="742"/>
      <c r="S1291" s="742"/>
    </row>
    <row r="1292" spans="1:19" s="761" customFormat="1" hidden="1" outlineLevel="2" collapsed="1" x14ac:dyDescent="0.2">
      <c r="A1292" s="762" t="e">
        <f ca="1">IF($H1292="UNIDADE CONSTRUTIVA",OFFSET(A1292,-1,0)+1,LARGE(A$3:A1291,1))</f>
        <v>#NUM!</v>
      </c>
      <c r="B1292" s="762">
        <f t="shared" ca="1" si="321"/>
        <v>19</v>
      </c>
      <c r="C1292" s="762">
        <f t="shared" ca="1" si="322"/>
        <v>1</v>
      </c>
      <c r="D1292" s="763">
        <f t="shared" ca="1" si="323"/>
        <v>1</v>
      </c>
      <c r="E1292" s="763">
        <f t="shared" ca="1" si="324"/>
        <v>0</v>
      </c>
      <c r="G1292" s="628"/>
      <c r="H1292" s="766" t="s">
        <v>367</v>
      </c>
      <c r="I1292" s="629" t="str">
        <f t="shared" ca="1" si="325"/>
        <v>19.001.001</v>
      </c>
      <c r="J1292" s="654" t="s">
        <v>248</v>
      </c>
      <c r="K1292" s="630"/>
      <c r="L1292" s="631"/>
      <c r="M1292" s="631"/>
      <c r="N1292" s="646">
        <f ca="1">N1293</f>
        <v>210958.44000000003</v>
      </c>
      <c r="O1292" s="767"/>
      <c r="P1292" s="632"/>
      <c r="R1292" s="742"/>
      <c r="S1292" s="742"/>
    </row>
    <row r="1293" spans="1:19" s="761" customFormat="1" ht="22.5" hidden="1" outlineLevel="3" x14ac:dyDescent="0.2">
      <c r="A1293" s="762" t="e">
        <f ca="1">IF($H1293="UNIDADE CONSTRUTIVA",OFFSET(A1293,-1,0)+1,LARGE(A$3:A1292,1))</f>
        <v>#NUM!</v>
      </c>
      <c r="B1293" s="762">
        <f t="shared" ca="1" si="321"/>
        <v>19</v>
      </c>
      <c r="C1293" s="762">
        <f t="shared" ca="1" si="322"/>
        <v>1</v>
      </c>
      <c r="D1293" s="763">
        <f t="shared" ca="1" si="323"/>
        <v>1</v>
      </c>
      <c r="E1293" s="763">
        <f t="shared" ca="1" si="324"/>
        <v>1</v>
      </c>
      <c r="G1293" s="628"/>
      <c r="H1293" s="766" t="s">
        <v>368</v>
      </c>
      <c r="I1293" s="629" t="str">
        <f t="shared" ca="1" si="325"/>
        <v>19.001.001.001</v>
      </c>
      <c r="J1293" s="654" t="s">
        <v>249</v>
      </c>
      <c r="K1293" s="630" t="s">
        <v>250</v>
      </c>
      <c r="L1293" s="631">
        <v>1</v>
      </c>
      <c r="M1293" s="631">
        <f ca="1">'LOUÇAS&amp;METAIS RESUMO'!F14</f>
        <v>210958.44000000003</v>
      </c>
      <c r="N1293" s="646">
        <f ca="1">L1293*M1293</f>
        <v>210958.44000000003</v>
      </c>
      <c r="O1293" s="767"/>
      <c r="P1293" s="632" t="s">
        <v>333</v>
      </c>
      <c r="R1293" s="742"/>
      <c r="S1293" s="742"/>
    </row>
    <row r="1294" spans="1:19" s="761" customFormat="1" hidden="1" outlineLevel="2" collapsed="1" x14ac:dyDescent="0.2">
      <c r="A1294" s="762" t="e">
        <f ca="1">IF($H1294="UNIDADE CONSTRUTIVA",OFFSET(A1294,-1,0)+1,LARGE(A$3:A1293,1))</f>
        <v>#NUM!</v>
      </c>
      <c r="B1294" s="762">
        <f t="shared" ca="1" si="321"/>
        <v>19</v>
      </c>
      <c r="C1294" s="762">
        <f t="shared" ca="1" si="322"/>
        <v>1</v>
      </c>
      <c r="D1294" s="763">
        <f t="shared" ca="1" si="323"/>
        <v>2</v>
      </c>
      <c r="E1294" s="763">
        <f t="shared" ca="1" si="324"/>
        <v>0</v>
      </c>
      <c r="G1294" s="628"/>
      <c r="H1294" s="766" t="s">
        <v>367</v>
      </c>
      <c r="I1294" s="629" t="str">
        <f t="shared" ca="1" si="325"/>
        <v>19.001.002</v>
      </c>
      <c r="J1294" s="654" t="s">
        <v>251</v>
      </c>
      <c r="K1294" s="630"/>
      <c r="L1294" s="631"/>
      <c r="M1294" s="631"/>
      <c r="N1294" s="646">
        <f ca="1">N1295</f>
        <v>36876.469999999994</v>
      </c>
      <c r="O1294" s="767"/>
      <c r="P1294" s="632"/>
      <c r="R1294" s="742"/>
      <c r="S1294" s="742"/>
    </row>
    <row r="1295" spans="1:19" s="761" customFormat="1" ht="22.5" hidden="1" outlineLevel="3" x14ac:dyDescent="0.2">
      <c r="A1295" s="762" t="e">
        <f ca="1">IF($H1295="UNIDADE CONSTRUTIVA",OFFSET(A1295,-1,0)+1,LARGE(A$3:A1294,1))</f>
        <v>#NUM!</v>
      </c>
      <c r="B1295" s="762">
        <f t="shared" ca="1" si="321"/>
        <v>19</v>
      </c>
      <c r="C1295" s="762">
        <f t="shared" ca="1" si="322"/>
        <v>1</v>
      </c>
      <c r="D1295" s="763">
        <f t="shared" ca="1" si="323"/>
        <v>2</v>
      </c>
      <c r="E1295" s="763">
        <f t="shared" ca="1" si="324"/>
        <v>1</v>
      </c>
      <c r="G1295" s="628"/>
      <c r="H1295" s="766" t="s">
        <v>368</v>
      </c>
      <c r="I1295" s="629" t="str">
        <f t="shared" ca="1" si="325"/>
        <v>19.001.002.001</v>
      </c>
      <c r="J1295" s="654" t="s">
        <v>251</v>
      </c>
      <c r="K1295" s="630" t="s">
        <v>250</v>
      </c>
      <c r="L1295" s="631">
        <v>1</v>
      </c>
      <c r="M1295" s="631">
        <f ca="1">'LOUÇAS&amp;METAIS RESUMO'!F30</f>
        <v>36876.469999999994</v>
      </c>
      <c r="N1295" s="646">
        <f ca="1">L1295*M1295</f>
        <v>36876.469999999994</v>
      </c>
      <c r="O1295" s="767"/>
      <c r="P1295" s="632" t="s">
        <v>333</v>
      </c>
      <c r="R1295" s="742"/>
      <c r="S1295" s="742"/>
    </row>
    <row r="1296" spans="1:19" s="761" customFormat="1" hidden="1" outlineLevel="2" collapsed="1" x14ac:dyDescent="0.2">
      <c r="A1296" s="762" t="e">
        <f ca="1">IF($H1296="UNIDADE CONSTRUTIVA",OFFSET(A1296,-1,0)+1,LARGE(A$3:A1295,1))</f>
        <v>#NUM!</v>
      </c>
      <c r="B1296" s="762">
        <f t="shared" ca="1" si="321"/>
        <v>19</v>
      </c>
      <c r="C1296" s="762">
        <f t="shared" ca="1" si="322"/>
        <v>1</v>
      </c>
      <c r="D1296" s="763">
        <f t="shared" ca="1" si="323"/>
        <v>3</v>
      </c>
      <c r="E1296" s="763">
        <f t="shared" ca="1" si="324"/>
        <v>0</v>
      </c>
      <c r="G1296" s="628"/>
      <c r="H1296" s="766" t="s">
        <v>367</v>
      </c>
      <c r="I1296" s="629" t="str">
        <f t="shared" ca="1" si="325"/>
        <v>19.001.003</v>
      </c>
      <c r="J1296" s="654" t="s">
        <v>211</v>
      </c>
      <c r="K1296" s="630"/>
      <c r="L1296" s="631"/>
      <c r="M1296" s="631"/>
      <c r="N1296" s="646">
        <f>N1297</f>
        <v>52179.420000000013</v>
      </c>
      <c r="O1296" s="767"/>
      <c r="P1296" s="632"/>
      <c r="R1296" s="742"/>
      <c r="S1296" s="742"/>
    </row>
    <row r="1297" spans="1:19" s="761" customFormat="1" ht="22.5" hidden="1" outlineLevel="2" x14ac:dyDescent="0.2">
      <c r="A1297" s="762" t="e">
        <f ca="1">IF($H1297="UNIDADE CONSTRUTIVA",OFFSET(A1297,-1,0)+1,LARGE(A$3:A1296,1))</f>
        <v>#NUM!</v>
      </c>
      <c r="B1297" s="762">
        <f t="shared" ca="1" si="321"/>
        <v>19</v>
      </c>
      <c r="C1297" s="762">
        <f t="shared" ca="1" si="322"/>
        <v>1</v>
      </c>
      <c r="D1297" s="763">
        <f t="shared" ca="1" si="323"/>
        <v>3</v>
      </c>
      <c r="E1297" s="763">
        <f t="shared" ca="1" si="324"/>
        <v>1</v>
      </c>
      <c r="G1297" s="628"/>
      <c r="H1297" s="766" t="s">
        <v>368</v>
      </c>
      <c r="I1297" s="629" t="str">
        <f t="shared" ca="1" si="325"/>
        <v>19.001.003.001</v>
      </c>
      <c r="J1297" s="654" t="s">
        <v>1667</v>
      </c>
      <c r="K1297" s="630" t="s">
        <v>250</v>
      </c>
      <c r="L1297" s="631">
        <v>1</v>
      </c>
      <c r="M1297" s="631">
        <f>'LOUÇAS&amp;METAIS RESUMO'!F31</f>
        <v>52179.420000000013</v>
      </c>
      <c r="N1297" s="646">
        <f>L1297*M1297</f>
        <v>52179.420000000013</v>
      </c>
      <c r="O1297" s="767"/>
      <c r="P1297" s="632" t="s">
        <v>333</v>
      </c>
      <c r="R1297" s="742"/>
      <c r="S1297" s="742"/>
    </row>
    <row r="1298" spans="1:19" s="761" customFormat="1" collapsed="1" x14ac:dyDescent="0.2">
      <c r="A1298" s="762" t="e">
        <f ca="1">IF($H1298="UNIDADE CONSTRUTIVA",OFFSET(A1298,-1,0)+1,LARGE(A$3:A1213,1))</f>
        <v>#NUM!</v>
      </c>
      <c r="B1298" s="762">
        <f t="shared" ca="1" si="312"/>
        <v>20</v>
      </c>
      <c r="C1298" s="762">
        <f t="shared" ca="1" si="313"/>
        <v>0</v>
      </c>
      <c r="D1298" s="763">
        <f t="shared" ca="1" si="314"/>
        <v>3</v>
      </c>
      <c r="E1298" s="763">
        <f t="shared" ca="1" si="315"/>
        <v>1</v>
      </c>
      <c r="G1298" s="628"/>
      <c r="H1298" s="766" t="s">
        <v>365</v>
      </c>
      <c r="I1298" s="629" t="str">
        <f t="shared" ca="1" si="325"/>
        <v>20</v>
      </c>
      <c r="J1298" s="654" t="s">
        <v>277</v>
      </c>
      <c r="K1298" s="630"/>
      <c r="L1298" s="631"/>
      <c r="M1298" s="631"/>
      <c r="N1298" s="646">
        <f ca="1">N1299</f>
        <v>1625997.2158140002</v>
      </c>
      <c r="O1298" s="767"/>
      <c r="P1298" s="632"/>
      <c r="R1298" s="742"/>
      <c r="S1298" s="742"/>
    </row>
    <row r="1299" spans="1:19" s="761" customFormat="1" hidden="1" outlineLevel="1" x14ac:dyDescent="0.2">
      <c r="A1299" s="762" t="e">
        <f ca="1">IF($H1299="UNIDADE CONSTRUTIVA",OFFSET(A1299,-1,0)+1,LARGE(A$3:A1298,1))</f>
        <v>#NUM!</v>
      </c>
      <c r="B1299" s="762">
        <f t="shared" ca="1" si="312"/>
        <v>20</v>
      </c>
      <c r="C1299" s="762">
        <f t="shared" ca="1" si="313"/>
        <v>1</v>
      </c>
      <c r="D1299" s="763">
        <f t="shared" ca="1" si="314"/>
        <v>0</v>
      </c>
      <c r="E1299" s="763">
        <f t="shared" ca="1" si="315"/>
        <v>1</v>
      </c>
      <c r="G1299" s="628"/>
      <c r="H1299" s="766" t="s">
        <v>366</v>
      </c>
      <c r="I1299" s="629" t="str">
        <f t="shared" ca="1" si="325"/>
        <v>20.001</v>
      </c>
      <c r="J1299" s="654" t="s">
        <v>278</v>
      </c>
      <c r="K1299" s="630"/>
      <c r="L1299" s="631"/>
      <c r="M1299" s="631"/>
      <c r="N1299" s="646">
        <f ca="1">SUM(N1300,N1303,N1305,N1307,N1309,N1311,N1314)</f>
        <v>1625997.2158140002</v>
      </c>
      <c r="O1299" s="767"/>
      <c r="P1299" s="632"/>
      <c r="R1299" s="742"/>
      <c r="S1299" s="742"/>
    </row>
    <row r="1300" spans="1:19" s="761" customFormat="1" hidden="1" outlineLevel="1" x14ac:dyDescent="0.2">
      <c r="A1300" s="762" t="e">
        <f ca="1">IF($H1300="UNIDADE CONSTRUTIVA",OFFSET(A1300,-1,0)+1,LARGE(A$3:A1299,1))</f>
        <v>#NUM!</v>
      </c>
      <c r="B1300" s="762">
        <f t="shared" ca="1" si="312"/>
        <v>20</v>
      </c>
      <c r="C1300" s="762">
        <f t="shared" ca="1" si="313"/>
        <v>1</v>
      </c>
      <c r="D1300" s="763">
        <f t="shared" ca="1" si="314"/>
        <v>1</v>
      </c>
      <c r="E1300" s="763">
        <f t="shared" ca="1" si="315"/>
        <v>0</v>
      </c>
      <c r="G1300" s="628"/>
      <c r="H1300" s="766" t="s">
        <v>367</v>
      </c>
      <c r="I1300" s="629" t="str">
        <f t="shared" ca="1" si="325"/>
        <v>20.001.001</v>
      </c>
      <c r="J1300" s="654" t="s">
        <v>279</v>
      </c>
      <c r="K1300" s="630"/>
      <c r="L1300" s="631"/>
      <c r="M1300" s="631"/>
      <c r="N1300" s="646">
        <f>SUM(N1301:N1302)</f>
        <v>7166.6988139999994</v>
      </c>
      <c r="O1300" s="767"/>
      <c r="P1300" s="632"/>
      <c r="R1300" s="742"/>
      <c r="S1300" s="742"/>
    </row>
    <row r="1301" spans="1:19" s="761" customFormat="1" ht="22.5" hidden="1" outlineLevel="2" x14ac:dyDescent="0.2">
      <c r="A1301" s="762" t="e">
        <f ca="1">IF($H1301="UNIDADE CONSTRUTIVA",OFFSET(A1301,-1,0)+1,LARGE(A$3:A899,1))</f>
        <v>#NUM!</v>
      </c>
      <c r="B1301" s="762">
        <f t="shared" ca="1" si="312"/>
        <v>20</v>
      </c>
      <c r="C1301" s="762">
        <f t="shared" ca="1" si="313"/>
        <v>1</v>
      </c>
      <c r="D1301" s="763">
        <f t="shared" ca="1" si="314"/>
        <v>1</v>
      </c>
      <c r="E1301" s="763">
        <f t="shared" ca="1" si="315"/>
        <v>1</v>
      </c>
      <c r="G1301" s="628"/>
      <c r="H1301" s="766" t="s">
        <v>368</v>
      </c>
      <c r="I1301" s="629" t="str">
        <f t="shared" ca="1" si="325"/>
        <v>20.001.001.001</v>
      </c>
      <c r="J1301" s="654" t="s">
        <v>818</v>
      </c>
      <c r="K1301" s="630" t="s">
        <v>1</v>
      </c>
      <c r="L1301" s="631">
        <f>ARQ.!C40</f>
        <v>90.53</v>
      </c>
      <c r="M1301" s="631">
        <f>VLOOKUP(J1301,Preços!$C$7:$F$498,4,FALSE)</f>
        <v>59.163800000000002</v>
      </c>
      <c r="N1301" s="646">
        <f>L1301*M1301</f>
        <v>5356.0988139999999</v>
      </c>
      <c r="O1301" s="767"/>
      <c r="P1301" s="632" t="s">
        <v>1704</v>
      </c>
      <c r="R1301" s="742"/>
      <c r="S1301" s="742"/>
    </row>
    <row r="1302" spans="1:19" s="761" customFormat="1" ht="22.5" hidden="1" outlineLevel="2" x14ac:dyDescent="0.2">
      <c r="A1302" s="762" t="e">
        <f ca="1">IF($H1302="UNIDADE CONSTRUTIVA",OFFSET(A1302,-1,0)+1,LARGE(A$3:A903,1))</f>
        <v>#NUM!</v>
      </c>
      <c r="B1302" s="762">
        <f ca="1">IF(H1302="UNIDADE CONSTRUTIVA",0,IF(H1302="CÉLULA CONSTRUTIVA",OFFSET(B1302,-1,0)+1,OFFSET(B1302,-1,0)))</f>
        <v>20</v>
      </c>
      <c r="C1302" s="762">
        <f ca="1">IF(H1302="CÉLULA CONSTRUTIVA",0,IF(H1302="ETAPA",OFFSET(C1302,-1,0)+1,OFFSET(C1302,-1,0)))</f>
        <v>1</v>
      </c>
      <c r="D1302" s="763">
        <f ca="1">IF(H1302="ETAPA",0,IF(H1302="SUBETAPA",OFFSET(D1302,-1,0)+1,OFFSET(D1302,-1,0)))</f>
        <v>1</v>
      </c>
      <c r="E1302" s="763">
        <f ca="1">IF(H1302="Subetapa",0,IF(H1302="serviço",OFFSET(E1302,-1,0)+1,OFFSET(E1302,-1,0)))</f>
        <v>2</v>
      </c>
      <c r="G1302" s="628"/>
      <c r="H1302" s="766" t="s">
        <v>368</v>
      </c>
      <c r="I1302" s="629" t="str">
        <f ca="1">IF(H1302="Unidade Construtiva",TEXT(A1302,"00"),IF(H1302="Célula Construtiva",TEXT(B1302,"00"),IF(H1302="Etapa",CONCATENATE(TEXT(B1302,"00"),".",TEXT(C1302,"000")),IF(H1302="Subetapa",CONCATENATE(TEXT(B1302,"00"),".",TEXT(C1302,"000"),".",TEXT(D1302,"000")),IF(H1302="Serviço",CONCATENATE(TEXT(B1302,"00"),".",TEXT(C1302,"000"),".",TEXT(D1302,"000"),".",TEXT(E1302,"000")),"")))))</f>
        <v>20.001.001.002</v>
      </c>
      <c r="J1302" s="654" t="s">
        <v>972</v>
      </c>
      <c r="K1302" s="630" t="s">
        <v>1</v>
      </c>
      <c r="L1302" s="631">
        <f>L1301</f>
        <v>90.53</v>
      </c>
      <c r="M1302" s="631">
        <v>20</v>
      </c>
      <c r="N1302" s="646">
        <f>L1302*M1302</f>
        <v>1810.6</v>
      </c>
      <c r="O1302" s="767"/>
      <c r="P1302" s="632" t="s">
        <v>1704</v>
      </c>
      <c r="R1302" s="742"/>
      <c r="S1302" s="742"/>
    </row>
    <row r="1303" spans="1:19" s="761" customFormat="1" hidden="1" outlineLevel="1" x14ac:dyDescent="0.2">
      <c r="A1303" s="762" t="e">
        <f ca="1">IF($H1303="UNIDADE CONSTRUTIVA",OFFSET(A1303,-1,0)+1,LARGE(A$3:A1301,1))</f>
        <v>#NUM!</v>
      </c>
      <c r="B1303" s="762">
        <f t="shared" ca="1" si="312"/>
        <v>20</v>
      </c>
      <c r="C1303" s="762">
        <f t="shared" ca="1" si="313"/>
        <v>1</v>
      </c>
      <c r="D1303" s="763">
        <f t="shared" ca="1" si="314"/>
        <v>2</v>
      </c>
      <c r="E1303" s="763">
        <f t="shared" ca="1" si="315"/>
        <v>0</v>
      </c>
      <c r="G1303" s="628"/>
      <c r="H1303" s="766" t="s">
        <v>367</v>
      </c>
      <c r="I1303" s="629" t="str">
        <f t="shared" ca="1" si="325"/>
        <v>20.001.002</v>
      </c>
      <c r="J1303" s="654" t="s">
        <v>280</v>
      </c>
      <c r="K1303" s="630"/>
      <c r="L1303" s="631"/>
      <c r="M1303" s="631"/>
      <c r="N1303" s="646">
        <f>N1304</f>
        <v>13914.512000000002</v>
      </c>
      <c r="O1303" s="767"/>
      <c r="P1303" s="632"/>
      <c r="R1303" s="742"/>
      <c r="S1303" s="742"/>
    </row>
    <row r="1304" spans="1:19" s="761" customFormat="1" ht="22.5" hidden="1" outlineLevel="2" x14ac:dyDescent="0.2">
      <c r="A1304" s="762" t="e">
        <f ca="1">IF($H1304="UNIDADE CONSTRUTIVA",OFFSET(A1304,-1,0)+1,LARGE(A$3:A1303,1))</f>
        <v>#NUM!</v>
      </c>
      <c r="B1304" s="762">
        <f t="shared" ca="1" si="312"/>
        <v>20</v>
      </c>
      <c r="C1304" s="762">
        <f t="shared" ca="1" si="313"/>
        <v>1</v>
      </c>
      <c r="D1304" s="763">
        <f t="shared" ca="1" si="314"/>
        <v>2</v>
      </c>
      <c r="E1304" s="763">
        <f t="shared" ca="1" si="315"/>
        <v>1</v>
      </c>
      <c r="G1304" s="628"/>
      <c r="H1304" s="766" t="s">
        <v>368</v>
      </c>
      <c r="I1304" s="629" t="str">
        <f t="shared" ca="1" si="325"/>
        <v>20.001.002.001</v>
      </c>
      <c r="J1304" s="654" t="s">
        <v>280</v>
      </c>
      <c r="K1304" s="630" t="s">
        <v>250</v>
      </c>
      <c r="L1304" s="631">
        <v>1</v>
      </c>
      <c r="M1304" s="631">
        <f>1.6*('Projeção torre'!F55)</f>
        <v>13914.512000000002</v>
      </c>
      <c r="N1304" s="646">
        <f>L1304*M1304</f>
        <v>13914.512000000002</v>
      </c>
      <c r="O1304" s="767"/>
      <c r="P1304" s="632" t="s">
        <v>333</v>
      </c>
      <c r="R1304" s="742"/>
      <c r="S1304" s="742"/>
    </row>
    <row r="1305" spans="1:19" s="761" customFormat="1" hidden="1" outlineLevel="1" x14ac:dyDescent="0.2">
      <c r="A1305" s="762" t="e">
        <f ca="1">IF($H1305="UNIDADE CONSTRUTIVA",OFFSET(A1305,-1,0)+1,LARGE(A$3:A1304,1))</f>
        <v>#NUM!</v>
      </c>
      <c r="B1305" s="762">
        <f t="shared" ca="1" si="312"/>
        <v>20</v>
      </c>
      <c r="C1305" s="762">
        <f t="shared" ca="1" si="313"/>
        <v>1</v>
      </c>
      <c r="D1305" s="763">
        <f t="shared" ca="1" si="314"/>
        <v>3</v>
      </c>
      <c r="E1305" s="763">
        <f t="shared" ca="1" si="315"/>
        <v>0</v>
      </c>
      <c r="G1305" s="628"/>
      <c r="H1305" s="766" t="s">
        <v>367</v>
      </c>
      <c r="I1305" s="629" t="str">
        <f t="shared" ca="1" si="325"/>
        <v>20.001.003</v>
      </c>
      <c r="J1305" s="654" t="s">
        <v>1017</v>
      </c>
      <c r="K1305" s="630"/>
      <c r="L1305" s="631"/>
      <c r="M1305" s="631"/>
      <c r="N1305" s="646">
        <f ca="1">N1306</f>
        <v>1091818.375</v>
      </c>
      <c r="O1305" s="767"/>
      <c r="P1305" s="632"/>
      <c r="R1305" s="742"/>
      <c r="S1305" s="742"/>
    </row>
    <row r="1306" spans="1:19" s="761" customFormat="1" ht="22.5" hidden="1" outlineLevel="2" x14ac:dyDescent="0.2">
      <c r="A1306" s="762" t="e">
        <f ca="1">IF($H1306="UNIDADE CONSTRUTIVA",OFFSET(A1306,-1,0)+1,LARGE(A$3:A1305,1))</f>
        <v>#NUM!</v>
      </c>
      <c r="B1306" s="762">
        <f t="shared" ca="1" si="312"/>
        <v>20</v>
      </c>
      <c r="C1306" s="762">
        <f t="shared" ca="1" si="313"/>
        <v>1</v>
      </c>
      <c r="D1306" s="763">
        <f t="shared" ca="1" si="314"/>
        <v>3</v>
      </c>
      <c r="E1306" s="763">
        <f t="shared" ca="1" si="315"/>
        <v>1</v>
      </c>
      <c r="G1306" s="628"/>
      <c r="H1306" s="766" t="s">
        <v>368</v>
      </c>
      <c r="I1306" s="629" t="str">
        <f t="shared" ca="1" si="325"/>
        <v>20.001.003.001</v>
      </c>
      <c r="J1306" s="654" t="s">
        <v>1017</v>
      </c>
      <c r="K1306" s="630" t="s">
        <v>250</v>
      </c>
      <c r="L1306" s="631">
        <v>1</v>
      </c>
      <c r="M1306" s="631">
        <f ca="1">MOBILIARIO!G162</f>
        <v>1091818.375</v>
      </c>
      <c r="N1306" s="646">
        <f ca="1">L1306*M1306</f>
        <v>1091818.375</v>
      </c>
      <c r="O1306" s="767"/>
      <c r="P1306" s="632" t="s">
        <v>1704</v>
      </c>
      <c r="R1306" s="742"/>
      <c r="S1306" s="742"/>
    </row>
    <row r="1307" spans="1:19" s="761" customFormat="1" hidden="1" outlineLevel="1" x14ac:dyDescent="0.2">
      <c r="A1307" s="762" t="e">
        <f ca="1">IF($H1307="UNIDADE CONSTRUTIVA",OFFSET(A1307,-1,0)+1,LARGE(A$3:A1310,1))</f>
        <v>#NUM!</v>
      </c>
      <c r="B1307" s="762">
        <f t="shared" ca="1" si="312"/>
        <v>20</v>
      </c>
      <c r="C1307" s="762">
        <f t="shared" ca="1" si="313"/>
        <v>1</v>
      </c>
      <c r="D1307" s="763">
        <f t="shared" ca="1" si="314"/>
        <v>4</v>
      </c>
      <c r="E1307" s="763">
        <f t="shared" ca="1" si="315"/>
        <v>0</v>
      </c>
      <c r="G1307" s="628"/>
      <c r="H1307" s="766" t="s">
        <v>367</v>
      </c>
      <c r="I1307" s="629" t="str">
        <f t="shared" ca="1" si="325"/>
        <v>20.001.004</v>
      </c>
      <c r="J1307" s="654" t="s">
        <v>385</v>
      </c>
      <c r="K1307" s="630"/>
      <c r="L1307" s="631"/>
      <c r="M1307" s="631"/>
      <c r="N1307" s="646">
        <f>N1308</f>
        <v>86965.700000000012</v>
      </c>
      <c r="O1307" s="767"/>
      <c r="P1307" s="632"/>
      <c r="R1307" s="742"/>
      <c r="S1307" s="742"/>
    </row>
    <row r="1308" spans="1:19" s="761" customFormat="1" ht="22.5" hidden="1" outlineLevel="2" x14ac:dyDescent="0.2">
      <c r="A1308" s="762" t="e">
        <f ca="1">IF($H1308="UNIDADE CONSTRUTIVA",OFFSET(A1308,-1,0)+1,LARGE(A$3:A1307,1))</f>
        <v>#NUM!</v>
      </c>
      <c r="B1308" s="762">
        <f t="shared" ca="1" si="312"/>
        <v>20</v>
      </c>
      <c r="C1308" s="762">
        <f t="shared" ca="1" si="313"/>
        <v>1</v>
      </c>
      <c r="D1308" s="763">
        <f t="shared" ca="1" si="314"/>
        <v>4</v>
      </c>
      <c r="E1308" s="763">
        <f t="shared" ca="1" si="315"/>
        <v>1</v>
      </c>
      <c r="G1308" s="628"/>
      <c r="H1308" s="766" t="s">
        <v>368</v>
      </c>
      <c r="I1308" s="629" t="str">
        <f t="shared" ca="1" si="325"/>
        <v>20.001.004.001</v>
      </c>
      <c r="J1308" s="654" t="s">
        <v>385</v>
      </c>
      <c r="K1308" s="630" t="s">
        <v>250</v>
      </c>
      <c r="L1308" s="631">
        <v>1</v>
      </c>
      <c r="M1308" s="631">
        <f>10*'Projeção torre'!F55</f>
        <v>86965.700000000012</v>
      </c>
      <c r="N1308" s="646">
        <f>L1308*M1308</f>
        <v>86965.700000000012</v>
      </c>
      <c r="O1308" s="767"/>
      <c r="P1308" s="632" t="s">
        <v>333</v>
      </c>
      <c r="R1308" s="742"/>
      <c r="S1308" s="742"/>
    </row>
    <row r="1309" spans="1:19" s="761" customFormat="1" hidden="1" outlineLevel="1" x14ac:dyDescent="0.2">
      <c r="A1309" s="762" t="e">
        <f ca="1">IF($H1309="UNIDADE CONSTRUTIVA",OFFSET(A1309,-1,0)+1,LARGE(A$3:A1306,1))</f>
        <v>#NUM!</v>
      </c>
      <c r="B1309" s="762">
        <f t="shared" ca="1" si="312"/>
        <v>20</v>
      </c>
      <c r="C1309" s="762">
        <f t="shared" ca="1" si="313"/>
        <v>1</v>
      </c>
      <c r="D1309" s="763">
        <f t="shared" ca="1" si="314"/>
        <v>5</v>
      </c>
      <c r="E1309" s="763">
        <f t="shared" ca="1" si="315"/>
        <v>0</v>
      </c>
      <c r="G1309" s="628"/>
      <c r="H1309" s="766" t="s">
        <v>367</v>
      </c>
      <c r="I1309" s="629" t="str">
        <f t="shared" ca="1" si="325"/>
        <v>20.001.005</v>
      </c>
      <c r="J1309" s="654" t="s">
        <v>281</v>
      </c>
      <c r="K1309" s="630"/>
      <c r="L1309" s="631"/>
      <c r="M1309" s="631"/>
      <c r="N1309" s="646">
        <f>N1310</f>
        <v>217414.25000000003</v>
      </c>
      <c r="O1309" s="767"/>
      <c r="P1309" s="632"/>
      <c r="R1309" s="742"/>
      <c r="S1309" s="742"/>
    </row>
    <row r="1310" spans="1:19" s="761" customFormat="1" ht="22.5" hidden="1" outlineLevel="2" x14ac:dyDescent="0.2">
      <c r="A1310" s="762" t="e">
        <f ca="1">IF($H1310="UNIDADE CONSTRUTIVA",OFFSET(A1310,-1,0)+1,LARGE(A$3:A1309,1))</f>
        <v>#NUM!</v>
      </c>
      <c r="B1310" s="762">
        <f t="shared" ca="1" si="312"/>
        <v>20</v>
      </c>
      <c r="C1310" s="762">
        <f t="shared" ca="1" si="313"/>
        <v>1</v>
      </c>
      <c r="D1310" s="763">
        <f t="shared" ca="1" si="314"/>
        <v>5</v>
      </c>
      <c r="E1310" s="763">
        <f t="shared" ca="1" si="315"/>
        <v>1</v>
      </c>
      <c r="G1310" s="628"/>
      <c r="H1310" s="766" t="s">
        <v>368</v>
      </c>
      <c r="I1310" s="629" t="str">
        <f t="shared" ca="1" si="325"/>
        <v>20.001.005.001</v>
      </c>
      <c r="J1310" s="654" t="s">
        <v>282</v>
      </c>
      <c r="K1310" s="630" t="s">
        <v>250</v>
      </c>
      <c r="L1310" s="631">
        <v>1</v>
      </c>
      <c r="M1310" s="631">
        <f>25*'Projeção torre'!F55</f>
        <v>217414.25000000003</v>
      </c>
      <c r="N1310" s="646">
        <f>L1310*M1310</f>
        <v>217414.25000000003</v>
      </c>
      <c r="O1310" s="767"/>
      <c r="P1310" s="632" t="s">
        <v>333</v>
      </c>
      <c r="R1310" s="742"/>
      <c r="S1310" s="742"/>
    </row>
    <row r="1311" spans="1:19" s="761" customFormat="1" hidden="1" outlineLevel="1" x14ac:dyDescent="0.2">
      <c r="A1311" s="762" t="e">
        <f ca="1">IF($H1311="UNIDADE CONSTRUTIVA",OFFSET(A1311,-1,0)+1,LARGE(A$3:A1310,1))</f>
        <v>#NUM!</v>
      </c>
      <c r="B1311" s="762">
        <f t="shared" ca="1" si="312"/>
        <v>20</v>
      </c>
      <c r="C1311" s="762">
        <f t="shared" ca="1" si="313"/>
        <v>1</v>
      </c>
      <c r="D1311" s="763">
        <f t="shared" ca="1" si="314"/>
        <v>6</v>
      </c>
      <c r="E1311" s="763">
        <f t="shared" ca="1" si="315"/>
        <v>0</v>
      </c>
      <c r="G1311" s="628"/>
      <c r="H1311" s="766" t="s">
        <v>367</v>
      </c>
      <c r="I1311" s="629" t="str">
        <f t="shared" ca="1" si="325"/>
        <v>20.001.006</v>
      </c>
      <c r="J1311" s="654" t="s">
        <v>283</v>
      </c>
      <c r="K1311" s="630"/>
      <c r="L1311" s="631"/>
      <c r="M1311" s="631"/>
      <c r="N1311" s="646">
        <f>N1312+N1313</f>
        <v>173931.40000000002</v>
      </c>
      <c r="O1311" s="767"/>
      <c r="P1311" s="632"/>
      <c r="R1311" s="742"/>
      <c r="S1311" s="742"/>
    </row>
    <row r="1312" spans="1:19" s="761" customFormat="1" ht="22.5" hidden="1" outlineLevel="2" x14ac:dyDescent="0.2">
      <c r="A1312" s="762" t="e">
        <f ca="1">IF($H1312="UNIDADE CONSTRUTIVA",OFFSET(A1312,-1,0)+1,LARGE(A$3:A1311,1))</f>
        <v>#NUM!</v>
      </c>
      <c r="B1312" s="762">
        <f t="shared" ca="1" si="312"/>
        <v>20</v>
      </c>
      <c r="C1312" s="762">
        <f t="shared" ca="1" si="313"/>
        <v>1</v>
      </c>
      <c r="D1312" s="763">
        <f t="shared" ca="1" si="314"/>
        <v>6</v>
      </c>
      <c r="E1312" s="763">
        <f t="shared" ca="1" si="315"/>
        <v>1</v>
      </c>
      <c r="G1312" s="628"/>
      <c r="H1312" s="766" t="s">
        <v>368</v>
      </c>
      <c r="I1312" s="629" t="str">
        <f t="shared" ca="1" si="325"/>
        <v>20.001.006.001</v>
      </c>
      <c r="J1312" s="654" t="s">
        <v>284</v>
      </c>
      <c r="K1312" s="630" t="s">
        <v>250</v>
      </c>
      <c r="L1312" s="631">
        <v>1</v>
      </c>
      <c r="M1312" s="631">
        <f>15*'Projeção torre'!F55</f>
        <v>130448.55000000002</v>
      </c>
      <c r="N1312" s="646">
        <f>L1312*M1312</f>
        <v>130448.55000000002</v>
      </c>
      <c r="O1312" s="767"/>
      <c r="P1312" s="632" t="s">
        <v>333</v>
      </c>
      <c r="R1312" s="742"/>
      <c r="S1312" s="742"/>
    </row>
    <row r="1313" spans="1:19" s="761" customFormat="1" ht="22.5" hidden="1" outlineLevel="2" x14ac:dyDescent="0.2">
      <c r="A1313" s="762" t="e">
        <f ca="1">IF($H1313="UNIDADE CONSTRUTIVA",OFFSET(A1313,-1,0)+1,LARGE(A$3:A1312,1))</f>
        <v>#NUM!</v>
      </c>
      <c r="B1313" s="762">
        <f t="shared" ca="1" si="312"/>
        <v>20</v>
      </c>
      <c r="C1313" s="762">
        <f t="shared" ca="1" si="313"/>
        <v>1</v>
      </c>
      <c r="D1313" s="763">
        <f t="shared" ca="1" si="314"/>
        <v>6</v>
      </c>
      <c r="E1313" s="763">
        <f t="shared" ca="1" si="315"/>
        <v>2</v>
      </c>
      <c r="G1313" s="628"/>
      <c r="H1313" s="766" t="s">
        <v>368</v>
      </c>
      <c r="I1313" s="629" t="str">
        <f t="shared" ca="1" si="325"/>
        <v>20.001.006.002</v>
      </c>
      <c r="J1313" s="654" t="s">
        <v>285</v>
      </c>
      <c r="K1313" s="630" t="s">
        <v>250</v>
      </c>
      <c r="L1313" s="631">
        <v>1</v>
      </c>
      <c r="M1313" s="631">
        <f>5*'Projeção torre'!F55</f>
        <v>43482.850000000006</v>
      </c>
      <c r="N1313" s="646">
        <f>L1313*M1313</f>
        <v>43482.850000000006</v>
      </c>
      <c r="O1313" s="767"/>
      <c r="P1313" s="632" t="s">
        <v>333</v>
      </c>
      <c r="R1313" s="742"/>
      <c r="S1313" s="742"/>
    </row>
    <row r="1314" spans="1:19" s="761" customFormat="1" hidden="1" outlineLevel="1" x14ac:dyDescent="0.2">
      <c r="A1314" s="762" t="e">
        <f ca="1">IF($H1314="UNIDADE CONSTRUTIVA",OFFSET(A1314,-1,0)+1,LARGE(A$3:A1313,1))</f>
        <v>#NUM!</v>
      </c>
      <c r="B1314" s="762">
        <f t="shared" ca="1" si="312"/>
        <v>20</v>
      </c>
      <c r="C1314" s="762">
        <f t="shared" ca="1" si="313"/>
        <v>1</v>
      </c>
      <c r="D1314" s="763">
        <f t="shared" ca="1" si="314"/>
        <v>7</v>
      </c>
      <c r="E1314" s="763">
        <f t="shared" ca="1" si="315"/>
        <v>0</v>
      </c>
      <c r="G1314" s="628"/>
      <c r="H1314" s="766" t="s">
        <v>367</v>
      </c>
      <c r="I1314" s="629" t="str">
        <f t="shared" ca="1" si="325"/>
        <v>20.001.007</v>
      </c>
      <c r="J1314" s="654" t="s">
        <v>286</v>
      </c>
      <c r="K1314" s="630"/>
      <c r="L1314" s="631"/>
      <c r="M1314" s="631"/>
      <c r="N1314" s="646">
        <f>N1315</f>
        <v>34786.280000000006</v>
      </c>
      <c r="O1314" s="767"/>
      <c r="P1314" s="632"/>
      <c r="R1314" s="742"/>
      <c r="S1314" s="742"/>
    </row>
    <row r="1315" spans="1:19" s="761" customFormat="1" ht="22.5" hidden="1" outlineLevel="2" x14ac:dyDescent="0.2">
      <c r="A1315" s="762" t="e">
        <f ca="1">IF($H1315="UNIDADE CONSTRUTIVA",OFFSET(A1315,-1,0)+1,LARGE(A$3:A1314,1))</f>
        <v>#NUM!</v>
      </c>
      <c r="B1315" s="762">
        <f t="shared" ca="1" si="312"/>
        <v>20</v>
      </c>
      <c r="C1315" s="762">
        <f t="shared" ca="1" si="313"/>
        <v>1</v>
      </c>
      <c r="D1315" s="763">
        <f t="shared" ca="1" si="314"/>
        <v>7</v>
      </c>
      <c r="E1315" s="763">
        <f t="shared" ca="1" si="315"/>
        <v>1</v>
      </c>
      <c r="G1315" s="628"/>
      <c r="H1315" s="766" t="s">
        <v>368</v>
      </c>
      <c r="I1315" s="629" t="str">
        <f t="shared" ca="1" si="325"/>
        <v>20.001.007.001</v>
      </c>
      <c r="J1315" s="654" t="s">
        <v>286</v>
      </c>
      <c r="K1315" s="630" t="s">
        <v>250</v>
      </c>
      <c r="L1315" s="631">
        <v>1</v>
      </c>
      <c r="M1315" s="631">
        <f>4*'Projeção torre'!F55</f>
        <v>34786.280000000006</v>
      </c>
      <c r="N1315" s="646">
        <f>L1315*M1315</f>
        <v>34786.280000000006</v>
      </c>
      <c r="O1315" s="767"/>
      <c r="P1315" s="632" t="s">
        <v>333</v>
      </c>
      <c r="R1315" s="742"/>
      <c r="S1315" s="742"/>
    </row>
    <row r="1316" spans="1:19" s="761" customFormat="1" collapsed="1" x14ac:dyDescent="0.2">
      <c r="A1316" s="762" t="e">
        <f ca="1">IF($H1316="UNIDADE CONSTRUTIVA",OFFSET(A1316,-1,0)+1,LARGE(A$3:A1315,1))</f>
        <v>#NUM!</v>
      </c>
      <c r="B1316" s="762">
        <f t="shared" ca="1" si="312"/>
        <v>21</v>
      </c>
      <c r="C1316" s="762">
        <f t="shared" ca="1" si="313"/>
        <v>0</v>
      </c>
      <c r="D1316" s="763">
        <f t="shared" ca="1" si="314"/>
        <v>7</v>
      </c>
      <c r="E1316" s="763">
        <f t="shared" ca="1" si="315"/>
        <v>1</v>
      </c>
      <c r="G1316" s="628"/>
      <c r="H1316" s="766" t="s">
        <v>365</v>
      </c>
      <c r="I1316" s="629" t="str">
        <f t="shared" ca="1" si="325"/>
        <v>21</v>
      </c>
      <c r="J1316" s="654" t="s">
        <v>287</v>
      </c>
      <c r="K1316" s="630"/>
      <c r="L1316" s="631"/>
      <c r="M1316" s="631"/>
      <c r="N1316" s="646">
        <f ca="1">N1317</f>
        <v>451994.55499924318</v>
      </c>
      <c r="O1316" s="767"/>
      <c r="P1316" s="632"/>
      <c r="R1316" s="742"/>
      <c r="S1316" s="742"/>
    </row>
    <row r="1317" spans="1:19" s="761" customFormat="1" hidden="1" outlineLevel="1" x14ac:dyDescent="0.2">
      <c r="A1317" s="762" t="e">
        <f ca="1">IF($H1317="UNIDADE CONSTRUTIVA",OFFSET(A1317,-1,0)+1,LARGE(A$3:A1316,1))</f>
        <v>#NUM!</v>
      </c>
      <c r="B1317" s="762">
        <f t="shared" ca="1" si="312"/>
        <v>21</v>
      </c>
      <c r="C1317" s="762">
        <f t="shared" ca="1" si="313"/>
        <v>1</v>
      </c>
      <c r="D1317" s="763">
        <f t="shared" ca="1" si="314"/>
        <v>0</v>
      </c>
      <c r="E1317" s="763">
        <f t="shared" ca="1" si="315"/>
        <v>1</v>
      </c>
      <c r="G1317" s="628"/>
      <c r="H1317" s="766" t="s">
        <v>366</v>
      </c>
      <c r="I1317" s="629" t="str">
        <f t="shared" ca="1" si="325"/>
        <v>21.001</v>
      </c>
      <c r="J1317" s="654" t="s">
        <v>287</v>
      </c>
      <c r="K1317" s="630"/>
      <c r="L1317" s="631"/>
      <c r="M1317" s="631"/>
      <c r="N1317" s="646">
        <f ca="1">N1318</f>
        <v>451994.55499924318</v>
      </c>
      <c r="O1317" s="767"/>
      <c r="P1317" s="632"/>
      <c r="R1317" s="742"/>
      <c r="S1317" s="742"/>
    </row>
    <row r="1318" spans="1:19" s="761" customFormat="1" hidden="1" outlineLevel="1" x14ac:dyDescent="0.2">
      <c r="A1318" s="762" t="e">
        <f ca="1">IF($H1318="UNIDADE CONSTRUTIVA",OFFSET(A1318,-1,0)+1,LARGE(A$3:A1317,1))</f>
        <v>#NUM!</v>
      </c>
      <c r="B1318" s="762">
        <f t="shared" ca="1" si="312"/>
        <v>21</v>
      </c>
      <c r="C1318" s="762">
        <f t="shared" ca="1" si="313"/>
        <v>1</v>
      </c>
      <c r="D1318" s="763">
        <f t="shared" ca="1" si="314"/>
        <v>1</v>
      </c>
      <c r="E1318" s="763">
        <f t="shared" ca="1" si="315"/>
        <v>0</v>
      </c>
      <c r="G1318" s="628"/>
      <c r="H1318" s="766" t="s">
        <v>367</v>
      </c>
      <c r="I1318" s="629" t="str">
        <f t="shared" ca="1" si="325"/>
        <v>21.001.001</v>
      </c>
      <c r="J1318" s="654" t="s">
        <v>288</v>
      </c>
      <c r="K1318" s="630"/>
      <c r="L1318" s="631"/>
      <c r="M1318" s="631"/>
      <c r="N1318" s="646">
        <f ca="1">N1319</f>
        <v>451994.55499924318</v>
      </c>
      <c r="O1318" s="767"/>
      <c r="P1318" s="632"/>
      <c r="R1318" s="742"/>
      <c r="S1318" s="742"/>
    </row>
    <row r="1319" spans="1:19" s="761" customFormat="1" ht="22.5" hidden="1" outlineLevel="2" x14ac:dyDescent="0.2">
      <c r="A1319" s="762" t="e">
        <f ca="1">IF($H1319="UNIDADE CONSTRUTIVA",OFFSET(A1319,-1,0)+1,LARGE(A$3:A1318,1))</f>
        <v>#NUM!</v>
      </c>
      <c r="B1319" s="762">
        <f t="shared" ca="1" si="312"/>
        <v>21</v>
      </c>
      <c r="C1319" s="762">
        <f t="shared" ca="1" si="313"/>
        <v>1</v>
      </c>
      <c r="D1319" s="763">
        <f t="shared" ca="1" si="314"/>
        <v>1</v>
      </c>
      <c r="E1319" s="763">
        <f t="shared" ca="1" si="315"/>
        <v>1</v>
      </c>
      <c r="G1319" s="628"/>
      <c r="H1319" s="766" t="s">
        <v>368</v>
      </c>
      <c r="I1319" s="629" t="str">
        <f t="shared" ca="1" si="325"/>
        <v>21.001.001.001</v>
      </c>
      <c r="J1319" s="654" t="s">
        <v>288</v>
      </c>
      <c r="K1319" s="630" t="s">
        <v>250</v>
      </c>
      <c r="L1319" s="631">
        <v>1</v>
      </c>
      <c r="M1319" s="631">
        <f ca="1">(N8+N1298+N1290+N1274+N1191+N1185+N1153+N1013+N892+N833+N703+N597+N589+N579+N517+N513+N497+N390+N254+N214+N203)*1.5%</f>
        <v>451994.55499924318</v>
      </c>
      <c r="N1319" s="646">
        <f ca="1">L1319*M1319</f>
        <v>451994.55499924318</v>
      </c>
      <c r="O1319" s="870" t="s">
        <v>1471</v>
      </c>
      <c r="P1319" s="632" t="s">
        <v>333</v>
      </c>
      <c r="R1319" s="742"/>
      <c r="S1319" s="742"/>
    </row>
    <row r="1320" spans="1:19" x14ac:dyDescent="0.2">
      <c r="A1320" s="762" t="e">
        <f ca="1">IF($H1320="UNIDADE CONSTRUTIVA",OFFSET(A1320,-1,0)+1,LARGE(A$3:A1319,1))</f>
        <v>#NUM!</v>
      </c>
      <c r="B1320" s="762">
        <f t="shared" ca="1" si="312"/>
        <v>21</v>
      </c>
      <c r="C1320" s="762">
        <f t="shared" ca="1" si="313"/>
        <v>1</v>
      </c>
      <c r="D1320" s="763">
        <f t="shared" ca="1" si="314"/>
        <v>1</v>
      </c>
      <c r="E1320" s="763">
        <f t="shared" ca="1" si="315"/>
        <v>1</v>
      </c>
      <c r="F1320" s="761"/>
      <c r="M1320" s="1225"/>
      <c r="N1320" s="655"/>
    </row>
    <row r="1321" spans="1:19" x14ac:dyDescent="0.2">
      <c r="A1321" s="762" t="e">
        <f ca="1">IF($H1321="UNIDADE CONSTRUTIVA",OFFSET(A1321,-1,0)+1,LARGE(A$3:A1320,1))</f>
        <v>#NUM!</v>
      </c>
      <c r="B1321" s="762">
        <f t="shared" ca="1" si="312"/>
        <v>21</v>
      </c>
      <c r="C1321" s="762">
        <f t="shared" ca="1" si="313"/>
        <v>1</v>
      </c>
      <c r="D1321" s="763">
        <f t="shared" ca="1" si="314"/>
        <v>1</v>
      </c>
      <c r="E1321" s="763">
        <f t="shared" ca="1" si="315"/>
        <v>1</v>
      </c>
      <c r="F1321" s="761"/>
      <c r="M1321" s="1225"/>
    </row>
    <row r="1322" spans="1:19" ht="30" x14ac:dyDescent="0.2">
      <c r="A1322" s="762" t="e">
        <f ca="1">IF($H1322="UNIDADE CONSTRUTIVA",OFFSET(A1322,-1,0)+1,LARGE(A$3:A1321,1))</f>
        <v>#NUM!</v>
      </c>
      <c r="B1322" s="762">
        <f t="shared" ca="1" si="312"/>
        <v>21</v>
      </c>
      <c r="C1322" s="762">
        <f t="shared" ca="1" si="313"/>
        <v>1</v>
      </c>
      <c r="D1322" s="763">
        <f t="shared" ca="1" si="314"/>
        <v>1</v>
      </c>
      <c r="E1322" s="763">
        <f t="shared" ca="1" si="315"/>
        <v>1</v>
      </c>
      <c r="F1322" s="761"/>
      <c r="M1322" s="1226" t="s">
        <v>2081</v>
      </c>
      <c r="N1322" s="1227">
        <f ca="1">N202+N8</f>
        <v>30584964.888282131</v>
      </c>
    </row>
    <row r="1323" spans="1:19" x14ac:dyDescent="0.2">
      <c r="A1323" s="762" t="e">
        <f ca="1">IF($H1323="UNIDADE CONSTRUTIVA",OFFSET(A1323,-1,0)+1,LARGE(A$3:A1322,1))</f>
        <v>#NUM!</v>
      </c>
      <c r="B1323" s="762">
        <f t="shared" ca="1" si="312"/>
        <v>21</v>
      </c>
      <c r="C1323" s="762">
        <f t="shared" ca="1" si="313"/>
        <v>1</v>
      </c>
      <c r="D1323" s="763">
        <f t="shared" ca="1" si="314"/>
        <v>1</v>
      </c>
      <c r="E1323" s="763">
        <f t="shared" ca="1" si="315"/>
        <v>1</v>
      </c>
      <c r="F1323" s="761"/>
      <c r="M1323" s="1225"/>
    </row>
    <row r="1324" spans="1:19" x14ac:dyDescent="0.2">
      <c r="A1324" s="762" t="e">
        <f ca="1">IF($H1324="UNIDADE CONSTRUTIVA",OFFSET(A1324,-1,0)+1,LARGE(A$3:A1323,1))</f>
        <v>#NUM!</v>
      </c>
      <c r="B1324" s="762">
        <f t="shared" ca="1" si="312"/>
        <v>21</v>
      </c>
      <c r="C1324" s="762">
        <f t="shared" ca="1" si="313"/>
        <v>1</v>
      </c>
      <c r="D1324" s="763">
        <f t="shared" ca="1" si="314"/>
        <v>1</v>
      </c>
      <c r="E1324" s="763">
        <f t="shared" ca="1" si="315"/>
        <v>1</v>
      </c>
      <c r="F1324" s="761"/>
    </row>
    <row r="1325" spans="1:19" x14ac:dyDescent="0.2">
      <c r="A1325" s="762" t="e">
        <f ca="1">IF($H1325="UNIDADE CONSTRUTIVA",OFFSET(A1325,-1,0)+1,LARGE(A$3:A1324,1))</f>
        <v>#NUM!</v>
      </c>
      <c r="B1325" s="762">
        <f t="shared" ca="1" si="312"/>
        <v>21</v>
      </c>
      <c r="C1325" s="762">
        <f t="shared" ca="1" si="313"/>
        <v>1</v>
      </c>
      <c r="D1325" s="763">
        <f t="shared" ca="1" si="314"/>
        <v>1</v>
      </c>
      <c r="E1325" s="763">
        <f t="shared" ca="1" si="315"/>
        <v>1</v>
      </c>
      <c r="F1325" s="761"/>
    </row>
    <row r="1326" spans="1:19" x14ac:dyDescent="0.2">
      <c r="A1326" s="762" t="e">
        <f ca="1">IF($H1326="UNIDADE CONSTRUTIVA",OFFSET(A1326,-1,0)+1,LARGE(A$3:A1325,1))</f>
        <v>#NUM!</v>
      </c>
      <c r="B1326" s="762">
        <f t="shared" ca="1" si="312"/>
        <v>21</v>
      </c>
      <c r="C1326" s="762">
        <f t="shared" ca="1" si="313"/>
        <v>1</v>
      </c>
      <c r="D1326" s="763">
        <f t="shared" ca="1" si="314"/>
        <v>1</v>
      </c>
      <c r="E1326" s="763">
        <f t="shared" ca="1" si="315"/>
        <v>1</v>
      </c>
      <c r="F1326" s="761"/>
    </row>
    <row r="1327" spans="1:19" x14ac:dyDescent="0.2">
      <c r="A1327" s="762" t="e">
        <f ca="1">IF($H1327="UNIDADE CONSTRUTIVA",OFFSET(A1327,-1,0)+1,LARGE(A$3:A1326,1))</f>
        <v>#NUM!</v>
      </c>
      <c r="B1327" s="762">
        <f t="shared" ca="1" si="312"/>
        <v>21</v>
      </c>
      <c r="C1327" s="762">
        <f t="shared" ca="1" si="313"/>
        <v>1</v>
      </c>
      <c r="D1327" s="763">
        <f t="shared" ca="1" si="314"/>
        <v>1</v>
      </c>
      <c r="E1327" s="763">
        <f t="shared" ca="1" si="315"/>
        <v>1</v>
      </c>
      <c r="F1327" s="761"/>
    </row>
    <row r="1328" spans="1:19" x14ac:dyDescent="0.2">
      <c r="A1328" s="762" t="e">
        <f ca="1">IF($H1328="UNIDADE CONSTRUTIVA",OFFSET(A1328,-1,0)+1,LARGE(A$3:A1327,1))</f>
        <v>#NUM!</v>
      </c>
      <c r="B1328" s="762">
        <f t="shared" ca="1" si="312"/>
        <v>21</v>
      </c>
      <c r="C1328" s="762">
        <f t="shared" ca="1" si="313"/>
        <v>1</v>
      </c>
      <c r="D1328" s="763">
        <f t="shared" ca="1" si="314"/>
        <v>1</v>
      </c>
      <c r="E1328" s="763">
        <f t="shared" ca="1" si="315"/>
        <v>1</v>
      </c>
      <c r="F1328" s="761"/>
    </row>
    <row r="1329" spans="1:6" x14ac:dyDescent="0.2">
      <c r="A1329" s="762" t="e">
        <f ca="1">IF($H1329="UNIDADE CONSTRUTIVA",OFFSET(A1329,-1,0)+1,LARGE(A$3:A1328,1))</f>
        <v>#NUM!</v>
      </c>
      <c r="B1329" s="762">
        <f t="shared" ca="1" si="312"/>
        <v>21</v>
      </c>
      <c r="C1329" s="762">
        <f t="shared" ca="1" si="313"/>
        <v>1</v>
      </c>
      <c r="D1329" s="763">
        <f t="shared" ca="1" si="314"/>
        <v>1</v>
      </c>
      <c r="E1329" s="763">
        <f t="shared" ca="1" si="315"/>
        <v>1</v>
      </c>
      <c r="F1329" s="761"/>
    </row>
    <row r="1330" spans="1:6" x14ac:dyDescent="0.2">
      <c r="A1330" s="762" t="e">
        <f ca="1">IF($H1330="UNIDADE CONSTRUTIVA",OFFSET(A1330,-1,0)+1,LARGE(A$3:A1329,1))</f>
        <v>#NUM!</v>
      </c>
      <c r="B1330" s="762">
        <f t="shared" ref="B1330:B1393" ca="1" si="326">IF(H1330="UNIDADE CONSTRUTIVA",0,IF(H1330="CÉLULA CONSTRUTIVA",OFFSET(B1330,-1,0)+1,OFFSET(B1330,-1,0)))</f>
        <v>21</v>
      </c>
      <c r="C1330" s="762">
        <f t="shared" ref="C1330:C1393" ca="1" si="327">IF(H1330="CÉLULA CONSTRUTIVA",0,IF(H1330="ETAPA",OFFSET(C1330,-1,0)+1,OFFSET(C1330,-1,0)))</f>
        <v>1</v>
      </c>
      <c r="D1330" s="763">
        <f t="shared" ref="D1330:D1393" ca="1" si="328">IF(H1330="ETAPA",0,IF(H1330="SUBETAPA",OFFSET(D1330,-1,0)+1,OFFSET(D1330,-1,0)))</f>
        <v>1</v>
      </c>
      <c r="E1330" s="763">
        <f t="shared" ref="E1330:E1393" ca="1" si="329">IF(H1330="Subetapa",0,IF(H1330="serviço",OFFSET(E1330,-1,0)+1,OFFSET(E1330,-1,0)))</f>
        <v>1</v>
      </c>
      <c r="F1330" s="761"/>
    </row>
    <row r="1331" spans="1:6" x14ac:dyDescent="0.2">
      <c r="A1331" s="762" t="e">
        <f ca="1">IF($H1331="UNIDADE CONSTRUTIVA",OFFSET(A1331,-1,0)+1,LARGE(A$3:A1330,1))</f>
        <v>#NUM!</v>
      </c>
      <c r="B1331" s="762">
        <f t="shared" ca="1" si="326"/>
        <v>21</v>
      </c>
      <c r="C1331" s="762">
        <f t="shared" ca="1" si="327"/>
        <v>1</v>
      </c>
      <c r="D1331" s="763">
        <f t="shared" ca="1" si="328"/>
        <v>1</v>
      </c>
      <c r="E1331" s="763">
        <f t="shared" ca="1" si="329"/>
        <v>1</v>
      </c>
      <c r="F1331" s="761"/>
    </row>
    <row r="1332" spans="1:6" x14ac:dyDescent="0.2">
      <c r="A1332" s="762" t="e">
        <f ca="1">IF($H1332="UNIDADE CONSTRUTIVA",OFFSET(A1332,-1,0)+1,LARGE(A$3:A1331,1))</f>
        <v>#NUM!</v>
      </c>
      <c r="B1332" s="762">
        <f t="shared" ca="1" si="326"/>
        <v>21</v>
      </c>
      <c r="C1332" s="762">
        <f t="shared" ca="1" si="327"/>
        <v>1</v>
      </c>
      <c r="D1332" s="763">
        <f t="shared" ca="1" si="328"/>
        <v>1</v>
      </c>
      <c r="E1332" s="763">
        <f t="shared" ca="1" si="329"/>
        <v>1</v>
      </c>
      <c r="F1332" s="761"/>
    </row>
    <row r="1333" spans="1:6" x14ac:dyDescent="0.2">
      <c r="A1333" s="762" t="e">
        <f ca="1">IF($H1333="UNIDADE CONSTRUTIVA",OFFSET(A1333,-1,0)+1,LARGE(A$3:A1332,1))</f>
        <v>#NUM!</v>
      </c>
      <c r="B1333" s="762">
        <f t="shared" ca="1" si="326"/>
        <v>21</v>
      </c>
      <c r="C1333" s="762">
        <f t="shared" ca="1" si="327"/>
        <v>1</v>
      </c>
      <c r="D1333" s="763">
        <f t="shared" ca="1" si="328"/>
        <v>1</v>
      </c>
      <c r="E1333" s="763">
        <f t="shared" ca="1" si="329"/>
        <v>1</v>
      </c>
      <c r="F1333" s="761"/>
    </row>
    <row r="1334" spans="1:6" x14ac:dyDescent="0.2">
      <c r="A1334" s="762" t="e">
        <f ca="1">IF($H1334="UNIDADE CONSTRUTIVA",OFFSET(A1334,-1,0)+1,LARGE(A$3:A1333,1))</f>
        <v>#NUM!</v>
      </c>
      <c r="B1334" s="762">
        <f t="shared" ca="1" si="326"/>
        <v>21</v>
      </c>
      <c r="C1334" s="762">
        <f t="shared" ca="1" si="327"/>
        <v>1</v>
      </c>
      <c r="D1334" s="763">
        <f t="shared" ca="1" si="328"/>
        <v>1</v>
      </c>
      <c r="E1334" s="763">
        <f t="shared" ca="1" si="329"/>
        <v>1</v>
      </c>
      <c r="F1334" s="761"/>
    </row>
    <row r="1335" spans="1:6" x14ac:dyDescent="0.2">
      <c r="A1335" s="762" t="e">
        <f ca="1">IF($H1335="UNIDADE CONSTRUTIVA",OFFSET(A1335,-1,0)+1,LARGE(A$3:A1334,1))</f>
        <v>#NUM!</v>
      </c>
      <c r="B1335" s="762">
        <f t="shared" ca="1" si="326"/>
        <v>21</v>
      </c>
      <c r="C1335" s="762">
        <f t="shared" ca="1" si="327"/>
        <v>1</v>
      </c>
      <c r="D1335" s="763">
        <f t="shared" ca="1" si="328"/>
        <v>1</v>
      </c>
      <c r="E1335" s="763">
        <f t="shared" ca="1" si="329"/>
        <v>1</v>
      </c>
      <c r="F1335" s="761"/>
    </row>
    <row r="1336" spans="1:6" x14ac:dyDescent="0.2">
      <c r="A1336" s="762" t="e">
        <f ca="1">IF($H1336="UNIDADE CONSTRUTIVA",OFFSET(A1336,-1,0)+1,LARGE(A$3:A1335,1))</f>
        <v>#NUM!</v>
      </c>
      <c r="B1336" s="762">
        <f t="shared" ca="1" si="326"/>
        <v>21</v>
      </c>
      <c r="C1336" s="762">
        <f t="shared" ca="1" si="327"/>
        <v>1</v>
      </c>
      <c r="D1336" s="763">
        <f t="shared" ca="1" si="328"/>
        <v>1</v>
      </c>
      <c r="E1336" s="763">
        <f t="shared" ca="1" si="329"/>
        <v>1</v>
      </c>
      <c r="F1336" s="761"/>
    </row>
    <row r="1337" spans="1:6" x14ac:dyDescent="0.2">
      <c r="A1337" s="762" t="e">
        <f ca="1">IF($H1337="UNIDADE CONSTRUTIVA",OFFSET(A1337,-1,0)+1,LARGE(A$3:A1336,1))</f>
        <v>#NUM!</v>
      </c>
      <c r="B1337" s="762">
        <f t="shared" ca="1" si="326"/>
        <v>21</v>
      </c>
      <c r="C1337" s="762">
        <f t="shared" ca="1" si="327"/>
        <v>1</v>
      </c>
      <c r="D1337" s="763">
        <f t="shared" ca="1" si="328"/>
        <v>1</v>
      </c>
      <c r="E1337" s="763">
        <f t="shared" ca="1" si="329"/>
        <v>1</v>
      </c>
      <c r="F1337" s="761"/>
    </row>
    <row r="1338" spans="1:6" x14ac:dyDescent="0.2">
      <c r="A1338" s="762" t="e">
        <f ca="1">IF($H1338="UNIDADE CONSTRUTIVA",OFFSET(A1338,-1,0)+1,LARGE(A$3:A1337,1))</f>
        <v>#NUM!</v>
      </c>
      <c r="B1338" s="762">
        <f t="shared" ca="1" si="326"/>
        <v>21</v>
      </c>
      <c r="C1338" s="762">
        <f t="shared" ca="1" si="327"/>
        <v>1</v>
      </c>
      <c r="D1338" s="763">
        <f t="shared" ca="1" si="328"/>
        <v>1</v>
      </c>
      <c r="E1338" s="763">
        <f t="shared" ca="1" si="329"/>
        <v>1</v>
      </c>
      <c r="F1338" s="761"/>
    </row>
    <row r="1339" spans="1:6" x14ac:dyDescent="0.2">
      <c r="A1339" s="762" t="e">
        <f ca="1">IF($H1339="UNIDADE CONSTRUTIVA",OFFSET(A1339,-1,0)+1,LARGE(A$3:A1338,1))</f>
        <v>#NUM!</v>
      </c>
      <c r="B1339" s="762">
        <f t="shared" ca="1" si="326"/>
        <v>21</v>
      </c>
      <c r="C1339" s="762">
        <f t="shared" ca="1" si="327"/>
        <v>1</v>
      </c>
      <c r="D1339" s="763">
        <f t="shared" ca="1" si="328"/>
        <v>1</v>
      </c>
      <c r="E1339" s="763">
        <f t="shared" ca="1" si="329"/>
        <v>1</v>
      </c>
      <c r="F1339" s="761"/>
    </row>
    <row r="1340" spans="1:6" x14ac:dyDescent="0.2">
      <c r="A1340" s="762" t="e">
        <f ca="1">IF($H1340="UNIDADE CONSTRUTIVA",OFFSET(A1340,-1,0)+1,LARGE(A$3:A1339,1))</f>
        <v>#NUM!</v>
      </c>
      <c r="B1340" s="762">
        <f t="shared" ca="1" si="326"/>
        <v>21</v>
      </c>
      <c r="C1340" s="762">
        <f t="shared" ca="1" si="327"/>
        <v>1</v>
      </c>
      <c r="D1340" s="763">
        <f t="shared" ca="1" si="328"/>
        <v>1</v>
      </c>
      <c r="E1340" s="763">
        <f t="shared" ca="1" si="329"/>
        <v>1</v>
      </c>
      <c r="F1340" s="761"/>
    </row>
    <row r="1341" spans="1:6" x14ac:dyDescent="0.2">
      <c r="A1341" s="762" t="e">
        <f ca="1">IF($H1341="UNIDADE CONSTRUTIVA",OFFSET(A1341,-1,0)+1,LARGE(A$3:A1340,1))</f>
        <v>#NUM!</v>
      </c>
      <c r="B1341" s="762">
        <f t="shared" ca="1" si="326"/>
        <v>21</v>
      </c>
      <c r="C1341" s="762">
        <f t="shared" ca="1" si="327"/>
        <v>1</v>
      </c>
      <c r="D1341" s="763">
        <f t="shared" ca="1" si="328"/>
        <v>1</v>
      </c>
      <c r="E1341" s="763">
        <f t="shared" ca="1" si="329"/>
        <v>1</v>
      </c>
      <c r="F1341" s="761"/>
    </row>
    <row r="1342" spans="1:6" x14ac:dyDescent="0.2">
      <c r="A1342" s="762" t="e">
        <f ca="1">IF($H1342="UNIDADE CONSTRUTIVA",OFFSET(A1342,-1,0)+1,LARGE(A$3:A1341,1))</f>
        <v>#NUM!</v>
      </c>
      <c r="B1342" s="762">
        <f t="shared" ca="1" si="326"/>
        <v>21</v>
      </c>
      <c r="C1342" s="762">
        <f t="shared" ca="1" si="327"/>
        <v>1</v>
      </c>
      <c r="D1342" s="763">
        <f t="shared" ca="1" si="328"/>
        <v>1</v>
      </c>
      <c r="E1342" s="763">
        <f t="shared" ca="1" si="329"/>
        <v>1</v>
      </c>
      <c r="F1342" s="761"/>
    </row>
    <row r="1343" spans="1:6" x14ac:dyDescent="0.2">
      <c r="A1343" s="762" t="e">
        <f ca="1">IF($H1343="UNIDADE CONSTRUTIVA",OFFSET(A1343,-1,0)+1,LARGE(A$3:A1342,1))</f>
        <v>#NUM!</v>
      </c>
      <c r="B1343" s="762">
        <f t="shared" ca="1" si="326"/>
        <v>21</v>
      </c>
      <c r="C1343" s="762">
        <f t="shared" ca="1" si="327"/>
        <v>1</v>
      </c>
      <c r="D1343" s="763">
        <f t="shared" ca="1" si="328"/>
        <v>1</v>
      </c>
      <c r="E1343" s="763">
        <f t="shared" ca="1" si="329"/>
        <v>1</v>
      </c>
      <c r="F1343" s="761"/>
    </row>
    <row r="1344" spans="1:6" x14ac:dyDescent="0.2">
      <c r="A1344" s="762" t="e">
        <f ca="1">IF($H1344="UNIDADE CONSTRUTIVA",OFFSET(A1344,-1,0)+1,LARGE(A$3:A1343,1))</f>
        <v>#NUM!</v>
      </c>
      <c r="B1344" s="762">
        <f t="shared" ca="1" si="326"/>
        <v>21</v>
      </c>
      <c r="C1344" s="762">
        <f t="shared" ca="1" si="327"/>
        <v>1</v>
      </c>
      <c r="D1344" s="763">
        <f t="shared" ca="1" si="328"/>
        <v>1</v>
      </c>
      <c r="E1344" s="763">
        <f t="shared" ca="1" si="329"/>
        <v>1</v>
      </c>
      <c r="F1344" s="761"/>
    </row>
    <row r="1345" spans="1:6" x14ac:dyDescent="0.2">
      <c r="A1345" s="762" t="e">
        <f ca="1">IF($H1345="UNIDADE CONSTRUTIVA",OFFSET(A1345,-1,0)+1,LARGE(A$3:A1344,1))</f>
        <v>#NUM!</v>
      </c>
      <c r="B1345" s="762">
        <f t="shared" ca="1" si="326"/>
        <v>21</v>
      </c>
      <c r="C1345" s="762">
        <f t="shared" ca="1" si="327"/>
        <v>1</v>
      </c>
      <c r="D1345" s="763">
        <f t="shared" ca="1" si="328"/>
        <v>1</v>
      </c>
      <c r="E1345" s="763">
        <f t="shared" ca="1" si="329"/>
        <v>1</v>
      </c>
      <c r="F1345" s="761"/>
    </row>
    <row r="1346" spans="1:6" x14ac:dyDescent="0.2">
      <c r="A1346" s="762" t="e">
        <f ca="1">IF($H1346="UNIDADE CONSTRUTIVA",OFFSET(A1346,-1,0)+1,LARGE(A$3:A1345,1))</f>
        <v>#NUM!</v>
      </c>
      <c r="B1346" s="762">
        <f t="shared" ca="1" si="326"/>
        <v>21</v>
      </c>
      <c r="C1346" s="762">
        <f t="shared" ca="1" si="327"/>
        <v>1</v>
      </c>
      <c r="D1346" s="763">
        <f t="shared" ca="1" si="328"/>
        <v>1</v>
      </c>
      <c r="E1346" s="763">
        <f t="shared" ca="1" si="329"/>
        <v>1</v>
      </c>
      <c r="F1346" s="761"/>
    </row>
    <row r="1347" spans="1:6" x14ac:dyDescent="0.2">
      <c r="A1347" s="762" t="e">
        <f ca="1">IF($H1347="UNIDADE CONSTRUTIVA",OFFSET(A1347,-1,0)+1,LARGE(A$3:A1346,1))</f>
        <v>#NUM!</v>
      </c>
      <c r="B1347" s="762">
        <f t="shared" ca="1" si="326"/>
        <v>21</v>
      </c>
      <c r="C1347" s="762">
        <f t="shared" ca="1" si="327"/>
        <v>1</v>
      </c>
      <c r="D1347" s="763">
        <f t="shared" ca="1" si="328"/>
        <v>1</v>
      </c>
      <c r="E1347" s="763">
        <f t="shared" ca="1" si="329"/>
        <v>1</v>
      </c>
      <c r="F1347" s="761"/>
    </row>
    <row r="1348" spans="1:6" x14ac:dyDescent="0.2">
      <c r="A1348" s="762" t="e">
        <f ca="1">IF($H1348="UNIDADE CONSTRUTIVA",OFFSET(A1348,-1,0)+1,LARGE(A$3:A1347,1))</f>
        <v>#NUM!</v>
      </c>
      <c r="B1348" s="762">
        <f t="shared" ca="1" si="326"/>
        <v>21</v>
      </c>
      <c r="C1348" s="762">
        <f t="shared" ca="1" si="327"/>
        <v>1</v>
      </c>
      <c r="D1348" s="763">
        <f t="shared" ca="1" si="328"/>
        <v>1</v>
      </c>
      <c r="E1348" s="763">
        <f t="shared" ca="1" si="329"/>
        <v>1</v>
      </c>
      <c r="F1348" s="761"/>
    </row>
    <row r="1349" spans="1:6" x14ac:dyDescent="0.2">
      <c r="A1349" s="762" t="e">
        <f ca="1">IF($H1349="UNIDADE CONSTRUTIVA",OFFSET(A1349,-1,0)+1,LARGE(A$3:A1348,1))</f>
        <v>#NUM!</v>
      </c>
      <c r="B1349" s="762">
        <f t="shared" ca="1" si="326"/>
        <v>21</v>
      </c>
      <c r="C1349" s="762">
        <f t="shared" ca="1" si="327"/>
        <v>1</v>
      </c>
      <c r="D1349" s="763">
        <f t="shared" ca="1" si="328"/>
        <v>1</v>
      </c>
      <c r="E1349" s="763">
        <f t="shared" ca="1" si="329"/>
        <v>1</v>
      </c>
      <c r="F1349" s="761"/>
    </row>
    <row r="1350" spans="1:6" x14ac:dyDescent="0.2">
      <c r="A1350" s="762" t="e">
        <f ca="1">IF($H1350="UNIDADE CONSTRUTIVA",OFFSET(A1350,-1,0)+1,LARGE(A$3:A1349,1))</f>
        <v>#NUM!</v>
      </c>
      <c r="B1350" s="762">
        <f t="shared" ca="1" si="326"/>
        <v>21</v>
      </c>
      <c r="C1350" s="762">
        <f t="shared" ca="1" si="327"/>
        <v>1</v>
      </c>
      <c r="D1350" s="763">
        <f t="shared" ca="1" si="328"/>
        <v>1</v>
      </c>
      <c r="E1350" s="763">
        <f t="shared" ca="1" si="329"/>
        <v>1</v>
      </c>
      <c r="F1350" s="761"/>
    </row>
    <row r="1351" spans="1:6" x14ac:dyDescent="0.2">
      <c r="A1351" s="762" t="e">
        <f ca="1">IF($H1351="UNIDADE CONSTRUTIVA",OFFSET(A1351,-1,0)+1,LARGE(A$3:A1350,1))</f>
        <v>#NUM!</v>
      </c>
      <c r="B1351" s="762">
        <f t="shared" ca="1" si="326"/>
        <v>21</v>
      </c>
      <c r="C1351" s="762">
        <f t="shared" ca="1" si="327"/>
        <v>1</v>
      </c>
      <c r="D1351" s="763">
        <f t="shared" ca="1" si="328"/>
        <v>1</v>
      </c>
      <c r="E1351" s="763">
        <f t="shared" ca="1" si="329"/>
        <v>1</v>
      </c>
      <c r="F1351" s="761"/>
    </row>
    <row r="1352" spans="1:6" x14ac:dyDescent="0.2">
      <c r="A1352" s="762" t="e">
        <f ca="1">IF($H1352="UNIDADE CONSTRUTIVA",OFFSET(A1352,-1,0)+1,LARGE(A$3:A1351,1))</f>
        <v>#NUM!</v>
      </c>
      <c r="B1352" s="762">
        <f t="shared" ca="1" si="326"/>
        <v>21</v>
      </c>
      <c r="C1352" s="762">
        <f t="shared" ca="1" si="327"/>
        <v>1</v>
      </c>
      <c r="D1352" s="763">
        <f t="shared" ca="1" si="328"/>
        <v>1</v>
      </c>
      <c r="E1352" s="763">
        <f t="shared" ca="1" si="329"/>
        <v>1</v>
      </c>
      <c r="F1352" s="761"/>
    </row>
    <row r="1353" spans="1:6" x14ac:dyDescent="0.2">
      <c r="A1353" s="762" t="e">
        <f ca="1">IF($H1353="UNIDADE CONSTRUTIVA",OFFSET(A1353,-1,0)+1,LARGE(A$3:A1352,1))</f>
        <v>#NUM!</v>
      </c>
      <c r="B1353" s="762">
        <f t="shared" ca="1" si="326"/>
        <v>21</v>
      </c>
      <c r="C1353" s="762">
        <f t="shared" ca="1" si="327"/>
        <v>1</v>
      </c>
      <c r="D1353" s="763">
        <f t="shared" ca="1" si="328"/>
        <v>1</v>
      </c>
      <c r="E1353" s="763">
        <f t="shared" ca="1" si="329"/>
        <v>1</v>
      </c>
      <c r="F1353" s="761"/>
    </row>
    <row r="1354" spans="1:6" x14ac:dyDescent="0.2">
      <c r="A1354" s="762" t="e">
        <f ca="1">IF($H1354="UNIDADE CONSTRUTIVA",OFFSET(A1354,-1,0)+1,LARGE(A$3:A1353,1))</f>
        <v>#NUM!</v>
      </c>
      <c r="B1354" s="762">
        <f t="shared" ca="1" si="326"/>
        <v>21</v>
      </c>
      <c r="C1354" s="762">
        <f t="shared" ca="1" si="327"/>
        <v>1</v>
      </c>
      <c r="D1354" s="763">
        <f t="shared" ca="1" si="328"/>
        <v>1</v>
      </c>
      <c r="E1354" s="763">
        <f t="shared" ca="1" si="329"/>
        <v>1</v>
      </c>
      <c r="F1354" s="761"/>
    </row>
    <row r="1355" spans="1:6" x14ac:dyDescent="0.2">
      <c r="A1355" s="762" t="e">
        <f ca="1">IF($H1355="UNIDADE CONSTRUTIVA",OFFSET(A1355,-1,0)+1,LARGE(A$3:A1354,1))</f>
        <v>#NUM!</v>
      </c>
      <c r="B1355" s="762">
        <f t="shared" ca="1" si="326"/>
        <v>21</v>
      </c>
      <c r="C1355" s="762">
        <f t="shared" ca="1" si="327"/>
        <v>1</v>
      </c>
      <c r="D1355" s="763">
        <f t="shared" ca="1" si="328"/>
        <v>1</v>
      </c>
      <c r="E1355" s="763">
        <f t="shared" ca="1" si="329"/>
        <v>1</v>
      </c>
      <c r="F1355" s="761"/>
    </row>
    <row r="1356" spans="1:6" x14ac:dyDescent="0.2">
      <c r="A1356" s="762" t="e">
        <f ca="1">IF($H1356="UNIDADE CONSTRUTIVA",OFFSET(A1356,-1,0)+1,LARGE(A$3:A1355,1))</f>
        <v>#NUM!</v>
      </c>
      <c r="B1356" s="762">
        <f t="shared" ca="1" si="326"/>
        <v>21</v>
      </c>
      <c r="C1356" s="762">
        <f t="shared" ca="1" si="327"/>
        <v>1</v>
      </c>
      <c r="D1356" s="763">
        <f t="shared" ca="1" si="328"/>
        <v>1</v>
      </c>
      <c r="E1356" s="763">
        <f t="shared" ca="1" si="329"/>
        <v>1</v>
      </c>
      <c r="F1356" s="761"/>
    </row>
    <row r="1357" spans="1:6" x14ac:dyDescent="0.2">
      <c r="A1357" s="762" t="e">
        <f ca="1">IF($H1357="UNIDADE CONSTRUTIVA",OFFSET(A1357,-1,0)+1,LARGE(A$3:A1356,1))</f>
        <v>#NUM!</v>
      </c>
      <c r="B1357" s="762">
        <f t="shared" ca="1" si="326"/>
        <v>21</v>
      </c>
      <c r="C1357" s="762">
        <f t="shared" ca="1" si="327"/>
        <v>1</v>
      </c>
      <c r="D1357" s="763">
        <f t="shared" ca="1" si="328"/>
        <v>1</v>
      </c>
      <c r="E1357" s="763">
        <f t="shared" ca="1" si="329"/>
        <v>1</v>
      </c>
      <c r="F1357" s="761"/>
    </row>
    <row r="1358" spans="1:6" x14ac:dyDescent="0.2">
      <c r="A1358" s="762" t="e">
        <f ca="1">IF($H1358="UNIDADE CONSTRUTIVA",OFFSET(A1358,-1,0)+1,LARGE(A$3:A1357,1))</f>
        <v>#NUM!</v>
      </c>
      <c r="B1358" s="762">
        <f t="shared" ca="1" si="326"/>
        <v>21</v>
      </c>
      <c r="C1358" s="762">
        <f t="shared" ca="1" si="327"/>
        <v>1</v>
      </c>
      <c r="D1358" s="763">
        <f t="shared" ca="1" si="328"/>
        <v>1</v>
      </c>
      <c r="E1358" s="763">
        <f t="shared" ca="1" si="329"/>
        <v>1</v>
      </c>
      <c r="F1358" s="761"/>
    </row>
    <row r="1359" spans="1:6" x14ac:dyDescent="0.2">
      <c r="A1359" s="762" t="e">
        <f ca="1">IF($H1359="UNIDADE CONSTRUTIVA",OFFSET(A1359,-1,0)+1,LARGE(A$3:A1358,1))</f>
        <v>#NUM!</v>
      </c>
      <c r="B1359" s="762">
        <f t="shared" ca="1" si="326"/>
        <v>21</v>
      </c>
      <c r="C1359" s="762">
        <f t="shared" ca="1" si="327"/>
        <v>1</v>
      </c>
      <c r="D1359" s="763">
        <f t="shared" ca="1" si="328"/>
        <v>1</v>
      </c>
      <c r="E1359" s="763">
        <f t="shared" ca="1" si="329"/>
        <v>1</v>
      </c>
      <c r="F1359" s="761"/>
    </row>
    <row r="1360" spans="1:6" x14ac:dyDescent="0.2">
      <c r="A1360" s="762" t="e">
        <f ca="1">IF($H1360="UNIDADE CONSTRUTIVA",OFFSET(A1360,-1,0)+1,LARGE(A$3:A1359,1))</f>
        <v>#NUM!</v>
      </c>
      <c r="B1360" s="762">
        <f t="shared" ca="1" si="326"/>
        <v>21</v>
      </c>
      <c r="C1360" s="762">
        <f t="shared" ca="1" si="327"/>
        <v>1</v>
      </c>
      <c r="D1360" s="763">
        <f t="shared" ca="1" si="328"/>
        <v>1</v>
      </c>
      <c r="E1360" s="763">
        <f t="shared" ca="1" si="329"/>
        <v>1</v>
      </c>
      <c r="F1360" s="761"/>
    </row>
    <row r="1361" spans="1:6" x14ac:dyDescent="0.2">
      <c r="A1361" s="762" t="e">
        <f ca="1">IF($H1361="UNIDADE CONSTRUTIVA",OFFSET(A1361,-1,0)+1,LARGE(A$3:A1360,1))</f>
        <v>#NUM!</v>
      </c>
      <c r="B1361" s="762">
        <f t="shared" ca="1" si="326"/>
        <v>21</v>
      </c>
      <c r="C1361" s="762">
        <f t="shared" ca="1" si="327"/>
        <v>1</v>
      </c>
      <c r="D1361" s="763">
        <f t="shared" ca="1" si="328"/>
        <v>1</v>
      </c>
      <c r="E1361" s="763">
        <f t="shared" ca="1" si="329"/>
        <v>1</v>
      </c>
      <c r="F1361" s="761"/>
    </row>
    <row r="1362" spans="1:6" x14ac:dyDescent="0.2">
      <c r="A1362" s="762" t="e">
        <f ca="1">IF($H1362="UNIDADE CONSTRUTIVA",OFFSET(A1362,-1,0)+1,LARGE(A$3:A1361,1))</f>
        <v>#NUM!</v>
      </c>
      <c r="B1362" s="762">
        <f t="shared" ca="1" si="326"/>
        <v>21</v>
      </c>
      <c r="C1362" s="762">
        <f t="shared" ca="1" si="327"/>
        <v>1</v>
      </c>
      <c r="D1362" s="763">
        <f t="shared" ca="1" si="328"/>
        <v>1</v>
      </c>
      <c r="E1362" s="763">
        <f t="shared" ca="1" si="329"/>
        <v>1</v>
      </c>
      <c r="F1362" s="761"/>
    </row>
    <row r="1363" spans="1:6" x14ac:dyDescent="0.2">
      <c r="A1363" s="762" t="e">
        <f ca="1">IF($H1363="UNIDADE CONSTRUTIVA",OFFSET(A1363,-1,0)+1,LARGE(A$3:A1362,1))</f>
        <v>#NUM!</v>
      </c>
      <c r="B1363" s="762">
        <f t="shared" ca="1" si="326"/>
        <v>21</v>
      </c>
      <c r="C1363" s="762">
        <f t="shared" ca="1" si="327"/>
        <v>1</v>
      </c>
      <c r="D1363" s="763">
        <f t="shared" ca="1" si="328"/>
        <v>1</v>
      </c>
      <c r="E1363" s="763">
        <f t="shared" ca="1" si="329"/>
        <v>1</v>
      </c>
      <c r="F1363" s="761"/>
    </row>
    <row r="1364" spans="1:6" x14ac:dyDescent="0.2">
      <c r="A1364" s="762" t="e">
        <f ca="1">IF($H1364="UNIDADE CONSTRUTIVA",OFFSET(A1364,-1,0)+1,LARGE(A$3:A1363,1))</f>
        <v>#NUM!</v>
      </c>
      <c r="B1364" s="762">
        <f t="shared" ca="1" si="326"/>
        <v>21</v>
      </c>
      <c r="C1364" s="762">
        <f t="shared" ca="1" si="327"/>
        <v>1</v>
      </c>
      <c r="D1364" s="763">
        <f t="shared" ca="1" si="328"/>
        <v>1</v>
      </c>
      <c r="E1364" s="763">
        <f t="shared" ca="1" si="329"/>
        <v>1</v>
      </c>
      <c r="F1364" s="761"/>
    </row>
    <row r="1365" spans="1:6" x14ac:dyDescent="0.2">
      <c r="A1365" s="762" t="e">
        <f ca="1">IF($H1365="UNIDADE CONSTRUTIVA",OFFSET(A1365,-1,0)+1,LARGE(A$3:A1364,1))</f>
        <v>#NUM!</v>
      </c>
      <c r="B1365" s="762">
        <f t="shared" ca="1" si="326"/>
        <v>21</v>
      </c>
      <c r="C1365" s="762">
        <f t="shared" ca="1" si="327"/>
        <v>1</v>
      </c>
      <c r="D1365" s="763">
        <f t="shared" ca="1" si="328"/>
        <v>1</v>
      </c>
      <c r="E1365" s="763">
        <f t="shared" ca="1" si="329"/>
        <v>1</v>
      </c>
      <c r="F1365" s="761"/>
    </row>
    <row r="1366" spans="1:6" x14ac:dyDescent="0.2">
      <c r="A1366" s="762" t="e">
        <f ca="1">IF($H1366="UNIDADE CONSTRUTIVA",OFFSET(A1366,-1,0)+1,LARGE(A$3:A1365,1))</f>
        <v>#NUM!</v>
      </c>
      <c r="B1366" s="762">
        <f t="shared" ca="1" si="326"/>
        <v>21</v>
      </c>
      <c r="C1366" s="762">
        <f t="shared" ca="1" si="327"/>
        <v>1</v>
      </c>
      <c r="D1366" s="763">
        <f t="shared" ca="1" si="328"/>
        <v>1</v>
      </c>
      <c r="E1366" s="763">
        <f t="shared" ca="1" si="329"/>
        <v>1</v>
      </c>
      <c r="F1366" s="761"/>
    </row>
    <row r="1367" spans="1:6" x14ac:dyDescent="0.2">
      <c r="A1367" s="762" t="e">
        <f ca="1">IF($H1367="UNIDADE CONSTRUTIVA",OFFSET(A1367,-1,0)+1,LARGE(A$3:A1366,1))</f>
        <v>#NUM!</v>
      </c>
      <c r="B1367" s="762">
        <f t="shared" ca="1" si="326"/>
        <v>21</v>
      </c>
      <c r="C1367" s="762">
        <f t="shared" ca="1" si="327"/>
        <v>1</v>
      </c>
      <c r="D1367" s="763">
        <f t="shared" ca="1" si="328"/>
        <v>1</v>
      </c>
      <c r="E1367" s="763">
        <f t="shared" ca="1" si="329"/>
        <v>1</v>
      </c>
      <c r="F1367" s="761"/>
    </row>
    <row r="1368" spans="1:6" x14ac:dyDescent="0.2">
      <c r="A1368" s="762" t="e">
        <f ca="1">IF($H1368="UNIDADE CONSTRUTIVA",OFFSET(A1368,-1,0)+1,LARGE(A$3:A1367,1))</f>
        <v>#NUM!</v>
      </c>
      <c r="B1368" s="762">
        <f t="shared" ca="1" si="326"/>
        <v>21</v>
      </c>
      <c r="C1368" s="762">
        <f t="shared" ca="1" si="327"/>
        <v>1</v>
      </c>
      <c r="D1368" s="763">
        <f t="shared" ca="1" si="328"/>
        <v>1</v>
      </c>
      <c r="E1368" s="763">
        <f t="shared" ca="1" si="329"/>
        <v>1</v>
      </c>
      <c r="F1368" s="761"/>
    </row>
    <row r="1369" spans="1:6" x14ac:dyDescent="0.2">
      <c r="A1369" s="762" t="e">
        <f ca="1">IF($H1369="UNIDADE CONSTRUTIVA",OFFSET(A1369,-1,0)+1,LARGE(A$3:A1368,1))</f>
        <v>#NUM!</v>
      </c>
      <c r="B1369" s="762">
        <f t="shared" ca="1" si="326"/>
        <v>21</v>
      </c>
      <c r="C1369" s="762">
        <f t="shared" ca="1" si="327"/>
        <v>1</v>
      </c>
      <c r="D1369" s="763">
        <f t="shared" ca="1" si="328"/>
        <v>1</v>
      </c>
      <c r="E1369" s="763">
        <f t="shared" ca="1" si="329"/>
        <v>1</v>
      </c>
      <c r="F1369" s="761"/>
    </row>
    <row r="1370" spans="1:6" x14ac:dyDescent="0.2">
      <c r="A1370" s="762" t="e">
        <f ca="1">IF($H1370="UNIDADE CONSTRUTIVA",OFFSET(A1370,-1,0)+1,LARGE(A$3:A1369,1))</f>
        <v>#NUM!</v>
      </c>
      <c r="B1370" s="762">
        <f t="shared" ca="1" si="326"/>
        <v>21</v>
      </c>
      <c r="C1370" s="762">
        <f t="shared" ca="1" si="327"/>
        <v>1</v>
      </c>
      <c r="D1370" s="763">
        <f t="shared" ca="1" si="328"/>
        <v>1</v>
      </c>
      <c r="E1370" s="763">
        <f t="shared" ca="1" si="329"/>
        <v>1</v>
      </c>
      <c r="F1370" s="761"/>
    </row>
    <row r="1371" spans="1:6" x14ac:dyDescent="0.2">
      <c r="A1371" s="762" t="e">
        <f ca="1">IF($H1371="UNIDADE CONSTRUTIVA",OFFSET(A1371,-1,0)+1,LARGE(A$3:A1370,1))</f>
        <v>#NUM!</v>
      </c>
      <c r="B1371" s="762">
        <f t="shared" ca="1" si="326"/>
        <v>21</v>
      </c>
      <c r="C1371" s="762">
        <f t="shared" ca="1" si="327"/>
        <v>1</v>
      </c>
      <c r="D1371" s="763">
        <f t="shared" ca="1" si="328"/>
        <v>1</v>
      </c>
      <c r="E1371" s="763">
        <f t="shared" ca="1" si="329"/>
        <v>1</v>
      </c>
      <c r="F1371" s="761"/>
    </row>
    <row r="1372" spans="1:6" x14ac:dyDescent="0.2">
      <c r="A1372" s="762" t="e">
        <f ca="1">IF($H1372="UNIDADE CONSTRUTIVA",OFFSET(A1372,-1,0)+1,LARGE(A$3:A1371,1))</f>
        <v>#NUM!</v>
      </c>
      <c r="B1372" s="762">
        <f t="shared" ca="1" si="326"/>
        <v>21</v>
      </c>
      <c r="C1372" s="762">
        <f t="shared" ca="1" si="327"/>
        <v>1</v>
      </c>
      <c r="D1372" s="763">
        <f t="shared" ca="1" si="328"/>
        <v>1</v>
      </c>
      <c r="E1372" s="763">
        <f t="shared" ca="1" si="329"/>
        <v>1</v>
      </c>
      <c r="F1372" s="761"/>
    </row>
    <row r="1373" spans="1:6" x14ac:dyDescent="0.2">
      <c r="A1373" s="762" t="e">
        <f ca="1">IF($H1373="UNIDADE CONSTRUTIVA",OFFSET(A1373,-1,0)+1,LARGE(A$3:A1372,1))</f>
        <v>#NUM!</v>
      </c>
      <c r="B1373" s="762">
        <f t="shared" ca="1" si="326"/>
        <v>21</v>
      </c>
      <c r="C1373" s="762">
        <f t="shared" ca="1" si="327"/>
        <v>1</v>
      </c>
      <c r="D1373" s="763">
        <f t="shared" ca="1" si="328"/>
        <v>1</v>
      </c>
      <c r="E1373" s="763">
        <f t="shared" ca="1" si="329"/>
        <v>1</v>
      </c>
      <c r="F1373" s="761"/>
    </row>
    <row r="1374" spans="1:6" x14ac:dyDescent="0.2">
      <c r="A1374" s="762" t="e">
        <f ca="1">IF($H1374="UNIDADE CONSTRUTIVA",OFFSET(A1374,-1,0)+1,LARGE(A$3:A1373,1))</f>
        <v>#NUM!</v>
      </c>
      <c r="B1374" s="762">
        <f t="shared" ca="1" si="326"/>
        <v>21</v>
      </c>
      <c r="C1374" s="762">
        <f t="shared" ca="1" si="327"/>
        <v>1</v>
      </c>
      <c r="D1374" s="763">
        <f t="shared" ca="1" si="328"/>
        <v>1</v>
      </c>
      <c r="E1374" s="763">
        <f t="shared" ca="1" si="329"/>
        <v>1</v>
      </c>
      <c r="F1374" s="761"/>
    </row>
    <row r="1375" spans="1:6" x14ac:dyDescent="0.2">
      <c r="A1375" s="762" t="e">
        <f ca="1">IF($H1375="UNIDADE CONSTRUTIVA",OFFSET(A1375,-1,0)+1,LARGE(A$3:A1374,1))</f>
        <v>#NUM!</v>
      </c>
      <c r="B1375" s="762">
        <f t="shared" ca="1" si="326"/>
        <v>21</v>
      </c>
      <c r="C1375" s="762">
        <f t="shared" ca="1" si="327"/>
        <v>1</v>
      </c>
      <c r="D1375" s="763">
        <f t="shared" ca="1" si="328"/>
        <v>1</v>
      </c>
      <c r="E1375" s="763">
        <f t="shared" ca="1" si="329"/>
        <v>1</v>
      </c>
      <c r="F1375" s="761"/>
    </row>
    <row r="1376" spans="1:6" x14ac:dyDescent="0.2">
      <c r="A1376" s="762" t="e">
        <f ca="1">IF($H1376="UNIDADE CONSTRUTIVA",OFFSET(A1376,-1,0)+1,LARGE(A$3:A1375,1))</f>
        <v>#NUM!</v>
      </c>
      <c r="B1376" s="762">
        <f t="shared" ca="1" si="326"/>
        <v>21</v>
      </c>
      <c r="C1376" s="762">
        <f t="shared" ca="1" si="327"/>
        <v>1</v>
      </c>
      <c r="D1376" s="763">
        <f t="shared" ca="1" si="328"/>
        <v>1</v>
      </c>
      <c r="E1376" s="763">
        <f t="shared" ca="1" si="329"/>
        <v>1</v>
      </c>
      <c r="F1376" s="761"/>
    </row>
    <row r="1377" spans="1:6" x14ac:dyDescent="0.2">
      <c r="A1377" s="762" t="e">
        <f ca="1">IF($H1377="UNIDADE CONSTRUTIVA",OFFSET(A1377,-1,0)+1,LARGE(A$3:A1376,1))</f>
        <v>#NUM!</v>
      </c>
      <c r="B1377" s="762">
        <f t="shared" ca="1" si="326"/>
        <v>21</v>
      </c>
      <c r="C1377" s="762">
        <f t="shared" ca="1" si="327"/>
        <v>1</v>
      </c>
      <c r="D1377" s="763">
        <f t="shared" ca="1" si="328"/>
        <v>1</v>
      </c>
      <c r="E1377" s="763">
        <f t="shared" ca="1" si="329"/>
        <v>1</v>
      </c>
      <c r="F1377" s="761"/>
    </row>
    <row r="1378" spans="1:6" x14ac:dyDescent="0.2">
      <c r="A1378" s="762" t="e">
        <f ca="1">IF($H1378="UNIDADE CONSTRUTIVA",OFFSET(A1378,-1,0)+1,LARGE(A$3:A1377,1))</f>
        <v>#NUM!</v>
      </c>
      <c r="B1378" s="762">
        <f t="shared" ca="1" si="326"/>
        <v>21</v>
      </c>
      <c r="C1378" s="762">
        <f t="shared" ca="1" si="327"/>
        <v>1</v>
      </c>
      <c r="D1378" s="763">
        <f t="shared" ca="1" si="328"/>
        <v>1</v>
      </c>
      <c r="E1378" s="763">
        <f t="shared" ca="1" si="329"/>
        <v>1</v>
      </c>
      <c r="F1378" s="761"/>
    </row>
    <row r="1379" spans="1:6" x14ac:dyDescent="0.2">
      <c r="A1379" s="762" t="e">
        <f ca="1">IF($H1379="UNIDADE CONSTRUTIVA",OFFSET(A1379,-1,0)+1,LARGE(A$3:A1378,1))</f>
        <v>#NUM!</v>
      </c>
      <c r="B1379" s="762">
        <f t="shared" ca="1" si="326"/>
        <v>21</v>
      </c>
      <c r="C1379" s="762">
        <f t="shared" ca="1" si="327"/>
        <v>1</v>
      </c>
      <c r="D1379" s="763">
        <f t="shared" ca="1" si="328"/>
        <v>1</v>
      </c>
      <c r="E1379" s="763">
        <f t="shared" ca="1" si="329"/>
        <v>1</v>
      </c>
      <c r="F1379" s="761"/>
    </row>
    <row r="1380" spans="1:6" x14ac:dyDescent="0.2">
      <c r="A1380" s="762" t="e">
        <f ca="1">IF($H1380="UNIDADE CONSTRUTIVA",OFFSET(A1380,-1,0)+1,LARGE(A$3:A1379,1))</f>
        <v>#NUM!</v>
      </c>
      <c r="B1380" s="762">
        <f t="shared" ca="1" si="326"/>
        <v>21</v>
      </c>
      <c r="C1380" s="762">
        <f t="shared" ca="1" si="327"/>
        <v>1</v>
      </c>
      <c r="D1380" s="763">
        <f t="shared" ca="1" si="328"/>
        <v>1</v>
      </c>
      <c r="E1380" s="763">
        <f t="shared" ca="1" si="329"/>
        <v>1</v>
      </c>
      <c r="F1380" s="761"/>
    </row>
    <row r="1381" spans="1:6" x14ac:dyDescent="0.2">
      <c r="A1381" s="762" t="e">
        <f ca="1">IF($H1381="UNIDADE CONSTRUTIVA",OFFSET(A1381,-1,0)+1,LARGE(A$3:A1380,1))</f>
        <v>#NUM!</v>
      </c>
      <c r="B1381" s="762">
        <f t="shared" ca="1" si="326"/>
        <v>21</v>
      </c>
      <c r="C1381" s="762">
        <f t="shared" ca="1" si="327"/>
        <v>1</v>
      </c>
      <c r="D1381" s="763">
        <f t="shared" ca="1" si="328"/>
        <v>1</v>
      </c>
      <c r="E1381" s="763">
        <f t="shared" ca="1" si="329"/>
        <v>1</v>
      </c>
      <c r="F1381" s="761"/>
    </row>
    <row r="1382" spans="1:6" x14ac:dyDescent="0.2">
      <c r="A1382" s="762" t="e">
        <f ca="1">IF($H1382="UNIDADE CONSTRUTIVA",OFFSET(A1382,-1,0)+1,LARGE(A$3:A1381,1))</f>
        <v>#NUM!</v>
      </c>
      <c r="B1382" s="762">
        <f t="shared" ca="1" si="326"/>
        <v>21</v>
      </c>
      <c r="C1382" s="762">
        <f t="shared" ca="1" si="327"/>
        <v>1</v>
      </c>
      <c r="D1382" s="763">
        <f t="shared" ca="1" si="328"/>
        <v>1</v>
      </c>
      <c r="E1382" s="763">
        <f t="shared" ca="1" si="329"/>
        <v>1</v>
      </c>
      <c r="F1382" s="761"/>
    </row>
    <row r="1383" spans="1:6" x14ac:dyDescent="0.2">
      <c r="A1383" s="762" t="e">
        <f ca="1">IF($H1383="UNIDADE CONSTRUTIVA",OFFSET(A1383,-1,0)+1,LARGE(A$3:A1382,1))</f>
        <v>#NUM!</v>
      </c>
      <c r="B1383" s="762">
        <f t="shared" ca="1" si="326"/>
        <v>21</v>
      </c>
      <c r="C1383" s="762">
        <f t="shared" ca="1" si="327"/>
        <v>1</v>
      </c>
      <c r="D1383" s="763">
        <f t="shared" ca="1" si="328"/>
        <v>1</v>
      </c>
      <c r="E1383" s="763">
        <f t="shared" ca="1" si="329"/>
        <v>1</v>
      </c>
      <c r="F1383" s="761"/>
    </row>
    <row r="1384" spans="1:6" x14ac:dyDescent="0.2">
      <c r="A1384" s="762" t="e">
        <f ca="1">IF($H1384="UNIDADE CONSTRUTIVA",OFFSET(A1384,-1,0)+1,LARGE(A$3:A1383,1))</f>
        <v>#NUM!</v>
      </c>
      <c r="B1384" s="762">
        <f t="shared" ca="1" si="326"/>
        <v>21</v>
      </c>
      <c r="C1384" s="762">
        <f t="shared" ca="1" si="327"/>
        <v>1</v>
      </c>
      <c r="D1384" s="763">
        <f t="shared" ca="1" si="328"/>
        <v>1</v>
      </c>
      <c r="E1384" s="763">
        <f t="shared" ca="1" si="329"/>
        <v>1</v>
      </c>
      <c r="F1384" s="761"/>
    </row>
    <row r="1385" spans="1:6" x14ac:dyDescent="0.2">
      <c r="A1385" s="762" t="e">
        <f ca="1">IF($H1385="UNIDADE CONSTRUTIVA",OFFSET(A1385,-1,0)+1,LARGE(A$3:A1384,1))</f>
        <v>#NUM!</v>
      </c>
      <c r="B1385" s="762">
        <f t="shared" ca="1" si="326"/>
        <v>21</v>
      </c>
      <c r="C1385" s="762">
        <f t="shared" ca="1" si="327"/>
        <v>1</v>
      </c>
      <c r="D1385" s="763">
        <f t="shared" ca="1" si="328"/>
        <v>1</v>
      </c>
      <c r="E1385" s="763">
        <f t="shared" ca="1" si="329"/>
        <v>1</v>
      </c>
      <c r="F1385" s="761"/>
    </row>
    <row r="1386" spans="1:6" x14ac:dyDescent="0.2">
      <c r="A1386" s="762" t="e">
        <f ca="1">IF($H1386="UNIDADE CONSTRUTIVA",OFFSET(A1386,-1,0)+1,LARGE(A$3:A1385,1))</f>
        <v>#NUM!</v>
      </c>
      <c r="B1386" s="762">
        <f t="shared" ca="1" si="326"/>
        <v>21</v>
      </c>
      <c r="C1386" s="762">
        <f t="shared" ca="1" si="327"/>
        <v>1</v>
      </c>
      <c r="D1386" s="763">
        <f t="shared" ca="1" si="328"/>
        <v>1</v>
      </c>
      <c r="E1386" s="763">
        <f t="shared" ca="1" si="329"/>
        <v>1</v>
      </c>
      <c r="F1386" s="761"/>
    </row>
    <row r="1387" spans="1:6" x14ac:dyDescent="0.2">
      <c r="A1387" s="762" t="e">
        <f ca="1">IF($H1387="UNIDADE CONSTRUTIVA",OFFSET(A1387,-1,0)+1,LARGE(A$3:A1386,1))</f>
        <v>#NUM!</v>
      </c>
      <c r="B1387" s="762">
        <f t="shared" ca="1" si="326"/>
        <v>21</v>
      </c>
      <c r="C1387" s="762">
        <f t="shared" ca="1" si="327"/>
        <v>1</v>
      </c>
      <c r="D1387" s="763">
        <f t="shared" ca="1" si="328"/>
        <v>1</v>
      </c>
      <c r="E1387" s="763">
        <f t="shared" ca="1" si="329"/>
        <v>1</v>
      </c>
      <c r="F1387" s="761"/>
    </row>
    <row r="1388" spans="1:6" x14ac:dyDescent="0.2">
      <c r="A1388" s="762" t="e">
        <f ca="1">IF($H1388="UNIDADE CONSTRUTIVA",OFFSET(A1388,-1,0)+1,LARGE(A$3:A1387,1))</f>
        <v>#NUM!</v>
      </c>
      <c r="B1388" s="762">
        <f t="shared" ca="1" si="326"/>
        <v>21</v>
      </c>
      <c r="C1388" s="762">
        <f t="shared" ca="1" si="327"/>
        <v>1</v>
      </c>
      <c r="D1388" s="763">
        <f t="shared" ca="1" si="328"/>
        <v>1</v>
      </c>
      <c r="E1388" s="763">
        <f t="shared" ca="1" si="329"/>
        <v>1</v>
      </c>
      <c r="F1388" s="761"/>
    </row>
    <row r="1389" spans="1:6" x14ac:dyDescent="0.2">
      <c r="A1389" s="762" t="e">
        <f ca="1">IF($H1389="UNIDADE CONSTRUTIVA",OFFSET(A1389,-1,0)+1,LARGE(A$3:A1388,1))</f>
        <v>#NUM!</v>
      </c>
      <c r="B1389" s="762">
        <f t="shared" ca="1" si="326"/>
        <v>21</v>
      </c>
      <c r="C1389" s="762">
        <f t="shared" ca="1" si="327"/>
        <v>1</v>
      </c>
      <c r="D1389" s="763">
        <f t="shared" ca="1" si="328"/>
        <v>1</v>
      </c>
      <c r="E1389" s="763">
        <f t="shared" ca="1" si="329"/>
        <v>1</v>
      </c>
      <c r="F1389" s="761"/>
    </row>
    <row r="1390" spans="1:6" x14ac:dyDescent="0.2">
      <c r="A1390" s="762" t="e">
        <f ca="1">IF($H1390="UNIDADE CONSTRUTIVA",OFFSET(A1390,-1,0)+1,LARGE(A$3:A1389,1))</f>
        <v>#NUM!</v>
      </c>
      <c r="B1390" s="762">
        <f t="shared" ca="1" si="326"/>
        <v>21</v>
      </c>
      <c r="C1390" s="762">
        <f t="shared" ca="1" si="327"/>
        <v>1</v>
      </c>
      <c r="D1390" s="763">
        <f t="shared" ca="1" si="328"/>
        <v>1</v>
      </c>
      <c r="E1390" s="763">
        <f t="shared" ca="1" si="329"/>
        <v>1</v>
      </c>
      <c r="F1390" s="761"/>
    </row>
    <row r="1391" spans="1:6" x14ac:dyDescent="0.2">
      <c r="A1391" s="762" t="e">
        <f ca="1">IF($H1391="UNIDADE CONSTRUTIVA",OFFSET(A1391,-1,0)+1,LARGE(A$3:A1390,1))</f>
        <v>#NUM!</v>
      </c>
      <c r="B1391" s="762">
        <f t="shared" ca="1" si="326"/>
        <v>21</v>
      </c>
      <c r="C1391" s="762">
        <f t="shared" ca="1" si="327"/>
        <v>1</v>
      </c>
      <c r="D1391" s="763">
        <f t="shared" ca="1" si="328"/>
        <v>1</v>
      </c>
      <c r="E1391" s="763">
        <f t="shared" ca="1" si="329"/>
        <v>1</v>
      </c>
      <c r="F1391" s="761"/>
    </row>
    <row r="1392" spans="1:6" x14ac:dyDescent="0.2">
      <c r="A1392" s="762" t="e">
        <f ca="1">IF($H1392="UNIDADE CONSTRUTIVA",OFFSET(A1392,-1,0)+1,LARGE(A$3:A1391,1))</f>
        <v>#NUM!</v>
      </c>
      <c r="B1392" s="762">
        <f t="shared" ca="1" si="326"/>
        <v>21</v>
      </c>
      <c r="C1392" s="762">
        <f t="shared" ca="1" si="327"/>
        <v>1</v>
      </c>
      <c r="D1392" s="763">
        <f t="shared" ca="1" si="328"/>
        <v>1</v>
      </c>
      <c r="E1392" s="763">
        <f t="shared" ca="1" si="329"/>
        <v>1</v>
      </c>
      <c r="F1392" s="761"/>
    </row>
    <row r="1393" spans="1:6" x14ac:dyDescent="0.2">
      <c r="A1393" s="762" t="e">
        <f ca="1">IF($H1393="UNIDADE CONSTRUTIVA",OFFSET(A1393,-1,0)+1,LARGE(A$3:A1392,1))</f>
        <v>#NUM!</v>
      </c>
      <c r="B1393" s="762">
        <f t="shared" ca="1" si="326"/>
        <v>21</v>
      </c>
      <c r="C1393" s="762">
        <f t="shared" ca="1" si="327"/>
        <v>1</v>
      </c>
      <c r="D1393" s="763">
        <f t="shared" ca="1" si="328"/>
        <v>1</v>
      </c>
      <c r="E1393" s="763">
        <f t="shared" ca="1" si="329"/>
        <v>1</v>
      </c>
      <c r="F1393" s="761"/>
    </row>
    <row r="1394" spans="1:6" x14ac:dyDescent="0.2">
      <c r="A1394" s="762" t="e">
        <f ca="1">IF($H1394="UNIDADE CONSTRUTIVA",OFFSET(A1394,-1,0)+1,LARGE(A$3:A1393,1))</f>
        <v>#NUM!</v>
      </c>
      <c r="B1394" s="762">
        <f t="shared" ref="B1394:B1457" ca="1" si="330">IF(H1394="UNIDADE CONSTRUTIVA",0,IF(H1394="CÉLULA CONSTRUTIVA",OFFSET(B1394,-1,0)+1,OFFSET(B1394,-1,0)))</f>
        <v>21</v>
      </c>
      <c r="C1394" s="762">
        <f t="shared" ref="C1394:C1457" ca="1" si="331">IF(H1394="CÉLULA CONSTRUTIVA",0,IF(H1394="ETAPA",OFFSET(C1394,-1,0)+1,OFFSET(C1394,-1,0)))</f>
        <v>1</v>
      </c>
      <c r="D1394" s="763">
        <f t="shared" ref="D1394:D1457" ca="1" si="332">IF(H1394="ETAPA",0,IF(H1394="SUBETAPA",OFFSET(D1394,-1,0)+1,OFFSET(D1394,-1,0)))</f>
        <v>1</v>
      </c>
      <c r="E1394" s="763">
        <f t="shared" ref="E1394:E1457" ca="1" si="333">IF(H1394="Subetapa",0,IF(H1394="serviço",OFFSET(E1394,-1,0)+1,OFFSET(E1394,-1,0)))</f>
        <v>1</v>
      </c>
      <c r="F1394" s="761"/>
    </row>
    <row r="1395" spans="1:6" x14ac:dyDescent="0.2">
      <c r="A1395" s="762" t="e">
        <f ca="1">IF($H1395="UNIDADE CONSTRUTIVA",OFFSET(A1395,-1,0)+1,LARGE(A$3:A1394,1))</f>
        <v>#NUM!</v>
      </c>
      <c r="B1395" s="762">
        <f t="shared" ca="1" si="330"/>
        <v>21</v>
      </c>
      <c r="C1395" s="762">
        <f t="shared" ca="1" si="331"/>
        <v>1</v>
      </c>
      <c r="D1395" s="763">
        <f t="shared" ca="1" si="332"/>
        <v>1</v>
      </c>
      <c r="E1395" s="763">
        <f t="shared" ca="1" si="333"/>
        <v>1</v>
      </c>
      <c r="F1395" s="761"/>
    </row>
    <row r="1396" spans="1:6" x14ac:dyDescent="0.2">
      <c r="A1396" s="762" t="e">
        <f ca="1">IF($H1396="UNIDADE CONSTRUTIVA",OFFSET(A1396,-1,0)+1,LARGE(A$3:A1395,1))</f>
        <v>#NUM!</v>
      </c>
      <c r="B1396" s="762">
        <f t="shared" ca="1" si="330"/>
        <v>21</v>
      </c>
      <c r="C1396" s="762">
        <f t="shared" ca="1" si="331"/>
        <v>1</v>
      </c>
      <c r="D1396" s="763">
        <f t="shared" ca="1" si="332"/>
        <v>1</v>
      </c>
      <c r="E1396" s="763">
        <f t="shared" ca="1" si="333"/>
        <v>1</v>
      </c>
      <c r="F1396" s="761"/>
    </row>
    <row r="1397" spans="1:6" x14ac:dyDescent="0.2">
      <c r="A1397" s="762" t="e">
        <f ca="1">IF($H1397="UNIDADE CONSTRUTIVA",OFFSET(A1397,-1,0)+1,LARGE(A$3:A1396,1))</f>
        <v>#NUM!</v>
      </c>
      <c r="B1397" s="762">
        <f t="shared" ca="1" si="330"/>
        <v>21</v>
      </c>
      <c r="C1397" s="762">
        <f t="shared" ca="1" si="331"/>
        <v>1</v>
      </c>
      <c r="D1397" s="763">
        <f t="shared" ca="1" si="332"/>
        <v>1</v>
      </c>
      <c r="E1397" s="763">
        <f t="shared" ca="1" si="333"/>
        <v>1</v>
      </c>
      <c r="F1397" s="761"/>
    </row>
    <row r="1398" spans="1:6" x14ac:dyDescent="0.2">
      <c r="A1398" s="762" t="e">
        <f ca="1">IF($H1398="UNIDADE CONSTRUTIVA",OFFSET(A1398,-1,0)+1,LARGE(A$3:A1397,1))</f>
        <v>#NUM!</v>
      </c>
      <c r="B1398" s="762">
        <f t="shared" ca="1" si="330"/>
        <v>21</v>
      </c>
      <c r="C1398" s="762">
        <f t="shared" ca="1" si="331"/>
        <v>1</v>
      </c>
      <c r="D1398" s="763">
        <f t="shared" ca="1" si="332"/>
        <v>1</v>
      </c>
      <c r="E1398" s="763">
        <f t="shared" ca="1" si="333"/>
        <v>1</v>
      </c>
      <c r="F1398" s="761"/>
    </row>
    <row r="1399" spans="1:6" x14ac:dyDescent="0.2">
      <c r="A1399" s="762" t="e">
        <f ca="1">IF($H1399="UNIDADE CONSTRUTIVA",OFFSET(A1399,-1,0)+1,LARGE(A$3:A1398,1))</f>
        <v>#NUM!</v>
      </c>
      <c r="B1399" s="762">
        <f t="shared" ca="1" si="330"/>
        <v>21</v>
      </c>
      <c r="C1399" s="762">
        <f t="shared" ca="1" si="331"/>
        <v>1</v>
      </c>
      <c r="D1399" s="763">
        <f t="shared" ca="1" si="332"/>
        <v>1</v>
      </c>
      <c r="E1399" s="763">
        <f t="shared" ca="1" si="333"/>
        <v>1</v>
      </c>
      <c r="F1399" s="761"/>
    </row>
    <row r="1400" spans="1:6" x14ac:dyDescent="0.2">
      <c r="A1400" s="762" t="e">
        <f ca="1">IF($H1400="UNIDADE CONSTRUTIVA",OFFSET(A1400,-1,0)+1,LARGE(A$3:A1399,1))</f>
        <v>#NUM!</v>
      </c>
      <c r="B1400" s="762">
        <f t="shared" ca="1" si="330"/>
        <v>21</v>
      </c>
      <c r="C1400" s="762">
        <f t="shared" ca="1" si="331"/>
        <v>1</v>
      </c>
      <c r="D1400" s="763">
        <f t="shared" ca="1" si="332"/>
        <v>1</v>
      </c>
      <c r="E1400" s="763">
        <f t="shared" ca="1" si="333"/>
        <v>1</v>
      </c>
      <c r="F1400" s="761"/>
    </row>
    <row r="1401" spans="1:6" x14ac:dyDescent="0.2">
      <c r="A1401" s="762" t="e">
        <f ca="1">IF($H1401="UNIDADE CONSTRUTIVA",OFFSET(A1401,-1,0)+1,LARGE(A$3:A1400,1))</f>
        <v>#NUM!</v>
      </c>
      <c r="B1401" s="762">
        <f t="shared" ca="1" si="330"/>
        <v>21</v>
      </c>
      <c r="C1401" s="762">
        <f t="shared" ca="1" si="331"/>
        <v>1</v>
      </c>
      <c r="D1401" s="763">
        <f t="shared" ca="1" si="332"/>
        <v>1</v>
      </c>
      <c r="E1401" s="763">
        <f t="shared" ca="1" si="333"/>
        <v>1</v>
      </c>
      <c r="F1401" s="761"/>
    </row>
    <row r="1402" spans="1:6" x14ac:dyDescent="0.2">
      <c r="A1402" s="762" t="e">
        <f ca="1">IF($H1402="UNIDADE CONSTRUTIVA",OFFSET(A1402,-1,0)+1,LARGE(A$3:A1401,1))</f>
        <v>#NUM!</v>
      </c>
      <c r="B1402" s="762">
        <f t="shared" ca="1" si="330"/>
        <v>21</v>
      </c>
      <c r="C1402" s="762">
        <f t="shared" ca="1" si="331"/>
        <v>1</v>
      </c>
      <c r="D1402" s="763">
        <f t="shared" ca="1" si="332"/>
        <v>1</v>
      </c>
      <c r="E1402" s="763">
        <f t="shared" ca="1" si="333"/>
        <v>1</v>
      </c>
      <c r="F1402" s="761"/>
    </row>
    <row r="1403" spans="1:6" x14ac:dyDescent="0.2">
      <c r="A1403" s="762" t="e">
        <f ca="1">IF($H1403="UNIDADE CONSTRUTIVA",OFFSET(A1403,-1,0)+1,LARGE(A$3:A1402,1))</f>
        <v>#NUM!</v>
      </c>
      <c r="B1403" s="762">
        <f t="shared" ca="1" si="330"/>
        <v>21</v>
      </c>
      <c r="C1403" s="762">
        <f t="shared" ca="1" si="331"/>
        <v>1</v>
      </c>
      <c r="D1403" s="763">
        <f t="shared" ca="1" si="332"/>
        <v>1</v>
      </c>
      <c r="E1403" s="763">
        <f t="shared" ca="1" si="333"/>
        <v>1</v>
      </c>
      <c r="F1403" s="761"/>
    </row>
    <row r="1404" spans="1:6" x14ac:dyDescent="0.2">
      <c r="A1404" s="762" t="e">
        <f ca="1">IF($H1404="UNIDADE CONSTRUTIVA",OFFSET(A1404,-1,0)+1,LARGE(A$3:A1403,1))</f>
        <v>#NUM!</v>
      </c>
      <c r="B1404" s="762">
        <f t="shared" ca="1" si="330"/>
        <v>21</v>
      </c>
      <c r="C1404" s="762">
        <f t="shared" ca="1" si="331"/>
        <v>1</v>
      </c>
      <c r="D1404" s="763">
        <f t="shared" ca="1" si="332"/>
        <v>1</v>
      </c>
      <c r="E1404" s="763">
        <f t="shared" ca="1" si="333"/>
        <v>1</v>
      </c>
      <c r="F1404" s="761"/>
    </row>
    <row r="1405" spans="1:6" x14ac:dyDescent="0.2">
      <c r="A1405" s="762" t="e">
        <f ca="1">IF($H1405="UNIDADE CONSTRUTIVA",OFFSET(A1405,-1,0)+1,LARGE(A$3:A1404,1))</f>
        <v>#NUM!</v>
      </c>
      <c r="B1405" s="762">
        <f t="shared" ca="1" si="330"/>
        <v>21</v>
      </c>
      <c r="C1405" s="762">
        <f t="shared" ca="1" si="331"/>
        <v>1</v>
      </c>
      <c r="D1405" s="763">
        <f t="shared" ca="1" si="332"/>
        <v>1</v>
      </c>
      <c r="E1405" s="763">
        <f t="shared" ca="1" si="333"/>
        <v>1</v>
      </c>
      <c r="F1405" s="761"/>
    </row>
    <row r="1406" spans="1:6" x14ac:dyDescent="0.2">
      <c r="A1406" s="762" t="e">
        <f ca="1">IF($H1406="UNIDADE CONSTRUTIVA",OFFSET(A1406,-1,0)+1,LARGE(A$3:A1405,1))</f>
        <v>#NUM!</v>
      </c>
      <c r="B1406" s="762">
        <f t="shared" ca="1" si="330"/>
        <v>21</v>
      </c>
      <c r="C1406" s="762">
        <f t="shared" ca="1" si="331"/>
        <v>1</v>
      </c>
      <c r="D1406" s="763">
        <f t="shared" ca="1" si="332"/>
        <v>1</v>
      </c>
      <c r="E1406" s="763">
        <f t="shared" ca="1" si="333"/>
        <v>1</v>
      </c>
      <c r="F1406" s="761"/>
    </row>
    <row r="1407" spans="1:6" x14ac:dyDescent="0.2">
      <c r="A1407" s="762" t="e">
        <f ca="1">IF($H1407="UNIDADE CONSTRUTIVA",OFFSET(A1407,-1,0)+1,LARGE(A$3:A1406,1))</f>
        <v>#NUM!</v>
      </c>
      <c r="B1407" s="762">
        <f t="shared" ca="1" si="330"/>
        <v>21</v>
      </c>
      <c r="C1407" s="762">
        <f t="shared" ca="1" si="331"/>
        <v>1</v>
      </c>
      <c r="D1407" s="763">
        <f t="shared" ca="1" si="332"/>
        <v>1</v>
      </c>
      <c r="E1407" s="763">
        <f t="shared" ca="1" si="333"/>
        <v>1</v>
      </c>
      <c r="F1407" s="761"/>
    </row>
    <row r="1408" spans="1:6" x14ac:dyDescent="0.2">
      <c r="A1408" s="762" t="e">
        <f ca="1">IF($H1408="UNIDADE CONSTRUTIVA",OFFSET(A1408,-1,0)+1,LARGE(A$3:A1407,1))</f>
        <v>#NUM!</v>
      </c>
      <c r="B1408" s="762">
        <f t="shared" ca="1" si="330"/>
        <v>21</v>
      </c>
      <c r="C1408" s="762">
        <f t="shared" ca="1" si="331"/>
        <v>1</v>
      </c>
      <c r="D1408" s="763">
        <f t="shared" ca="1" si="332"/>
        <v>1</v>
      </c>
      <c r="E1408" s="763">
        <f t="shared" ca="1" si="333"/>
        <v>1</v>
      </c>
      <c r="F1408" s="761"/>
    </row>
    <row r="1409" spans="1:6" x14ac:dyDescent="0.2">
      <c r="A1409" s="762" t="e">
        <f ca="1">IF($H1409="UNIDADE CONSTRUTIVA",OFFSET(A1409,-1,0)+1,LARGE(A$3:A1408,1))</f>
        <v>#NUM!</v>
      </c>
      <c r="B1409" s="762">
        <f t="shared" ca="1" si="330"/>
        <v>21</v>
      </c>
      <c r="C1409" s="762">
        <f t="shared" ca="1" si="331"/>
        <v>1</v>
      </c>
      <c r="D1409" s="763">
        <f t="shared" ca="1" si="332"/>
        <v>1</v>
      </c>
      <c r="E1409" s="763">
        <f t="shared" ca="1" si="333"/>
        <v>1</v>
      </c>
      <c r="F1409" s="761"/>
    </row>
    <row r="1410" spans="1:6" x14ac:dyDescent="0.2">
      <c r="A1410" s="762" t="e">
        <f ca="1">IF($H1410="UNIDADE CONSTRUTIVA",OFFSET(A1410,-1,0)+1,LARGE(A$3:A1409,1))</f>
        <v>#NUM!</v>
      </c>
      <c r="B1410" s="762">
        <f t="shared" ca="1" si="330"/>
        <v>21</v>
      </c>
      <c r="C1410" s="762">
        <f t="shared" ca="1" si="331"/>
        <v>1</v>
      </c>
      <c r="D1410" s="763">
        <f t="shared" ca="1" si="332"/>
        <v>1</v>
      </c>
      <c r="E1410" s="763">
        <f t="shared" ca="1" si="333"/>
        <v>1</v>
      </c>
      <c r="F1410" s="761"/>
    </row>
    <row r="1411" spans="1:6" x14ac:dyDescent="0.2">
      <c r="A1411" s="762" t="e">
        <f ca="1">IF($H1411="UNIDADE CONSTRUTIVA",OFFSET(A1411,-1,0)+1,LARGE(A$3:A1410,1))</f>
        <v>#NUM!</v>
      </c>
      <c r="B1411" s="762">
        <f t="shared" ca="1" si="330"/>
        <v>21</v>
      </c>
      <c r="C1411" s="762">
        <f t="shared" ca="1" si="331"/>
        <v>1</v>
      </c>
      <c r="D1411" s="763">
        <f t="shared" ca="1" si="332"/>
        <v>1</v>
      </c>
      <c r="E1411" s="763">
        <f t="shared" ca="1" si="333"/>
        <v>1</v>
      </c>
      <c r="F1411" s="761"/>
    </row>
    <row r="1412" spans="1:6" x14ac:dyDescent="0.2">
      <c r="A1412" s="762" t="e">
        <f ca="1">IF($H1412="UNIDADE CONSTRUTIVA",OFFSET(A1412,-1,0)+1,LARGE(A$3:A1411,1))</f>
        <v>#NUM!</v>
      </c>
      <c r="B1412" s="762">
        <f t="shared" ca="1" si="330"/>
        <v>21</v>
      </c>
      <c r="C1412" s="762">
        <f t="shared" ca="1" si="331"/>
        <v>1</v>
      </c>
      <c r="D1412" s="763">
        <f t="shared" ca="1" si="332"/>
        <v>1</v>
      </c>
      <c r="E1412" s="763">
        <f t="shared" ca="1" si="333"/>
        <v>1</v>
      </c>
      <c r="F1412" s="761"/>
    </row>
    <row r="1413" spans="1:6" x14ac:dyDescent="0.2">
      <c r="A1413" s="762" t="e">
        <f ca="1">IF($H1413="UNIDADE CONSTRUTIVA",OFFSET(A1413,-1,0)+1,LARGE(A$3:A1412,1))</f>
        <v>#NUM!</v>
      </c>
      <c r="B1413" s="762">
        <f t="shared" ca="1" si="330"/>
        <v>21</v>
      </c>
      <c r="C1413" s="762">
        <f t="shared" ca="1" si="331"/>
        <v>1</v>
      </c>
      <c r="D1413" s="763">
        <f t="shared" ca="1" si="332"/>
        <v>1</v>
      </c>
      <c r="E1413" s="763">
        <f t="shared" ca="1" si="333"/>
        <v>1</v>
      </c>
      <c r="F1413" s="761"/>
    </row>
    <row r="1414" spans="1:6" x14ac:dyDescent="0.2">
      <c r="A1414" s="762" t="e">
        <f ca="1">IF($H1414="UNIDADE CONSTRUTIVA",OFFSET(A1414,-1,0)+1,LARGE(A$3:A1413,1))</f>
        <v>#NUM!</v>
      </c>
      <c r="B1414" s="762">
        <f t="shared" ca="1" si="330"/>
        <v>21</v>
      </c>
      <c r="C1414" s="762">
        <f t="shared" ca="1" si="331"/>
        <v>1</v>
      </c>
      <c r="D1414" s="763">
        <f t="shared" ca="1" si="332"/>
        <v>1</v>
      </c>
      <c r="E1414" s="763">
        <f t="shared" ca="1" si="333"/>
        <v>1</v>
      </c>
      <c r="F1414" s="761"/>
    </row>
    <row r="1415" spans="1:6" x14ac:dyDescent="0.2">
      <c r="A1415" s="762" t="e">
        <f ca="1">IF($H1415="UNIDADE CONSTRUTIVA",OFFSET(A1415,-1,0)+1,LARGE(A$3:A1414,1))</f>
        <v>#NUM!</v>
      </c>
      <c r="B1415" s="762">
        <f t="shared" ca="1" si="330"/>
        <v>21</v>
      </c>
      <c r="C1415" s="762">
        <f t="shared" ca="1" si="331"/>
        <v>1</v>
      </c>
      <c r="D1415" s="763">
        <f t="shared" ca="1" si="332"/>
        <v>1</v>
      </c>
      <c r="E1415" s="763">
        <f t="shared" ca="1" si="333"/>
        <v>1</v>
      </c>
      <c r="F1415" s="761"/>
    </row>
    <row r="1416" spans="1:6" x14ac:dyDescent="0.2">
      <c r="A1416" s="762" t="e">
        <f ca="1">IF($H1416="UNIDADE CONSTRUTIVA",OFFSET(A1416,-1,0)+1,LARGE(A$3:A1415,1))</f>
        <v>#NUM!</v>
      </c>
      <c r="B1416" s="762">
        <f t="shared" ca="1" si="330"/>
        <v>21</v>
      </c>
      <c r="C1416" s="762">
        <f t="shared" ca="1" si="331"/>
        <v>1</v>
      </c>
      <c r="D1416" s="763">
        <f t="shared" ca="1" si="332"/>
        <v>1</v>
      </c>
      <c r="E1416" s="763">
        <f t="shared" ca="1" si="333"/>
        <v>1</v>
      </c>
      <c r="F1416" s="761"/>
    </row>
    <row r="1417" spans="1:6" x14ac:dyDescent="0.2">
      <c r="A1417" s="762" t="e">
        <f ca="1">IF($H1417="UNIDADE CONSTRUTIVA",OFFSET(A1417,-1,0)+1,LARGE(A$3:A1416,1))</f>
        <v>#NUM!</v>
      </c>
      <c r="B1417" s="762">
        <f t="shared" ca="1" si="330"/>
        <v>21</v>
      </c>
      <c r="C1417" s="762">
        <f t="shared" ca="1" si="331"/>
        <v>1</v>
      </c>
      <c r="D1417" s="763">
        <f t="shared" ca="1" si="332"/>
        <v>1</v>
      </c>
      <c r="E1417" s="763">
        <f t="shared" ca="1" si="333"/>
        <v>1</v>
      </c>
      <c r="F1417" s="761"/>
    </row>
    <row r="1418" spans="1:6" x14ac:dyDescent="0.2">
      <c r="A1418" s="762" t="e">
        <f ca="1">IF($H1418="UNIDADE CONSTRUTIVA",OFFSET(A1418,-1,0)+1,LARGE(A$3:A1417,1))</f>
        <v>#NUM!</v>
      </c>
      <c r="B1418" s="762">
        <f t="shared" ca="1" si="330"/>
        <v>21</v>
      </c>
      <c r="C1418" s="762">
        <f t="shared" ca="1" si="331"/>
        <v>1</v>
      </c>
      <c r="D1418" s="763">
        <f t="shared" ca="1" si="332"/>
        <v>1</v>
      </c>
      <c r="E1418" s="763">
        <f t="shared" ca="1" si="333"/>
        <v>1</v>
      </c>
      <c r="F1418" s="761"/>
    </row>
    <row r="1419" spans="1:6" x14ac:dyDescent="0.2">
      <c r="A1419" s="762" t="e">
        <f ca="1">IF($H1419="UNIDADE CONSTRUTIVA",OFFSET(A1419,-1,0)+1,LARGE(A$3:A1418,1))</f>
        <v>#NUM!</v>
      </c>
      <c r="B1419" s="762">
        <f t="shared" ca="1" si="330"/>
        <v>21</v>
      </c>
      <c r="C1419" s="762">
        <f t="shared" ca="1" si="331"/>
        <v>1</v>
      </c>
      <c r="D1419" s="763">
        <f t="shared" ca="1" si="332"/>
        <v>1</v>
      </c>
      <c r="E1419" s="763">
        <f t="shared" ca="1" si="333"/>
        <v>1</v>
      </c>
      <c r="F1419" s="761"/>
    </row>
    <row r="1420" spans="1:6" x14ac:dyDescent="0.2">
      <c r="A1420" s="762" t="e">
        <f ca="1">IF($H1420="UNIDADE CONSTRUTIVA",OFFSET(A1420,-1,0)+1,LARGE(A$3:A1419,1))</f>
        <v>#NUM!</v>
      </c>
      <c r="B1420" s="762">
        <f t="shared" ca="1" si="330"/>
        <v>21</v>
      </c>
      <c r="C1420" s="762">
        <f t="shared" ca="1" si="331"/>
        <v>1</v>
      </c>
      <c r="D1420" s="763">
        <f t="shared" ca="1" si="332"/>
        <v>1</v>
      </c>
      <c r="E1420" s="763">
        <f t="shared" ca="1" si="333"/>
        <v>1</v>
      </c>
      <c r="F1420" s="761"/>
    </row>
    <row r="1421" spans="1:6" x14ac:dyDescent="0.2">
      <c r="A1421" s="762" t="e">
        <f ca="1">IF($H1421="UNIDADE CONSTRUTIVA",OFFSET(A1421,-1,0)+1,LARGE(A$3:A1420,1))</f>
        <v>#NUM!</v>
      </c>
      <c r="B1421" s="762">
        <f t="shared" ca="1" si="330"/>
        <v>21</v>
      </c>
      <c r="C1421" s="762">
        <f t="shared" ca="1" si="331"/>
        <v>1</v>
      </c>
      <c r="D1421" s="763">
        <f t="shared" ca="1" si="332"/>
        <v>1</v>
      </c>
      <c r="E1421" s="763">
        <f t="shared" ca="1" si="333"/>
        <v>1</v>
      </c>
      <c r="F1421" s="761"/>
    </row>
    <row r="1422" spans="1:6" x14ac:dyDescent="0.2">
      <c r="A1422" s="762" t="e">
        <f ca="1">IF($H1422="UNIDADE CONSTRUTIVA",OFFSET(A1422,-1,0)+1,LARGE(A$3:A1421,1))</f>
        <v>#NUM!</v>
      </c>
      <c r="B1422" s="762">
        <f t="shared" ca="1" si="330"/>
        <v>21</v>
      </c>
      <c r="C1422" s="762">
        <f t="shared" ca="1" si="331"/>
        <v>1</v>
      </c>
      <c r="D1422" s="763">
        <f t="shared" ca="1" si="332"/>
        <v>1</v>
      </c>
      <c r="E1422" s="763">
        <f t="shared" ca="1" si="333"/>
        <v>1</v>
      </c>
      <c r="F1422" s="761"/>
    </row>
    <row r="1423" spans="1:6" x14ac:dyDescent="0.2">
      <c r="A1423" s="762" t="e">
        <f ca="1">IF($H1423="UNIDADE CONSTRUTIVA",OFFSET(A1423,-1,0)+1,LARGE(A$3:A1422,1))</f>
        <v>#NUM!</v>
      </c>
      <c r="B1423" s="762">
        <f t="shared" ca="1" si="330"/>
        <v>21</v>
      </c>
      <c r="C1423" s="762">
        <f t="shared" ca="1" si="331"/>
        <v>1</v>
      </c>
      <c r="D1423" s="763">
        <f t="shared" ca="1" si="332"/>
        <v>1</v>
      </c>
      <c r="E1423" s="763">
        <f t="shared" ca="1" si="333"/>
        <v>1</v>
      </c>
      <c r="F1423" s="761"/>
    </row>
    <row r="1424" spans="1:6" x14ac:dyDescent="0.2">
      <c r="A1424" s="762" t="e">
        <f ca="1">IF($H1424="UNIDADE CONSTRUTIVA",OFFSET(A1424,-1,0)+1,LARGE(A$3:A1423,1))</f>
        <v>#NUM!</v>
      </c>
      <c r="B1424" s="762">
        <f t="shared" ca="1" si="330"/>
        <v>21</v>
      </c>
      <c r="C1424" s="762">
        <f t="shared" ca="1" si="331"/>
        <v>1</v>
      </c>
      <c r="D1424" s="763">
        <f t="shared" ca="1" si="332"/>
        <v>1</v>
      </c>
      <c r="E1424" s="763">
        <f t="shared" ca="1" si="333"/>
        <v>1</v>
      </c>
      <c r="F1424" s="761"/>
    </row>
    <row r="1425" spans="1:6" x14ac:dyDescent="0.2">
      <c r="A1425" s="762" t="e">
        <f ca="1">IF($H1425="UNIDADE CONSTRUTIVA",OFFSET(A1425,-1,0)+1,LARGE(A$3:A1424,1))</f>
        <v>#NUM!</v>
      </c>
      <c r="B1425" s="762">
        <f t="shared" ca="1" si="330"/>
        <v>21</v>
      </c>
      <c r="C1425" s="762">
        <f t="shared" ca="1" si="331"/>
        <v>1</v>
      </c>
      <c r="D1425" s="763">
        <f t="shared" ca="1" si="332"/>
        <v>1</v>
      </c>
      <c r="E1425" s="763">
        <f t="shared" ca="1" si="333"/>
        <v>1</v>
      </c>
      <c r="F1425" s="761"/>
    </row>
    <row r="1426" spans="1:6" x14ac:dyDescent="0.2">
      <c r="A1426" s="762" t="e">
        <f ca="1">IF($H1426="UNIDADE CONSTRUTIVA",OFFSET(A1426,-1,0)+1,LARGE(A$3:A1425,1))</f>
        <v>#NUM!</v>
      </c>
      <c r="B1426" s="762">
        <f t="shared" ca="1" si="330"/>
        <v>21</v>
      </c>
      <c r="C1426" s="762">
        <f t="shared" ca="1" si="331"/>
        <v>1</v>
      </c>
      <c r="D1426" s="763">
        <f t="shared" ca="1" si="332"/>
        <v>1</v>
      </c>
      <c r="E1426" s="763">
        <f t="shared" ca="1" si="333"/>
        <v>1</v>
      </c>
      <c r="F1426" s="761"/>
    </row>
    <row r="1427" spans="1:6" x14ac:dyDescent="0.2">
      <c r="A1427" s="762" t="e">
        <f ca="1">IF($H1427="UNIDADE CONSTRUTIVA",OFFSET(A1427,-1,0)+1,LARGE(A$3:A1426,1))</f>
        <v>#NUM!</v>
      </c>
      <c r="B1427" s="762">
        <f t="shared" ca="1" si="330"/>
        <v>21</v>
      </c>
      <c r="C1427" s="762">
        <f t="shared" ca="1" si="331"/>
        <v>1</v>
      </c>
      <c r="D1427" s="763">
        <f t="shared" ca="1" si="332"/>
        <v>1</v>
      </c>
      <c r="E1427" s="763">
        <f t="shared" ca="1" si="333"/>
        <v>1</v>
      </c>
      <c r="F1427" s="761"/>
    </row>
    <row r="1428" spans="1:6" x14ac:dyDescent="0.2">
      <c r="A1428" s="762" t="e">
        <f ca="1">IF($H1428="UNIDADE CONSTRUTIVA",OFFSET(A1428,-1,0)+1,LARGE(A$3:A1427,1))</f>
        <v>#NUM!</v>
      </c>
      <c r="B1428" s="762">
        <f t="shared" ca="1" si="330"/>
        <v>21</v>
      </c>
      <c r="C1428" s="762">
        <f t="shared" ca="1" si="331"/>
        <v>1</v>
      </c>
      <c r="D1428" s="763">
        <f t="shared" ca="1" si="332"/>
        <v>1</v>
      </c>
      <c r="E1428" s="763">
        <f t="shared" ca="1" si="333"/>
        <v>1</v>
      </c>
      <c r="F1428" s="761"/>
    </row>
    <row r="1429" spans="1:6" x14ac:dyDescent="0.2">
      <c r="A1429" s="762" t="e">
        <f ca="1">IF($H1429="UNIDADE CONSTRUTIVA",OFFSET(A1429,-1,0)+1,LARGE(A$3:A1428,1))</f>
        <v>#NUM!</v>
      </c>
      <c r="B1429" s="762">
        <f t="shared" ca="1" si="330"/>
        <v>21</v>
      </c>
      <c r="C1429" s="762">
        <f t="shared" ca="1" si="331"/>
        <v>1</v>
      </c>
      <c r="D1429" s="763">
        <f t="shared" ca="1" si="332"/>
        <v>1</v>
      </c>
      <c r="E1429" s="763">
        <f t="shared" ca="1" si="333"/>
        <v>1</v>
      </c>
      <c r="F1429" s="761"/>
    </row>
    <row r="1430" spans="1:6" x14ac:dyDescent="0.2">
      <c r="A1430" s="762" t="e">
        <f ca="1">IF($H1430="UNIDADE CONSTRUTIVA",OFFSET(A1430,-1,0)+1,LARGE(A$3:A1429,1))</f>
        <v>#NUM!</v>
      </c>
      <c r="B1430" s="762">
        <f t="shared" ca="1" si="330"/>
        <v>21</v>
      </c>
      <c r="C1430" s="762">
        <f t="shared" ca="1" si="331"/>
        <v>1</v>
      </c>
      <c r="D1430" s="763">
        <f t="shared" ca="1" si="332"/>
        <v>1</v>
      </c>
      <c r="E1430" s="763">
        <f t="shared" ca="1" si="333"/>
        <v>1</v>
      </c>
      <c r="F1430" s="761"/>
    </row>
    <row r="1431" spans="1:6" x14ac:dyDescent="0.2">
      <c r="A1431" s="762" t="e">
        <f ca="1">IF($H1431="UNIDADE CONSTRUTIVA",OFFSET(A1431,-1,0)+1,LARGE(A$3:A1430,1))</f>
        <v>#NUM!</v>
      </c>
      <c r="B1431" s="762">
        <f t="shared" ca="1" si="330"/>
        <v>21</v>
      </c>
      <c r="C1431" s="762">
        <f t="shared" ca="1" si="331"/>
        <v>1</v>
      </c>
      <c r="D1431" s="763">
        <f t="shared" ca="1" si="332"/>
        <v>1</v>
      </c>
      <c r="E1431" s="763">
        <f t="shared" ca="1" si="333"/>
        <v>1</v>
      </c>
      <c r="F1431" s="761"/>
    </row>
    <row r="1432" spans="1:6" x14ac:dyDescent="0.2">
      <c r="A1432" s="762" t="e">
        <f ca="1">IF($H1432="UNIDADE CONSTRUTIVA",OFFSET(A1432,-1,0)+1,LARGE(A$3:A1431,1))</f>
        <v>#NUM!</v>
      </c>
      <c r="B1432" s="762">
        <f t="shared" ca="1" si="330"/>
        <v>21</v>
      </c>
      <c r="C1432" s="762">
        <f t="shared" ca="1" si="331"/>
        <v>1</v>
      </c>
      <c r="D1432" s="763">
        <f t="shared" ca="1" si="332"/>
        <v>1</v>
      </c>
      <c r="E1432" s="763">
        <f t="shared" ca="1" si="333"/>
        <v>1</v>
      </c>
      <c r="F1432" s="761"/>
    </row>
    <row r="1433" spans="1:6" x14ac:dyDescent="0.2">
      <c r="A1433" s="762" t="e">
        <f ca="1">IF($H1433="UNIDADE CONSTRUTIVA",OFFSET(A1433,-1,0)+1,LARGE(A$3:A1432,1))</f>
        <v>#NUM!</v>
      </c>
      <c r="B1433" s="762">
        <f t="shared" ca="1" si="330"/>
        <v>21</v>
      </c>
      <c r="C1433" s="762">
        <f t="shared" ca="1" si="331"/>
        <v>1</v>
      </c>
      <c r="D1433" s="763">
        <f t="shared" ca="1" si="332"/>
        <v>1</v>
      </c>
      <c r="E1433" s="763">
        <f t="shared" ca="1" si="333"/>
        <v>1</v>
      </c>
      <c r="F1433" s="761"/>
    </row>
    <row r="1434" spans="1:6" x14ac:dyDescent="0.2">
      <c r="A1434" s="762" t="e">
        <f ca="1">IF($H1434="UNIDADE CONSTRUTIVA",OFFSET(A1434,-1,0)+1,LARGE(A$3:A1433,1))</f>
        <v>#NUM!</v>
      </c>
      <c r="B1434" s="762">
        <f t="shared" ca="1" si="330"/>
        <v>21</v>
      </c>
      <c r="C1434" s="762">
        <f t="shared" ca="1" si="331"/>
        <v>1</v>
      </c>
      <c r="D1434" s="763">
        <f t="shared" ca="1" si="332"/>
        <v>1</v>
      </c>
      <c r="E1434" s="763">
        <f t="shared" ca="1" si="333"/>
        <v>1</v>
      </c>
      <c r="F1434" s="761"/>
    </row>
    <row r="1435" spans="1:6" x14ac:dyDescent="0.2">
      <c r="A1435" s="762" t="e">
        <f ca="1">IF($H1435="UNIDADE CONSTRUTIVA",OFFSET(A1435,-1,0)+1,LARGE(A$3:A1434,1))</f>
        <v>#NUM!</v>
      </c>
      <c r="B1435" s="762">
        <f t="shared" ca="1" si="330"/>
        <v>21</v>
      </c>
      <c r="C1435" s="762">
        <f t="shared" ca="1" si="331"/>
        <v>1</v>
      </c>
      <c r="D1435" s="763">
        <f t="shared" ca="1" si="332"/>
        <v>1</v>
      </c>
      <c r="E1435" s="763">
        <f t="shared" ca="1" si="333"/>
        <v>1</v>
      </c>
      <c r="F1435" s="761"/>
    </row>
    <row r="1436" spans="1:6" x14ac:dyDescent="0.2">
      <c r="A1436" s="762" t="e">
        <f ca="1">IF($H1436="UNIDADE CONSTRUTIVA",OFFSET(A1436,-1,0)+1,LARGE(A$3:A1435,1))</f>
        <v>#NUM!</v>
      </c>
      <c r="B1436" s="762">
        <f t="shared" ca="1" si="330"/>
        <v>21</v>
      </c>
      <c r="C1436" s="762">
        <f t="shared" ca="1" si="331"/>
        <v>1</v>
      </c>
      <c r="D1436" s="763">
        <f t="shared" ca="1" si="332"/>
        <v>1</v>
      </c>
      <c r="E1436" s="763">
        <f t="shared" ca="1" si="333"/>
        <v>1</v>
      </c>
      <c r="F1436" s="761"/>
    </row>
    <row r="1437" spans="1:6" x14ac:dyDescent="0.2">
      <c r="A1437" s="762" t="e">
        <f ca="1">IF($H1437="UNIDADE CONSTRUTIVA",OFFSET(A1437,-1,0)+1,LARGE(A$3:A1436,1))</f>
        <v>#NUM!</v>
      </c>
      <c r="B1437" s="762">
        <f t="shared" ca="1" si="330"/>
        <v>21</v>
      </c>
      <c r="C1437" s="762">
        <f t="shared" ca="1" si="331"/>
        <v>1</v>
      </c>
      <c r="D1437" s="763">
        <f t="shared" ca="1" si="332"/>
        <v>1</v>
      </c>
      <c r="E1437" s="763">
        <f t="shared" ca="1" si="333"/>
        <v>1</v>
      </c>
      <c r="F1437" s="761"/>
    </row>
    <row r="1438" spans="1:6" x14ac:dyDescent="0.2">
      <c r="A1438" s="762" t="e">
        <f ca="1">IF($H1438="UNIDADE CONSTRUTIVA",OFFSET(A1438,-1,0)+1,LARGE(A$3:A1437,1))</f>
        <v>#NUM!</v>
      </c>
      <c r="B1438" s="762">
        <f t="shared" ca="1" si="330"/>
        <v>21</v>
      </c>
      <c r="C1438" s="762">
        <f t="shared" ca="1" si="331"/>
        <v>1</v>
      </c>
      <c r="D1438" s="763">
        <f t="shared" ca="1" si="332"/>
        <v>1</v>
      </c>
      <c r="E1438" s="763">
        <f t="shared" ca="1" si="333"/>
        <v>1</v>
      </c>
      <c r="F1438" s="761"/>
    </row>
    <row r="1439" spans="1:6" x14ac:dyDescent="0.2">
      <c r="A1439" s="762" t="e">
        <f ca="1">IF($H1439="UNIDADE CONSTRUTIVA",OFFSET(A1439,-1,0)+1,LARGE(A$3:A1438,1))</f>
        <v>#NUM!</v>
      </c>
      <c r="B1439" s="762">
        <f t="shared" ca="1" si="330"/>
        <v>21</v>
      </c>
      <c r="C1439" s="762">
        <f t="shared" ca="1" si="331"/>
        <v>1</v>
      </c>
      <c r="D1439" s="763">
        <f t="shared" ca="1" si="332"/>
        <v>1</v>
      </c>
      <c r="E1439" s="763">
        <f t="shared" ca="1" si="333"/>
        <v>1</v>
      </c>
      <c r="F1439" s="761"/>
    </row>
    <row r="1440" spans="1:6" x14ac:dyDescent="0.2">
      <c r="A1440" s="762" t="e">
        <f ca="1">IF($H1440="UNIDADE CONSTRUTIVA",OFFSET(A1440,-1,0)+1,LARGE(A$3:A1439,1))</f>
        <v>#NUM!</v>
      </c>
      <c r="B1440" s="762">
        <f t="shared" ca="1" si="330"/>
        <v>21</v>
      </c>
      <c r="C1440" s="762">
        <f t="shared" ca="1" si="331"/>
        <v>1</v>
      </c>
      <c r="D1440" s="763">
        <f t="shared" ca="1" si="332"/>
        <v>1</v>
      </c>
      <c r="E1440" s="763">
        <f t="shared" ca="1" si="333"/>
        <v>1</v>
      </c>
      <c r="F1440" s="761"/>
    </row>
    <row r="1441" spans="1:6" x14ac:dyDescent="0.2">
      <c r="A1441" s="762" t="e">
        <f ca="1">IF($H1441="UNIDADE CONSTRUTIVA",OFFSET(A1441,-1,0)+1,LARGE(A$3:A1440,1))</f>
        <v>#NUM!</v>
      </c>
      <c r="B1441" s="762">
        <f t="shared" ca="1" si="330"/>
        <v>21</v>
      </c>
      <c r="C1441" s="762">
        <f t="shared" ca="1" si="331"/>
        <v>1</v>
      </c>
      <c r="D1441" s="763">
        <f t="shared" ca="1" si="332"/>
        <v>1</v>
      </c>
      <c r="E1441" s="763">
        <f t="shared" ca="1" si="333"/>
        <v>1</v>
      </c>
      <c r="F1441" s="761"/>
    </row>
    <row r="1442" spans="1:6" x14ac:dyDescent="0.2">
      <c r="A1442" s="762" t="e">
        <f ca="1">IF($H1442="UNIDADE CONSTRUTIVA",OFFSET(A1442,-1,0)+1,LARGE(A$3:A1441,1))</f>
        <v>#NUM!</v>
      </c>
      <c r="B1442" s="762">
        <f t="shared" ca="1" si="330"/>
        <v>21</v>
      </c>
      <c r="C1442" s="762">
        <f t="shared" ca="1" si="331"/>
        <v>1</v>
      </c>
      <c r="D1442" s="763">
        <f t="shared" ca="1" si="332"/>
        <v>1</v>
      </c>
      <c r="E1442" s="763">
        <f t="shared" ca="1" si="333"/>
        <v>1</v>
      </c>
      <c r="F1442" s="761"/>
    </row>
    <row r="1443" spans="1:6" x14ac:dyDescent="0.2">
      <c r="A1443" s="762" t="e">
        <f ca="1">IF($H1443="UNIDADE CONSTRUTIVA",OFFSET(A1443,-1,0)+1,LARGE(A$3:A1442,1))</f>
        <v>#NUM!</v>
      </c>
      <c r="B1443" s="762">
        <f t="shared" ca="1" si="330"/>
        <v>21</v>
      </c>
      <c r="C1443" s="762">
        <f t="shared" ca="1" si="331"/>
        <v>1</v>
      </c>
      <c r="D1443" s="763">
        <f t="shared" ca="1" si="332"/>
        <v>1</v>
      </c>
      <c r="E1443" s="763">
        <f t="shared" ca="1" si="333"/>
        <v>1</v>
      </c>
      <c r="F1443" s="761"/>
    </row>
    <row r="1444" spans="1:6" x14ac:dyDescent="0.2">
      <c r="A1444" s="762" t="e">
        <f ca="1">IF($H1444="UNIDADE CONSTRUTIVA",OFFSET(A1444,-1,0)+1,LARGE(A$3:A1443,1))</f>
        <v>#NUM!</v>
      </c>
      <c r="B1444" s="762">
        <f t="shared" ca="1" si="330"/>
        <v>21</v>
      </c>
      <c r="C1444" s="762">
        <f t="shared" ca="1" si="331"/>
        <v>1</v>
      </c>
      <c r="D1444" s="763">
        <f t="shared" ca="1" si="332"/>
        <v>1</v>
      </c>
      <c r="E1444" s="763">
        <f t="shared" ca="1" si="333"/>
        <v>1</v>
      </c>
      <c r="F1444" s="761"/>
    </row>
    <row r="1445" spans="1:6" x14ac:dyDescent="0.2">
      <c r="A1445" s="762" t="e">
        <f ca="1">IF($H1445="UNIDADE CONSTRUTIVA",OFFSET(A1445,-1,0)+1,LARGE(A$3:A1444,1))</f>
        <v>#NUM!</v>
      </c>
      <c r="B1445" s="762">
        <f t="shared" ca="1" si="330"/>
        <v>21</v>
      </c>
      <c r="C1445" s="762">
        <f t="shared" ca="1" si="331"/>
        <v>1</v>
      </c>
      <c r="D1445" s="763">
        <f t="shared" ca="1" si="332"/>
        <v>1</v>
      </c>
      <c r="E1445" s="763">
        <f t="shared" ca="1" si="333"/>
        <v>1</v>
      </c>
      <c r="F1445" s="761"/>
    </row>
    <row r="1446" spans="1:6" x14ac:dyDescent="0.2">
      <c r="A1446" s="762" t="e">
        <f ca="1">IF($H1446="UNIDADE CONSTRUTIVA",OFFSET(A1446,-1,0)+1,LARGE(A$3:A1445,1))</f>
        <v>#NUM!</v>
      </c>
      <c r="B1446" s="762">
        <f t="shared" ca="1" si="330"/>
        <v>21</v>
      </c>
      <c r="C1446" s="762">
        <f t="shared" ca="1" si="331"/>
        <v>1</v>
      </c>
      <c r="D1446" s="763">
        <f t="shared" ca="1" si="332"/>
        <v>1</v>
      </c>
      <c r="E1446" s="763">
        <f t="shared" ca="1" si="333"/>
        <v>1</v>
      </c>
      <c r="F1446" s="761"/>
    </row>
    <row r="1447" spans="1:6" x14ac:dyDescent="0.2">
      <c r="A1447" s="762" t="e">
        <f ca="1">IF($H1447="UNIDADE CONSTRUTIVA",OFFSET(A1447,-1,0)+1,LARGE(A$3:A1446,1))</f>
        <v>#NUM!</v>
      </c>
      <c r="B1447" s="762">
        <f t="shared" ca="1" si="330"/>
        <v>21</v>
      </c>
      <c r="C1447" s="762">
        <f t="shared" ca="1" si="331"/>
        <v>1</v>
      </c>
      <c r="D1447" s="763">
        <f t="shared" ca="1" si="332"/>
        <v>1</v>
      </c>
      <c r="E1447" s="763">
        <f t="shared" ca="1" si="333"/>
        <v>1</v>
      </c>
      <c r="F1447" s="761"/>
    </row>
    <row r="1448" spans="1:6" x14ac:dyDescent="0.2">
      <c r="A1448" s="762" t="e">
        <f ca="1">IF($H1448="UNIDADE CONSTRUTIVA",OFFSET(A1448,-1,0)+1,LARGE(A$3:A1447,1))</f>
        <v>#NUM!</v>
      </c>
      <c r="B1448" s="762">
        <f t="shared" ca="1" si="330"/>
        <v>21</v>
      </c>
      <c r="C1448" s="762">
        <f t="shared" ca="1" si="331"/>
        <v>1</v>
      </c>
      <c r="D1448" s="763">
        <f t="shared" ca="1" si="332"/>
        <v>1</v>
      </c>
      <c r="E1448" s="763">
        <f t="shared" ca="1" si="333"/>
        <v>1</v>
      </c>
      <c r="F1448" s="761"/>
    </row>
    <row r="1449" spans="1:6" x14ac:dyDescent="0.2">
      <c r="A1449" s="762" t="e">
        <f ca="1">IF($H1449="UNIDADE CONSTRUTIVA",OFFSET(A1449,-1,0)+1,LARGE(A$3:A1448,1))</f>
        <v>#NUM!</v>
      </c>
      <c r="B1449" s="762">
        <f t="shared" ca="1" si="330"/>
        <v>21</v>
      </c>
      <c r="C1449" s="762">
        <f t="shared" ca="1" si="331"/>
        <v>1</v>
      </c>
      <c r="D1449" s="763">
        <f t="shared" ca="1" si="332"/>
        <v>1</v>
      </c>
      <c r="E1449" s="763">
        <f t="shared" ca="1" si="333"/>
        <v>1</v>
      </c>
      <c r="F1449" s="761"/>
    </row>
    <row r="1450" spans="1:6" x14ac:dyDescent="0.2">
      <c r="A1450" s="762" t="e">
        <f ca="1">IF($H1450="UNIDADE CONSTRUTIVA",OFFSET(A1450,-1,0)+1,LARGE(A$3:A1449,1))</f>
        <v>#NUM!</v>
      </c>
      <c r="B1450" s="762">
        <f t="shared" ca="1" si="330"/>
        <v>21</v>
      </c>
      <c r="C1450" s="762">
        <f t="shared" ca="1" si="331"/>
        <v>1</v>
      </c>
      <c r="D1450" s="763">
        <f t="shared" ca="1" si="332"/>
        <v>1</v>
      </c>
      <c r="E1450" s="763">
        <f t="shared" ca="1" si="333"/>
        <v>1</v>
      </c>
      <c r="F1450" s="761"/>
    </row>
    <row r="1451" spans="1:6" x14ac:dyDescent="0.2">
      <c r="A1451" s="762" t="e">
        <f ca="1">IF($H1451="UNIDADE CONSTRUTIVA",OFFSET(A1451,-1,0)+1,LARGE(A$3:A1450,1))</f>
        <v>#NUM!</v>
      </c>
      <c r="B1451" s="762">
        <f t="shared" ca="1" si="330"/>
        <v>21</v>
      </c>
      <c r="C1451" s="762">
        <f t="shared" ca="1" si="331"/>
        <v>1</v>
      </c>
      <c r="D1451" s="763">
        <f t="shared" ca="1" si="332"/>
        <v>1</v>
      </c>
      <c r="E1451" s="763">
        <f t="shared" ca="1" si="333"/>
        <v>1</v>
      </c>
      <c r="F1451" s="761"/>
    </row>
    <row r="1452" spans="1:6" x14ac:dyDescent="0.2">
      <c r="A1452" s="762" t="e">
        <f ca="1">IF($H1452="UNIDADE CONSTRUTIVA",OFFSET(A1452,-1,0)+1,LARGE(A$3:A1451,1))</f>
        <v>#NUM!</v>
      </c>
      <c r="B1452" s="762">
        <f t="shared" ca="1" si="330"/>
        <v>21</v>
      </c>
      <c r="C1452" s="762">
        <f t="shared" ca="1" si="331"/>
        <v>1</v>
      </c>
      <c r="D1452" s="763">
        <f t="shared" ca="1" si="332"/>
        <v>1</v>
      </c>
      <c r="E1452" s="763">
        <f t="shared" ca="1" si="333"/>
        <v>1</v>
      </c>
      <c r="F1452" s="761"/>
    </row>
    <row r="1453" spans="1:6" x14ac:dyDescent="0.2">
      <c r="A1453" s="762" t="e">
        <f ca="1">IF($H1453="UNIDADE CONSTRUTIVA",OFFSET(A1453,-1,0)+1,LARGE(A$3:A1452,1))</f>
        <v>#NUM!</v>
      </c>
      <c r="B1453" s="762">
        <f t="shared" ca="1" si="330"/>
        <v>21</v>
      </c>
      <c r="C1453" s="762">
        <f t="shared" ca="1" si="331"/>
        <v>1</v>
      </c>
      <c r="D1453" s="763">
        <f t="shared" ca="1" si="332"/>
        <v>1</v>
      </c>
      <c r="E1453" s="763">
        <f t="shared" ca="1" si="333"/>
        <v>1</v>
      </c>
      <c r="F1453" s="761"/>
    </row>
    <row r="1454" spans="1:6" x14ac:dyDescent="0.2">
      <c r="A1454" s="762" t="e">
        <f ca="1">IF($H1454="UNIDADE CONSTRUTIVA",OFFSET(A1454,-1,0)+1,LARGE(A$3:A1453,1))</f>
        <v>#NUM!</v>
      </c>
      <c r="B1454" s="762">
        <f t="shared" ca="1" si="330"/>
        <v>21</v>
      </c>
      <c r="C1454" s="762">
        <f t="shared" ca="1" si="331"/>
        <v>1</v>
      </c>
      <c r="D1454" s="763">
        <f t="shared" ca="1" si="332"/>
        <v>1</v>
      </c>
      <c r="E1454" s="763">
        <f t="shared" ca="1" si="333"/>
        <v>1</v>
      </c>
      <c r="F1454" s="761"/>
    </row>
    <row r="1455" spans="1:6" x14ac:dyDescent="0.2">
      <c r="A1455" s="762" t="e">
        <f ca="1">IF($H1455="UNIDADE CONSTRUTIVA",OFFSET(A1455,-1,0)+1,LARGE(A$3:A1454,1))</f>
        <v>#NUM!</v>
      </c>
      <c r="B1455" s="762">
        <f t="shared" ca="1" si="330"/>
        <v>21</v>
      </c>
      <c r="C1455" s="762">
        <f t="shared" ca="1" si="331"/>
        <v>1</v>
      </c>
      <c r="D1455" s="763">
        <f t="shared" ca="1" si="332"/>
        <v>1</v>
      </c>
      <c r="E1455" s="763">
        <f t="shared" ca="1" si="333"/>
        <v>1</v>
      </c>
      <c r="F1455" s="761"/>
    </row>
    <row r="1456" spans="1:6" x14ac:dyDescent="0.2">
      <c r="A1456" s="762" t="e">
        <f ca="1">IF($H1456="UNIDADE CONSTRUTIVA",OFFSET(A1456,-1,0)+1,LARGE(A$3:A1455,1))</f>
        <v>#NUM!</v>
      </c>
      <c r="B1456" s="762">
        <f t="shared" ca="1" si="330"/>
        <v>21</v>
      </c>
      <c r="C1456" s="762">
        <f t="shared" ca="1" si="331"/>
        <v>1</v>
      </c>
      <c r="D1456" s="763">
        <f t="shared" ca="1" si="332"/>
        <v>1</v>
      </c>
      <c r="E1456" s="763">
        <f t="shared" ca="1" si="333"/>
        <v>1</v>
      </c>
      <c r="F1456" s="761"/>
    </row>
    <row r="1457" spans="1:6" x14ac:dyDescent="0.2">
      <c r="A1457" s="762" t="e">
        <f ca="1">IF($H1457="UNIDADE CONSTRUTIVA",OFFSET(A1457,-1,0)+1,LARGE(A$3:A1456,1))</f>
        <v>#NUM!</v>
      </c>
      <c r="B1457" s="762">
        <f t="shared" ca="1" si="330"/>
        <v>21</v>
      </c>
      <c r="C1457" s="762">
        <f t="shared" ca="1" si="331"/>
        <v>1</v>
      </c>
      <c r="D1457" s="763">
        <f t="shared" ca="1" si="332"/>
        <v>1</v>
      </c>
      <c r="E1457" s="763">
        <f t="shared" ca="1" si="333"/>
        <v>1</v>
      </c>
      <c r="F1457" s="761"/>
    </row>
    <row r="1458" spans="1:6" x14ac:dyDescent="0.2">
      <c r="A1458" s="762" t="e">
        <f ca="1">IF($H1458="UNIDADE CONSTRUTIVA",OFFSET(A1458,-1,0)+1,LARGE(A$3:A1457,1))</f>
        <v>#NUM!</v>
      </c>
      <c r="B1458" s="762">
        <f t="shared" ref="B1458:B1521" ca="1" si="334">IF(H1458="UNIDADE CONSTRUTIVA",0,IF(H1458="CÉLULA CONSTRUTIVA",OFFSET(B1458,-1,0)+1,OFFSET(B1458,-1,0)))</f>
        <v>21</v>
      </c>
      <c r="C1458" s="762">
        <f t="shared" ref="C1458:C1521" ca="1" si="335">IF(H1458="CÉLULA CONSTRUTIVA",0,IF(H1458="ETAPA",OFFSET(C1458,-1,0)+1,OFFSET(C1458,-1,0)))</f>
        <v>1</v>
      </c>
      <c r="D1458" s="763">
        <f t="shared" ref="D1458:D1521" ca="1" si="336">IF(H1458="ETAPA",0,IF(H1458="SUBETAPA",OFFSET(D1458,-1,0)+1,OFFSET(D1458,-1,0)))</f>
        <v>1</v>
      </c>
      <c r="E1458" s="763">
        <f t="shared" ref="E1458:E1521" ca="1" si="337">IF(H1458="Subetapa",0,IF(H1458="serviço",OFFSET(E1458,-1,0)+1,OFFSET(E1458,-1,0)))</f>
        <v>1</v>
      </c>
      <c r="F1458" s="761"/>
    </row>
    <row r="1459" spans="1:6" x14ac:dyDescent="0.2">
      <c r="A1459" s="762" t="e">
        <f ca="1">IF($H1459="UNIDADE CONSTRUTIVA",OFFSET(A1459,-1,0)+1,LARGE(A$3:A1458,1))</f>
        <v>#NUM!</v>
      </c>
      <c r="B1459" s="762">
        <f t="shared" ca="1" si="334"/>
        <v>21</v>
      </c>
      <c r="C1459" s="762">
        <f t="shared" ca="1" si="335"/>
        <v>1</v>
      </c>
      <c r="D1459" s="763">
        <f t="shared" ca="1" si="336"/>
        <v>1</v>
      </c>
      <c r="E1459" s="763">
        <f t="shared" ca="1" si="337"/>
        <v>1</v>
      </c>
      <c r="F1459" s="761"/>
    </row>
    <row r="1460" spans="1:6" x14ac:dyDescent="0.2">
      <c r="A1460" s="762" t="e">
        <f ca="1">IF($H1460="UNIDADE CONSTRUTIVA",OFFSET(A1460,-1,0)+1,LARGE(A$3:A1459,1))</f>
        <v>#NUM!</v>
      </c>
      <c r="B1460" s="762">
        <f t="shared" ca="1" si="334"/>
        <v>21</v>
      </c>
      <c r="C1460" s="762">
        <f t="shared" ca="1" si="335"/>
        <v>1</v>
      </c>
      <c r="D1460" s="763">
        <f t="shared" ca="1" si="336"/>
        <v>1</v>
      </c>
      <c r="E1460" s="763">
        <f t="shared" ca="1" si="337"/>
        <v>1</v>
      </c>
      <c r="F1460" s="761"/>
    </row>
    <row r="1461" spans="1:6" x14ac:dyDescent="0.2">
      <c r="A1461" s="762" t="e">
        <f ca="1">IF($H1461="UNIDADE CONSTRUTIVA",OFFSET(A1461,-1,0)+1,LARGE(A$3:A1460,1))</f>
        <v>#NUM!</v>
      </c>
      <c r="B1461" s="762">
        <f t="shared" ca="1" si="334"/>
        <v>21</v>
      </c>
      <c r="C1461" s="762">
        <f t="shared" ca="1" si="335"/>
        <v>1</v>
      </c>
      <c r="D1461" s="763">
        <f t="shared" ca="1" si="336"/>
        <v>1</v>
      </c>
      <c r="E1461" s="763">
        <f t="shared" ca="1" si="337"/>
        <v>1</v>
      </c>
      <c r="F1461" s="761"/>
    </row>
    <row r="1462" spans="1:6" x14ac:dyDescent="0.2">
      <c r="A1462" s="762" t="e">
        <f ca="1">IF($H1462="UNIDADE CONSTRUTIVA",OFFSET(A1462,-1,0)+1,LARGE(A$3:A1461,1))</f>
        <v>#NUM!</v>
      </c>
      <c r="B1462" s="762">
        <f t="shared" ca="1" si="334"/>
        <v>21</v>
      </c>
      <c r="C1462" s="762">
        <f t="shared" ca="1" si="335"/>
        <v>1</v>
      </c>
      <c r="D1462" s="763">
        <f t="shared" ca="1" si="336"/>
        <v>1</v>
      </c>
      <c r="E1462" s="763">
        <f t="shared" ca="1" si="337"/>
        <v>1</v>
      </c>
      <c r="F1462" s="761"/>
    </row>
    <row r="1463" spans="1:6" x14ac:dyDescent="0.2">
      <c r="A1463" s="762" t="e">
        <f ca="1">IF($H1463="UNIDADE CONSTRUTIVA",OFFSET(A1463,-1,0)+1,LARGE(A$3:A1462,1))</f>
        <v>#NUM!</v>
      </c>
      <c r="B1463" s="762">
        <f t="shared" ca="1" si="334"/>
        <v>21</v>
      </c>
      <c r="C1463" s="762">
        <f t="shared" ca="1" si="335"/>
        <v>1</v>
      </c>
      <c r="D1463" s="763">
        <f t="shared" ca="1" si="336"/>
        <v>1</v>
      </c>
      <c r="E1463" s="763">
        <f t="shared" ca="1" si="337"/>
        <v>1</v>
      </c>
      <c r="F1463" s="761"/>
    </row>
    <row r="1464" spans="1:6" x14ac:dyDescent="0.2">
      <c r="A1464" s="762" t="e">
        <f ca="1">IF($H1464="UNIDADE CONSTRUTIVA",OFFSET(A1464,-1,0)+1,LARGE(A$3:A1463,1))</f>
        <v>#NUM!</v>
      </c>
      <c r="B1464" s="762">
        <f t="shared" ca="1" si="334"/>
        <v>21</v>
      </c>
      <c r="C1464" s="762">
        <f t="shared" ca="1" si="335"/>
        <v>1</v>
      </c>
      <c r="D1464" s="763">
        <f t="shared" ca="1" si="336"/>
        <v>1</v>
      </c>
      <c r="E1464" s="763">
        <f t="shared" ca="1" si="337"/>
        <v>1</v>
      </c>
      <c r="F1464" s="761"/>
    </row>
    <row r="1465" spans="1:6" x14ac:dyDescent="0.2">
      <c r="A1465" s="762" t="e">
        <f ca="1">IF($H1465="UNIDADE CONSTRUTIVA",OFFSET(A1465,-1,0)+1,LARGE(A$3:A1464,1))</f>
        <v>#NUM!</v>
      </c>
      <c r="B1465" s="762">
        <f t="shared" ca="1" si="334"/>
        <v>21</v>
      </c>
      <c r="C1465" s="762">
        <f t="shared" ca="1" si="335"/>
        <v>1</v>
      </c>
      <c r="D1465" s="763">
        <f t="shared" ca="1" si="336"/>
        <v>1</v>
      </c>
      <c r="E1465" s="763">
        <f t="shared" ca="1" si="337"/>
        <v>1</v>
      </c>
      <c r="F1465" s="761"/>
    </row>
    <row r="1466" spans="1:6" x14ac:dyDescent="0.2">
      <c r="A1466" s="762" t="e">
        <f ca="1">IF($H1466="UNIDADE CONSTRUTIVA",OFFSET(A1466,-1,0)+1,LARGE(A$3:A1465,1))</f>
        <v>#NUM!</v>
      </c>
      <c r="B1466" s="762">
        <f t="shared" ca="1" si="334"/>
        <v>21</v>
      </c>
      <c r="C1466" s="762">
        <f t="shared" ca="1" si="335"/>
        <v>1</v>
      </c>
      <c r="D1466" s="763">
        <f t="shared" ca="1" si="336"/>
        <v>1</v>
      </c>
      <c r="E1466" s="763">
        <f t="shared" ca="1" si="337"/>
        <v>1</v>
      </c>
      <c r="F1466" s="761"/>
    </row>
    <row r="1467" spans="1:6" x14ac:dyDescent="0.2">
      <c r="A1467" s="762" t="e">
        <f ca="1">IF($H1467="UNIDADE CONSTRUTIVA",OFFSET(A1467,-1,0)+1,LARGE(A$3:A1466,1))</f>
        <v>#NUM!</v>
      </c>
      <c r="B1467" s="762">
        <f t="shared" ca="1" si="334"/>
        <v>21</v>
      </c>
      <c r="C1467" s="762">
        <f t="shared" ca="1" si="335"/>
        <v>1</v>
      </c>
      <c r="D1467" s="763">
        <f t="shared" ca="1" si="336"/>
        <v>1</v>
      </c>
      <c r="E1467" s="763">
        <f t="shared" ca="1" si="337"/>
        <v>1</v>
      </c>
      <c r="F1467" s="761"/>
    </row>
    <row r="1468" spans="1:6" x14ac:dyDescent="0.2">
      <c r="A1468" s="762" t="e">
        <f ca="1">IF($H1468="UNIDADE CONSTRUTIVA",OFFSET(A1468,-1,0)+1,LARGE(A$3:A1467,1))</f>
        <v>#NUM!</v>
      </c>
      <c r="B1468" s="762">
        <f t="shared" ca="1" si="334"/>
        <v>21</v>
      </c>
      <c r="C1468" s="762">
        <f t="shared" ca="1" si="335"/>
        <v>1</v>
      </c>
      <c r="D1468" s="763">
        <f t="shared" ca="1" si="336"/>
        <v>1</v>
      </c>
      <c r="E1468" s="763">
        <f t="shared" ca="1" si="337"/>
        <v>1</v>
      </c>
      <c r="F1468" s="761"/>
    </row>
    <row r="1469" spans="1:6" x14ac:dyDescent="0.2">
      <c r="A1469" s="762" t="e">
        <f ca="1">IF($H1469="UNIDADE CONSTRUTIVA",OFFSET(A1469,-1,0)+1,LARGE(A$3:A1468,1))</f>
        <v>#NUM!</v>
      </c>
      <c r="B1469" s="762">
        <f t="shared" ca="1" si="334"/>
        <v>21</v>
      </c>
      <c r="C1469" s="762">
        <f t="shared" ca="1" si="335"/>
        <v>1</v>
      </c>
      <c r="D1469" s="763">
        <f t="shared" ca="1" si="336"/>
        <v>1</v>
      </c>
      <c r="E1469" s="763">
        <f t="shared" ca="1" si="337"/>
        <v>1</v>
      </c>
      <c r="F1469" s="761"/>
    </row>
    <row r="1470" spans="1:6" x14ac:dyDescent="0.2">
      <c r="A1470" s="762" t="e">
        <f ca="1">IF($H1470="UNIDADE CONSTRUTIVA",OFFSET(A1470,-1,0)+1,LARGE(A$3:A1469,1))</f>
        <v>#NUM!</v>
      </c>
      <c r="B1470" s="762">
        <f t="shared" ca="1" si="334"/>
        <v>21</v>
      </c>
      <c r="C1470" s="762">
        <f t="shared" ca="1" si="335"/>
        <v>1</v>
      </c>
      <c r="D1470" s="763">
        <f t="shared" ca="1" si="336"/>
        <v>1</v>
      </c>
      <c r="E1470" s="763">
        <f t="shared" ca="1" si="337"/>
        <v>1</v>
      </c>
      <c r="F1470" s="761"/>
    </row>
    <row r="1471" spans="1:6" x14ac:dyDescent="0.2">
      <c r="A1471" s="762" t="e">
        <f ca="1">IF($H1471="UNIDADE CONSTRUTIVA",OFFSET(A1471,-1,0)+1,LARGE(A$3:A1470,1))</f>
        <v>#NUM!</v>
      </c>
      <c r="B1471" s="762">
        <f t="shared" ca="1" si="334"/>
        <v>21</v>
      </c>
      <c r="C1471" s="762">
        <f t="shared" ca="1" si="335"/>
        <v>1</v>
      </c>
      <c r="D1471" s="763">
        <f t="shared" ca="1" si="336"/>
        <v>1</v>
      </c>
      <c r="E1471" s="763">
        <f t="shared" ca="1" si="337"/>
        <v>1</v>
      </c>
      <c r="F1471" s="761"/>
    </row>
    <row r="1472" spans="1:6" x14ac:dyDescent="0.2">
      <c r="A1472" s="762" t="e">
        <f ca="1">IF($H1472="UNIDADE CONSTRUTIVA",OFFSET(A1472,-1,0)+1,LARGE(A$3:A1471,1))</f>
        <v>#NUM!</v>
      </c>
      <c r="B1472" s="762">
        <f t="shared" ca="1" si="334"/>
        <v>21</v>
      </c>
      <c r="C1472" s="762">
        <f t="shared" ca="1" si="335"/>
        <v>1</v>
      </c>
      <c r="D1472" s="763">
        <f t="shared" ca="1" si="336"/>
        <v>1</v>
      </c>
      <c r="E1472" s="763">
        <f t="shared" ca="1" si="337"/>
        <v>1</v>
      </c>
      <c r="F1472" s="761"/>
    </row>
    <row r="1473" spans="1:6" x14ac:dyDescent="0.2">
      <c r="A1473" s="762" t="e">
        <f ca="1">IF($H1473="UNIDADE CONSTRUTIVA",OFFSET(A1473,-1,0)+1,LARGE(A$3:A1472,1))</f>
        <v>#NUM!</v>
      </c>
      <c r="B1473" s="762">
        <f t="shared" ca="1" si="334"/>
        <v>21</v>
      </c>
      <c r="C1473" s="762">
        <f t="shared" ca="1" si="335"/>
        <v>1</v>
      </c>
      <c r="D1473" s="763">
        <f t="shared" ca="1" si="336"/>
        <v>1</v>
      </c>
      <c r="E1473" s="763">
        <f t="shared" ca="1" si="337"/>
        <v>1</v>
      </c>
      <c r="F1473" s="761"/>
    </row>
    <row r="1474" spans="1:6" x14ac:dyDescent="0.2">
      <c r="A1474" s="762" t="e">
        <f ca="1">IF($H1474="UNIDADE CONSTRUTIVA",OFFSET(A1474,-1,0)+1,LARGE(A$3:A1473,1))</f>
        <v>#NUM!</v>
      </c>
      <c r="B1474" s="762">
        <f t="shared" ca="1" si="334"/>
        <v>21</v>
      </c>
      <c r="C1474" s="762">
        <f t="shared" ca="1" si="335"/>
        <v>1</v>
      </c>
      <c r="D1474" s="763">
        <f t="shared" ca="1" si="336"/>
        <v>1</v>
      </c>
      <c r="E1474" s="763">
        <f t="shared" ca="1" si="337"/>
        <v>1</v>
      </c>
      <c r="F1474" s="761"/>
    </row>
    <row r="1475" spans="1:6" x14ac:dyDescent="0.2">
      <c r="A1475" s="762" t="e">
        <f ca="1">IF($H1475="UNIDADE CONSTRUTIVA",OFFSET(A1475,-1,0)+1,LARGE(A$3:A1474,1))</f>
        <v>#NUM!</v>
      </c>
      <c r="B1475" s="762">
        <f t="shared" ca="1" si="334"/>
        <v>21</v>
      </c>
      <c r="C1475" s="762">
        <f t="shared" ca="1" si="335"/>
        <v>1</v>
      </c>
      <c r="D1475" s="763">
        <f t="shared" ca="1" si="336"/>
        <v>1</v>
      </c>
      <c r="E1475" s="763">
        <f t="shared" ca="1" si="337"/>
        <v>1</v>
      </c>
      <c r="F1475" s="761"/>
    </row>
    <row r="1476" spans="1:6" x14ac:dyDescent="0.2">
      <c r="A1476" s="762" t="e">
        <f ca="1">IF($H1476="UNIDADE CONSTRUTIVA",OFFSET(A1476,-1,0)+1,LARGE(A$3:A1475,1))</f>
        <v>#NUM!</v>
      </c>
      <c r="B1476" s="762">
        <f t="shared" ca="1" si="334"/>
        <v>21</v>
      </c>
      <c r="C1476" s="762">
        <f t="shared" ca="1" si="335"/>
        <v>1</v>
      </c>
      <c r="D1476" s="763">
        <f t="shared" ca="1" si="336"/>
        <v>1</v>
      </c>
      <c r="E1476" s="763">
        <f t="shared" ca="1" si="337"/>
        <v>1</v>
      </c>
      <c r="F1476" s="761"/>
    </row>
    <row r="1477" spans="1:6" x14ac:dyDescent="0.2">
      <c r="A1477" s="762" t="e">
        <f ca="1">IF($H1477="UNIDADE CONSTRUTIVA",OFFSET(A1477,-1,0)+1,LARGE(A$3:A1476,1))</f>
        <v>#NUM!</v>
      </c>
      <c r="B1477" s="762">
        <f t="shared" ca="1" si="334"/>
        <v>21</v>
      </c>
      <c r="C1477" s="762">
        <f t="shared" ca="1" si="335"/>
        <v>1</v>
      </c>
      <c r="D1477" s="763">
        <f t="shared" ca="1" si="336"/>
        <v>1</v>
      </c>
      <c r="E1477" s="763">
        <f t="shared" ca="1" si="337"/>
        <v>1</v>
      </c>
      <c r="F1477" s="761"/>
    </row>
    <row r="1478" spans="1:6" x14ac:dyDescent="0.2">
      <c r="A1478" s="762" t="e">
        <f ca="1">IF($H1478="UNIDADE CONSTRUTIVA",OFFSET(A1478,-1,0)+1,LARGE(A$3:A1477,1))</f>
        <v>#NUM!</v>
      </c>
      <c r="B1478" s="762">
        <f t="shared" ca="1" si="334"/>
        <v>21</v>
      </c>
      <c r="C1478" s="762">
        <f t="shared" ca="1" si="335"/>
        <v>1</v>
      </c>
      <c r="D1478" s="763">
        <f t="shared" ca="1" si="336"/>
        <v>1</v>
      </c>
      <c r="E1478" s="763">
        <f t="shared" ca="1" si="337"/>
        <v>1</v>
      </c>
      <c r="F1478" s="761"/>
    </row>
    <row r="1479" spans="1:6" x14ac:dyDescent="0.2">
      <c r="A1479" s="762" t="e">
        <f ca="1">IF($H1479="UNIDADE CONSTRUTIVA",OFFSET(A1479,-1,0)+1,LARGE(A$3:A1478,1))</f>
        <v>#NUM!</v>
      </c>
      <c r="B1479" s="762">
        <f t="shared" ca="1" si="334"/>
        <v>21</v>
      </c>
      <c r="C1479" s="762">
        <f t="shared" ca="1" si="335"/>
        <v>1</v>
      </c>
      <c r="D1479" s="763">
        <f t="shared" ca="1" si="336"/>
        <v>1</v>
      </c>
      <c r="E1479" s="763">
        <f t="shared" ca="1" si="337"/>
        <v>1</v>
      </c>
      <c r="F1479" s="761"/>
    </row>
    <row r="1480" spans="1:6" x14ac:dyDescent="0.2">
      <c r="A1480" s="762" t="e">
        <f ca="1">IF($H1480="UNIDADE CONSTRUTIVA",OFFSET(A1480,-1,0)+1,LARGE(A$3:A1479,1))</f>
        <v>#NUM!</v>
      </c>
      <c r="B1480" s="762">
        <f t="shared" ca="1" si="334"/>
        <v>21</v>
      </c>
      <c r="C1480" s="762">
        <f t="shared" ca="1" si="335"/>
        <v>1</v>
      </c>
      <c r="D1480" s="763">
        <f t="shared" ca="1" si="336"/>
        <v>1</v>
      </c>
      <c r="E1480" s="763">
        <f t="shared" ca="1" si="337"/>
        <v>1</v>
      </c>
      <c r="F1480" s="761"/>
    </row>
    <row r="1481" spans="1:6" x14ac:dyDescent="0.2">
      <c r="A1481" s="762" t="e">
        <f ca="1">IF($H1481="UNIDADE CONSTRUTIVA",OFFSET(A1481,-1,0)+1,LARGE(A$3:A1480,1))</f>
        <v>#NUM!</v>
      </c>
      <c r="B1481" s="762">
        <f t="shared" ca="1" si="334"/>
        <v>21</v>
      </c>
      <c r="C1481" s="762">
        <f t="shared" ca="1" si="335"/>
        <v>1</v>
      </c>
      <c r="D1481" s="763">
        <f t="shared" ca="1" si="336"/>
        <v>1</v>
      </c>
      <c r="E1481" s="763">
        <f t="shared" ca="1" si="337"/>
        <v>1</v>
      </c>
      <c r="F1481" s="761"/>
    </row>
    <row r="1482" spans="1:6" x14ac:dyDescent="0.2">
      <c r="A1482" s="762" t="e">
        <f ca="1">IF($H1482="UNIDADE CONSTRUTIVA",OFFSET(A1482,-1,0)+1,LARGE(A$3:A1481,1))</f>
        <v>#NUM!</v>
      </c>
      <c r="B1482" s="762">
        <f t="shared" ca="1" si="334"/>
        <v>21</v>
      </c>
      <c r="C1482" s="762">
        <f t="shared" ca="1" si="335"/>
        <v>1</v>
      </c>
      <c r="D1482" s="763">
        <f t="shared" ca="1" si="336"/>
        <v>1</v>
      </c>
      <c r="E1482" s="763">
        <f t="shared" ca="1" si="337"/>
        <v>1</v>
      </c>
      <c r="F1482" s="761"/>
    </row>
    <row r="1483" spans="1:6" x14ac:dyDescent="0.2">
      <c r="A1483" s="762" t="e">
        <f ca="1">IF($H1483="UNIDADE CONSTRUTIVA",OFFSET(A1483,-1,0)+1,LARGE(A$3:A1482,1))</f>
        <v>#NUM!</v>
      </c>
      <c r="B1483" s="762">
        <f t="shared" ca="1" si="334"/>
        <v>21</v>
      </c>
      <c r="C1483" s="762">
        <f t="shared" ca="1" si="335"/>
        <v>1</v>
      </c>
      <c r="D1483" s="763">
        <f t="shared" ca="1" si="336"/>
        <v>1</v>
      </c>
      <c r="E1483" s="763">
        <f t="shared" ca="1" si="337"/>
        <v>1</v>
      </c>
      <c r="F1483" s="761"/>
    </row>
    <row r="1484" spans="1:6" x14ac:dyDescent="0.2">
      <c r="A1484" s="762" t="e">
        <f ca="1">IF($H1484="UNIDADE CONSTRUTIVA",OFFSET(A1484,-1,0)+1,LARGE(A$3:A1483,1))</f>
        <v>#NUM!</v>
      </c>
      <c r="B1484" s="762">
        <f t="shared" ca="1" si="334"/>
        <v>21</v>
      </c>
      <c r="C1484" s="762">
        <f t="shared" ca="1" si="335"/>
        <v>1</v>
      </c>
      <c r="D1484" s="763">
        <f t="shared" ca="1" si="336"/>
        <v>1</v>
      </c>
      <c r="E1484" s="763">
        <f t="shared" ca="1" si="337"/>
        <v>1</v>
      </c>
      <c r="F1484" s="761"/>
    </row>
    <row r="1485" spans="1:6" x14ac:dyDescent="0.2">
      <c r="A1485" s="762" t="e">
        <f ca="1">IF($H1485="UNIDADE CONSTRUTIVA",OFFSET(A1485,-1,0)+1,LARGE(A$3:A1484,1))</f>
        <v>#NUM!</v>
      </c>
      <c r="B1485" s="762">
        <f t="shared" ca="1" si="334"/>
        <v>21</v>
      </c>
      <c r="C1485" s="762">
        <f t="shared" ca="1" si="335"/>
        <v>1</v>
      </c>
      <c r="D1485" s="763">
        <f t="shared" ca="1" si="336"/>
        <v>1</v>
      </c>
      <c r="E1485" s="763">
        <f t="shared" ca="1" si="337"/>
        <v>1</v>
      </c>
      <c r="F1485" s="761"/>
    </row>
    <row r="1486" spans="1:6" x14ac:dyDescent="0.2">
      <c r="A1486" s="762" t="e">
        <f ca="1">IF($H1486="UNIDADE CONSTRUTIVA",OFFSET(A1486,-1,0)+1,LARGE(A$3:A1485,1))</f>
        <v>#NUM!</v>
      </c>
      <c r="B1486" s="762">
        <f t="shared" ca="1" si="334"/>
        <v>21</v>
      </c>
      <c r="C1486" s="762">
        <f t="shared" ca="1" si="335"/>
        <v>1</v>
      </c>
      <c r="D1486" s="763">
        <f t="shared" ca="1" si="336"/>
        <v>1</v>
      </c>
      <c r="E1486" s="763">
        <f t="shared" ca="1" si="337"/>
        <v>1</v>
      </c>
      <c r="F1486" s="761"/>
    </row>
    <row r="1487" spans="1:6" x14ac:dyDescent="0.2">
      <c r="A1487" s="762" t="e">
        <f ca="1">IF($H1487="UNIDADE CONSTRUTIVA",OFFSET(A1487,-1,0)+1,LARGE(A$3:A1486,1))</f>
        <v>#NUM!</v>
      </c>
      <c r="B1487" s="762">
        <f t="shared" ca="1" si="334"/>
        <v>21</v>
      </c>
      <c r="C1487" s="762">
        <f t="shared" ca="1" si="335"/>
        <v>1</v>
      </c>
      <c r="D1487" s="763">
        <f t="shared" ca="1" si="336"/>
        <v>1</v>
      </c>
      <c r="E1487" s="763">
        <f t="shared" ca="1" si="337"/>
        <v>1</v>
      </c>
      <c r="F1487" s="761"/>
    </row>
    <row r="1488" spans="1:6" x14ac:dyDescent="0.2">
      <c r="A1488" s="762" t="e">
        <f ca="1">IF($H1488="UNIDADE CONSTRUTIVA",OFFSET(A1488,-1,0)+1,LARGE(A$3:A1487,1))</f>
        <v>#NUM!</v>
      </c>
      <c r="B1488" s="762">
        <f t="shared" ca="1" si="334"/>
        <v>21</v>
      </c>
      <c r="C1488" s="762">
        <f t="shared" ca="1" si="335"/>
        <v>1</v>
      </c>
      <c r="D1488" s="763">
        <f t="shared" ca="1" si="336"/>
        <v>1</v>
      </c>
      <c r="E1488" s="763">
        <f t="shared" ca="1" si="337"/>
        <v>1</v>
      </c>
      <c r="F1488" s="761"/>
    </row>
    <row r="1489" spans="1:6" x14ac:dyDescent="0.2">
      <c r="A1489" s="762" t="e">
        <f ca="1">IF($H1489="UNIDADE CONSTRUTIVA",OFFSET(A1489,-1,0)+1,LARGE(A$3:A1488,1))</f>
        <v>#NUM!</v>
      </c>
      <c r="B1489" s="762">
        <f t="shared" ca="1" si="334"/>
        <v>21</v>
      </c>
      <c r="C1489" s="762">
        <f t="shared" ca="1" si="335"/>
        <v>1</v>
      </c>
      <c r="D1489" s="763">
        <f t="shared" ca="1" si="336"/>
        <v>1</v>
      </c>
      <c r="E1489" s="763">
        <f t="shared" ca="1" si="337"/>
        <v>1</v>
      </c>
      <c r="F1489" s="761"/>
    </row>
    <row r="1490" spans="1:6" x14ac:dyDescent="0.2">
      <c r="A1490" s="762" t="e">
        <f ca="1">IF($H1490="UNIDADE CONSTRUTIVA",OFFSET(A1490,-1,0)+1,LARGE(A$3:A1489,1))</f>
        <v>#NUM!</v>
      </c>
      <c r="B1490" s="762">
        <f t="shared" ca="1" si="334"/>
        <v>21</v>
      </c>
      <c r="C1490" s="762">
        <f t="shared" ca="1" si="335"/>
        <v>1</v>
      </c>
      <c r="D1490" s="763">
        <f t="shared" ca="1" si="336"/>
        <v>1</v>
      </c>
      <c r="E1490" s="763">
        <f t="shared" ca="1" si="337"/>
        <v>1</v>
      </c>
      <c r="F1490" s="761"/>
    </row>
    <row r="1491" spans="1:6" x14ac:dyDescent="0.2">
      <c r="A1491" s="762" t="e">
        <f ca="1">IF($H1491="UNIDADE CONSTRUTIVA",OFFSET(A1491,-1,0)+1,LARGE(A$3:A1490,1))</f>
        <v>#NUM!</v>
      </c>
      <c r="B1491" s="762">
        <f t="shared" ca="1" si="334"/>
        <v>21</v>
      </c>
      <c r="C1491" s="762">
        <f t="shared" ca="1" si="335"/>
        <v>1</v>
      </c>
      <c r="D1491" s="763">
        <f t="shared" ca="1" si="336"/>
        <v>1</v>
      </c>
      <c r="E1491" s="763">
        <f t="shared" ca="1" si="337"/>
        <v>1</v>
      </c>
      <c r="F1491" s="761"/>
    </row>
    <row r="1492" spans="1:6" x14ac:dyDescent="0.2">
      <c r="A1492" s="762" t="e">
        <f ca="1">IF($H1492="UNIDADE CONSTRUTIVA",OFFSET(A1492,-1,0)+1,LARGE(A$3:A1491,1))</f>
        <v>#NUM!</v>
      </c>
      <c r="B1492" s="762">
        <f t="shared" ca="1" si="334"/>
        <v>21</v>
      </c>
      <c r="C1492" s="762">
        <f t="shared" ca="1" si="335"/>
        <v>1</v>
      </c>
      <c r="D1492" s="763">
        <f t="shared" ca="1" si="336"/>
        <v>1</v>
      </c>
      <c r="E1492" s="763">
        <f t="shared" ca="1" si="337"/>
        <v>1</v>
      </c>
      <c r="F1492" s="761"/>
    </row>
    <row r="1493" spans="1:6" x14ac:dyDescent="0.2">
      <c r="A1493" s="762" t="e">
        <f ca="1">IF($H1493="UNIDADE CONSTRUTIVA",OFFSET(A1493,-1,0)+1,LARGE(A$3:A1492,1))</f>
        <v>#NUM!</v>
      </c>
      <c r="B1493" s="762">
        <f t="shared" ca="1" si="334"/>
        <v>21</v>
      </c>
      <c r="C1493" s="762">
        <f t="shared" ca="1" si="335"/>
        <v>1</v>
      </c>
      <c r="D1493" s="763">
        <f t="shared" ca="1" si="336"/>
        <v>1</v>
      </c>
      <c r="E1493" s="763">
        <f t="shared" ca="1" si="337"/>
        <v>1</v>
      </c>
      <c r="F1493" s="761"/>
    </row>
    <row r="1494" spans="1:6" x14ac:dyDescent="0.2">
      <c r="A1494" s="762" t="e">
        <f ca="1">IF($H1494="UNIDADE CONSTRUTIVA",OFFSET(A1494,-1,0)+1,LARGE(A$3:A1493,1))</f>
        <v>#NUM!</v>
      </c>
      <c r="B1494" s="762">
        <f t="shared" ca="1" si="334"/>
        <v>21</v>
      </c>
      <c r="C1494" s="762">
        <f t="shared" ca="1" si="335"/>
        <v>1</v>
      </c>
      <c r="D1494" s="763">
        <f t="shared" ca="1" si="336"/>
        <v>1</v>
      </c>
      <c r="E1494" s="763">
        <f t="shared" ca="1" si="337"/>
        <v>1</v>
      </c>
      <c r="F1494" s="761"/>
    </row>
    <row r="1495" spans="1:6" x14ac:dyDescent="0.2">
      <c r="A1495" s="762" t="e">
        <f ca="1">IF($H1495="UNIDADE CONSTRUTIVA",OFFSET(A1495,-1,0)+1,LARGE(A$3:A1494,1))</f>
        <v>#NUM!</v>
      </c>
      <c r="B1495" s="762">
        <f t="shared" ca="1" si="334"/>
        <v>21</v>
      </c>
      <c r="C1495" s="762">
        <f t="shared" ca="1" si="335"/>
        <v>1</v>
      </c>
      <c r="D1495" s="763">
        <f t="shared" ca="1" si="336"/>
        <v>1</v>
      </c>
      <c r="E1495" s="763">
        <f t="shared" ca="1" si="337"/>
        <v>1</v>
      </c>
      <c r="F1495" s="761"/>
    </row>
    <row r="1496" spans="1:6" x14ac:dyDescent="0.2">
      <c r="A1496" s="762" t="e">
        <f ca="1">IF($H1496="UNIDADE CONSTRUTIVA",OFFSET(A1496,-1,0)+1,LARGE(A$3:A1495,1))</f>
        <v>#NUM!</v>
      </c>
      <c r="B1496" s="762">
        <f t="shared" ca="1" si="334"/>
        <v>21</v>
      </c>
      <c r="C1496" s="762">
        <f t="shared" ca="1" si="335"/>
        <v>1</v>
      </c>
      <c r="D1496" s="763">
        <f t="shared" ca="1" si="336"/>
        <v>1</v>
      </c>
      <c r="E1496" s="763">
        <f t="shared" ca="1" si="337"/>
        <v>1</v>
      </c>
      <c r="F1496" s="761"/>
    </row>
    <row r="1497" spans="1:6" x14ac:dyDescent="0.2">
      <c r="A1497" s="762" t="e">
        <f ca="1">IF($H1497="UNIDADE CONSTRUTIVA",OFFSET(A1497,-1,0)+1,LARGE(A$3:A1496,1))</f>
        <v>#NUM!</v>
      </c>
      <c r="B1497" s="762">
        <f t="shared" ca="1" si="334"/>
        <v>21</v>
      </c>
      <c r="C1497" s="762">
        <f t="shared" ca="1" si="335"/>
        <v>1</v>
      </c>
      <c r="D1497" s="763">
        <f t="shared" ca="1" si="336"/>
        <v>1</v>
      </c>
      <c r="E1497" s="763">
        <f t="shared" ca="1" si="337"/>
        <v>1</v>
      </c>
      <c r="F1497" s="761"/>
    </row>
    <row r="1498" spans="1:6" x14ac:dyDescent="0.2">
      <c r="A1498" s="762" t="e">
        <f ca="1">IF($H1498="UNIDADE CONSTRUTIVA",OFFSET(A1498,-1,0)+1,LARGE(A$3:A1497,1))</f>
        <v>#NUM!</v>
      </c>
      <c r="B1498" s="762">
        <f t="shared" ca="1" si="334"/>
        <v>21</v>
      </c>
      <c r="C1498" s="762">
        <f t="shared" ca="1" si="335"/>
        <v>1</v>
      </c>
      <c r="D1498" s="763">
        <f t="shared" ca="1" si="336"/>
        <v>1</v>
      </c>
      <c r="E1498" s="763">
        <f t="shared" ca="1" si="337"/>
        <v>1</v>
      </c>
      <c r="F1498" s="761"/>
    </row>
    <row r="1499" spans="1:6" x14ac:dyDescent="0.2">
      <c r="A1499" s="762" t="e">
        <f ca="1">IF($H1499="UNIDADE CONSTRUTIVA",OFFSET(A1499,-1,0)+1,LARGE(A$3:A1498,1))</f>
        <v>#NUM!</v>
      </c>
      <c r="B1499" s="762">
        <f t="shared" ca="1" si="334"/>
        <v>21</v>
      </c>
      <c r="C1499" s="762">
        <f t="shared" ca="1" si="335"/>
        <v>1</v>
      </c>
      <c r="D1499" s="763">
        <f t="shared" ca="1" si="336"/>
        <v>1</v>
      </c>
      <c r="E1499" s="763">
        <f t="shared" ca="1" si="337"/>
        <v>1</v>
      </c>
      <c r="F1499" s="761"/>
    </row>
    <row r="1500" spans="1:6" x14ac:dyDescent="0.2">
      <c r="A1500" s="762" t="e">
        <f ca="1">IF($H1500="UNIDADE CONSTRUTIVA",OFFSET(A1500,-1,0)+1,LARGE(A$3:A1499,1))</f>
        <v>#NUM!</v>
      </c>
      <c r="B1500" s="762">
        <f t="shared" ca="1" si="334"/>
        <v>21</v>
      </c>
      <c r="C1500" s="762">
        <f t="shared" ca="1" si="335"/>
        <v>1</v>
      </c>
      <c r="D1500" s="763">
        <f t="shared" ca="1" si="336"/>
        <v>1</v>
      </c>
      <c r="E1500" s="763">
        <f t="shared" ca="1" si="337"/>
        <v>1</v>
      </c>
      <c r="F1500" s="761"/>
    </row>
    <row r="1501" spans="1:6" x14ac:dyDescent="0.2">
      <c r="A1501" s="762" t="e">
        <f ca="1">IF($H1501="UNIDADE CONSTRUTIVA",OFFSET(A1501,-1,0)+1,LARGE(A$3:A1500,1))</f>
        <v>#NUM!</v>
      </c>
      <c r="B1501" s="762">
        <f t="shared" ca="1" si="334"/>
        <v>21</v>
      </c>
      <c r="C1501" s="762">
        <f t="shared" ca="1" si="335"/>
        <v>1</v>
      </c>
      <c r="D1501" s="763">
        <f t="shared" ca="1" si="336"/>
        <v>1</v>
      </c>
      <c r="E1501" s="763">
        <f t="shared" ca="1" si="337"/>
        <v>1</v>
      </c>
      <c r="F1501" s="761"/>
    </row>
    <row r="1502" spans="1:6" x14ac:dyDescent="0.2">
      <c r="A1502" s="762" t="e">
        <f ca="1">IF($H1502="UNIDADE CONSTRUTIVA",OFFSET(A1502,-1,0)+1,LARGE(A$3:A1501,1))</f>
        <v>#NUM!</v>
      </c>
      <c r="B1502" s="762">
        <f t="shared" ca="1" si="334"/>
        <v>21</v>
      </c>
      <c r="C1502" s="762">
        <f t="shared" ca="1" si="335"/>
        <v>1</v>
      </c>
      <c r="D1502" s="763">
        <f t="shared" ca="1" si="336"/>
        <v>1</v>
      </c>
      <c r="E1502" s="763">
        <f t="shared" ca="1" si="337"/>
        <v>1</v>
      </c>
      <c r="F1502" s="761"/>
    </row>
    <row r="1503" spans="1:6" x14ac:dyDescent="0.2">
      <c r="A1503" s="762" t="e">
        <f ca="1">IF($H1503="UNIDADE CONSTRUTIVA",OFFSET(A1503,-1,0)+1,LARGE(A$3:A1502,1))</f>
        <v>#NUM!</v>
      </c>
      <c r="B1503" s="762">
        <f t="shared" ca="1" si="334"/>
        <v>21</v>
      </c>
      <c r="C1503" s="762">
        <f t="shared" ca="1" si="335"/>
        <v>1</v>
      </c>
      <c r="D1503" s="763">
        <f t="shared" ca="1" si="336"/>
        <v>1</v>
      </c>
      <c r="E1503" s="763">
        <f t="shared" ca="1" si="337"/>
        <v>1</v>
      </c>
      <c r="F1503" s="761"/>
    </row>
    <row r="1504" spans="1:6" x14ac:dyDescent="0.2">
      <c r="A1504" s="762" t="e">
        <f ca="1">IF($H1504="UNIDADE CONSTRUTIVA",OFFSET(A1504,-1,0)+1,LARGE(A$3:A1503,1))</f>
        <v>#NUM!</v>
      </c>
      <c r="B1504" s="762">
        <f t="shared" ca="1" si="334"/>
        <v>21</v>
      </c>
      <c r="C1504" s="762">
        <f t="shared" ca="1" si="335"/>
        <v>1</v>
      </c>
      <c r="D1504" s="763">
        <f t="shared" ca="1" si="336"/>
        <v>1</v>
      </c>
      <c r="E1504" s="763">
        <f t="shared" ca="1" si="337"/>
        <v>1</v>
      </c>
      <c r="F1504" s="761"/>
    </row>
    <row r="1505" spans="1:6" x14ac:dyDescent="0.2">
      <c r="A1505" s="762" t="e">
        <f ca="1">IF($H1505="UNIDADE CONSTRUTIVA",OFFSET(A1505,-1,0)+1,LARGE(A$3:A1504,1))</f>
        <v>#NUM!</v>
      </c>
      <c r="B1505" s="762">
        <f t="shared" ca="1" si="334"/>
        <v>21</v>
      </c>
      <c r="C1505" s="762">
        <f t="shared" ca="1" si="335"/>
        <v>1</v>
      </c>
      <c r="D1505" s="763">
        <f t="shared" ca="1" si="336"/>
        <v>1</v>
      </c>
      <c r="E1505" s="763">
        <f t="shared" ca="1" si="337"/>
        <v>1</v>
      </c>
      <c r="F1505" s="761"/>
    </row>
    <row r="1506" spans="1:6" x14ac:dyDescent="0.2">
      <c r="A1506" s="762" t="e">
        <f ca="1">IF($H1506="UNIDADE CONSTRUTIVA",OFFSET(A1506,-1,0)+1,LARGE(A$3:A1505,1))</f>
        <v>#NUM!</v>
      </c>
      <c r="B1506" s="762">
        <f t="shared" ca="1" si="334"/>
        <v>21</v>
      </c>
      <c r="C1506" s="762">
        <f t="shared" ca="1" si="335"/>
        <v>1</v>
      </c>
      <c r="D1506" s="763">
        <f t="shared" ca="1" si="336"/>
        <v>1</v>
      </c>
      <c r="E1506" s="763">
        <f t="shared" ca="1" si="337"/>
        <v>1</v>
      </c>
      <c r="F1506" s="761"/>
    </row>
    <row r="1507" spans="1:6" x14ac:dyDescent="0.2">
      <c r="A1507" s="762" t="e">
        <f ca="1">IF($H1507="UNIDADE CONSTRUTIVA",OFFSET(A1507,-1,0)+1,LARGE(A$3:A1506,1))</f>
        <v>#NUM!</v>
      </c>
      <c r="B1507" s="762">
        <f t="shared" ca="1" si="334"/>
        <v>21</v>
      </c>
      <c r="C1507" s="762">
        <f t="shared" ca="1" si="335"/>
        <v>1</v>
      </c>
      <c r="D1507" s="763">
        <f t="shared" ca="1" si="336"/>
        <v>1</v>
      </c>
      <c r="E1507" s="763">
        <f t="shared" ca="1" si="337"/>
        <v>1</v>
      </c>
      <c r="F1507" s="761"/>
    </row>
    <row r="1508" spans="1:6" x14ac:dyDescent="0.2">
      <c r="A1508" s="762" t="e">
        <f ca="1">IF($H1508="UNIDADE CONSTRUTIVA",OFFSET(A1508,-1,0)+1,LARGE(A$3:A1507,1))</f>
        <v>#NUM!</v>
      </c>
      <c r="B1508" s="762">
        <f t="shared" ca="1" si="334"/>
        <v>21</v>
      </c>
      <c r="C1508" s="762">
        <f t="shared" ca="1" si="335"/>
        <v>1</v>
      </c>
      <c r="D1508" s="763">
        <f t="shared" ca="1" si="336"/>
        <v>1</v>
      </c>
      <c r="E1508" s="763">
        <f t="shared" ca="1" si="337"/>
        <v>1</v>
      </c>
      <c r="F1508" s="761"/>
    </row>
    <row r="1509" spans="1:6" x14ac:dyDescent="0.2">
      <c r="A1509" s="762" t="e">
        <f ca="1">IF($H1509="UNIDADE CONSTRUTIVA",OFFSET(A1509,-1,0)+1,LARGE(A$3:A1508,1))</f>
        <v>#NUM!</v>
      </c>
      <c r="B1509" s="762">
        <f t="shared" ca="1" si="334"/>
        <v>21</v>
      </c>
      <c r="C1509" s="762">
        <f t="shared" ca="1" si="335"/>
        <v>1</v>
      </c>
      <c r="D1509" s="763">
        <f t="shared" ca="1" si="336"/>
        <v>1</v>
      </c>
      <c r="E1509" s="763">
        <f t="shared" ca="1" si="337"/>
        <v>1</v>
      </c>
      <c r="F1509" s="761"/>
    </row>
    <row r="1510" spans="1:6" x14ac:dyDescent="0.2">
      <c r="A1510" s="762" t="e">
        <f ca="1">IF($H1510="UNIDADE CONSTRUTIVA",OFFSET(A1510,-1,0)+1,LARGE(A$3:A1509,1))</f>
        <v>#NUM!</v>
      </c>
      <c r="B1510" s="762">
        <f t="shared" ca="1" si="334"/>
        <v>21</v>
      </c>
      <c r="C1510" s="762">
        <f t="shared" ca="1" si="335"/>
        <v>1</v>
      </c>
      <c r="D1510" s="763">
        <f t="shared" ca="1" si="336"/>
        <v>1</v>
      </c>
      <c r="E1510" s="763">
        <f t="shared" ca="1" si="337"/>
        <v>1</v>
      </c>
      <c r="F1510" s="761"/>
    </row>
    <row r="1511" spans="1:6" x14ac:dyDescent="0.2">
      <c r="A1511" s="762" t="e">
        <f ca="1">IF($H1511="UNIDADE CONSTRUTIVA",OFFSET(A1511,-1,0)+1,LARGE(A$3:A1510,1))</f>
        <v>#NUM!</v>
      </c>
      <c r="B1511" s="762">
        <f t="shared" ca="1" si="334"/>
        <v>21</v>
      </c>
      <c r="C1511" s="762">
        <f t="shared" ca="1" si="335"/>
        <v>1</v>
      </c>
      <c r="D1511" s="763">
        <f t="shared" ca="1" si="336"/>
        <v>1</v>
      </c>
      <c r="E1511" s="763">
        <f t="shared" ca="1" si="337"/>
        <v>1</v>
      </c>
      <c r="F1511" s="761"/>
    </row>
    <row r="1512" spans="1:6" x14ac:dyDescent="0.2">
      <c r="A1512" s="762" t="e">
        <f ca="1">IF($H1512="UNIDADE CONSTRUTIVA",OFFSET(A1512,-1,0)+1,LARGE(A$3:A1511,1))</f>
        <v>#NUM!</v>
      </c>
      <c r="B1512" s="762">
        <f t="shared" ca="1" si="334"/>
        <v>21</v>
      </c>
      <c r="C1512" s="762">
        <f t="shared" ca="1" si="335"/>
        <v>1</v>
      </c>
      <c r="D1512" s="763">
        <f t="shared" ca="1" si="336"/>
        <v>1</v>
      </c>
      <c r="E1512" s="763">
        <f t="shared" ca="1" si="337"/>
        <v>1</v>
      </c>
      <c r="F1512" s="761"/>
    </row>
    <row r="1513" spans="1:6" x14ac:dyDescent="0.2">
      <c r="A1513" s="762" t="e">
        <f ca="1">IF($H1513="UNIDADE CONSTRUTIVA",OFFSET(A1513,-1,0)+1,LARGE(A$3:A1512,1))</f>
        <v>#NUM!</v>
      </c>
      <c r="B1513" s="762">
        <f t="shared" ca="1" si="334"/>
        <v>21</v>
      </c>
      <c r="C1513" s="762">
        <f t="shared" ca="1" si="335"/>
        <v>1</v>
      </c>
      <c r="D1513" s="763">
        <f t="shared" ca="1" si="336"/>
        <v>1</v>
      </c>
      <c r="E1513" s="763">
        <f t="shared" ca="1" si="337"/>
        <v>1</v>
      </c>
      <c r="F1513" s="761"/>
    </row>
    <row r="1514" spans="1:6" x14ac:dyDescent="0.2">
      <c r="A1514" s="762" t="e">
        <f ca="1">IF($H1514="UNIDADE CONSTRUTIVA",OFFSET(A1514,-1,0)+1,LARGE(A$3:A1513,1))</f>
        <v>#NUM!</v>
      </c>
      <c r="B1514" s="762">
        <f t="shared" ca="1" si="334"/>
        <v>21</v>
      </c>
      <c r="C1514" s="762">
        <f t="shared" ca="1" si="335"/>
        <v>1</v>
      </c>
      <c r="D1514" s="763">
        <f t="shared" ca="1" si="336"/>
        <v>1</v>
      </c>
      <c r="E1514" s="763">
        <f t="shared" ca="1" si="337"/>
        <v>1</v>
      </c>
      <c r="F1514" s="761"/>
    </row>
    <row r="1515" spans="1:6" x14ac:dyDescent="0.2">
      <c r="A1515" s="762" t="e">
        <f ca="1">IF($H1515="UNIDADE CONSTRUTIVA",OFFSET(A1515,-1,0)+1,LARGE(A$3:A1514,1))</f>
        <v>#NUM!</v>
      </c>
      <c r="B1515" s="762">
        <f t="shared" ca="1" si="334"/>
        <v>21</v>
      </c>
      <c r="C1515" s="762">
        <f t="shared" ca="1" si="335"/>
        <v>1</v>
      </c>
      <c r="D1515" s="763">
        <f t="shared" ca="1" si="336"/>
        <v>1</v>
      </c>
      <c r="E1515" s="763">
        <f t="shared" ca="1" si="337"/>
        <v>1</v>
      </c>
      <c r="F1515" s="761"/>
    </row>
    <row r="1516" spans="1:6" x14ac:dyDescent="0.2">
      <c r="A1516" s="762" t="e">
        <f ca="1">IF($H1516="UNIDADE CONSTRUTIVA",OFFSET(A1516,-1,0)+1,LARGE(A$3:A1515,1))</f>
        <v>#NUM!</v>
      </c>
      <c r="B1516" s="762">
        <f t="shared" ca="1" si="334"/>
        <v>21</v>
      </c>
      <c r="C1516" s="762">
        <f t="shared" ca="1" si="335"/>
        <v>1</v>
      </c>
      <c r="D1516" s="763">
        <f t="shared" ca="1" si="336"/>
        <v>1</v>
      </c>
      <c r="E1516" s="763">
        <f t="shared" ca="1" si="337"/>
        <v>1</v>
      </c>
      <c r="F1516" s="761"/>
    </row>
    <row r="1517" spans="1:6" x14ac:dyDescent="0.2">
      <c r="A1517" s="762" t="e">
        <f ca="1">IF($H1517="UNIDADE CONSTRUTIVA",OFFSET(A1517,-1,0)+1,LARGE(A$3:A1516,1))</f>
        <v>#NUM!</v>
      </c>
      <c r="B1517" s="762">
        <f t="shared" ca="1" si="334"/>
        <v>21</v>
      </c>
      <c r="C1517" s="762">
        <f t="shared" ca="1" si="335"/>
        <v>1</v>
      </c>
      <c r="D1517" s="763">
        <f t="shared" ca="1" si="336"/>
        <v>1</v>
      </c>
      <c r="E1517" s="763">
        <f t="shared" ca="1" si="337"/>
        <v>1</v>
      </c>
      <c r="F1517" s="761"/>
    </row>
    <row r="1518" spans="1:6" x14ac:dyDescent="0.2">
      <c r="A1518" s="762" t="e">
        <f ca="1">IF($H1518="UNIDADE CONSTRUTIVA",OFFSET(A1518,-1,0)+1,LARGE(A$3:A1517,1))</f>
        <v>#NUM!</v>
      </c>
      <c r="B1518" s="762">
        <f t="shared" ca="1" si="334"/>
        <v>21</v>
      </c>
      <c r="C1518" s="762">
        <f t="shared" ca="1" si="335"/>
        <v>1</v>
      </c>
      <c r="D1518" s="763">
        <f t="shared" ca="1" si="336"/>
        <v>1</v>
      </c>
      <c r="E1518" s="763">
        <f t="shared" ca="1" si="337"/>
        <v>1</v>
      </c>
      <c r="F1518" s="761"/>
    </row>
    <row r="1519" spans="1:6" x14ac:dyDescent="0.2">
      <c r="A1519" s="762" t="e">
        <f ca="1">IF($H1519="UNIDADE CONSTRUTIVA",OFFSET(A1519,-1,0)+1,LARGE(A$3:A1518,1))</f>
        <v>#NUM!</v>
      </c>
      <c r="B1519" s="762">
        <f t="shared" ca="1" si="334"/>
        <v>21</v>
      </c>
      <c r="C1519" s="762">
        <f t="shared" ca="1" si="335"/>
        <v>1</v>
      </c>
      <c r="D1519" s="763">
        <f t="shared" ca="1" si="336"/>
        <v>1</v>
      </c>
      <c r="E1519" s="763">
        <f t="shared" ca="1" si="337"/>
        <v>1</v>
      </c>
      <c r="F1519" s="761"/>
    </row>
    <row r="1520" spans="1:6" x14ac:dyDescent="0.2">
      <c r="A1520" s="762" t="e">
        <f ca="1">IF($H1520="UNIDADE CONSTRUTIVA",OFFSET(A1520,-1,0)+1,LARGE(A$3:A1519,1))</f>
        <v>#NUM!</v>
      </c>
      <c r="B1520" s="762">
        <f t="shared" ca="1" si="334"/>
        <v>21</v>
      </c>
      <c r="C1520" s="762">
        <f t="shared" ca="1" si="335"/>
        <v>1</v>
      </c>
      <c r="D1520" s="763">
        <f t="shared" ca="1" si="336"/>
        <v>1</v>
      </c>
      <c r="E1520" s="763">
        <f t="shared" ca="1" si="337"/>
        <v>1</v>
      </c>
      <c r="F1520" s="761"/>
    </row>
    <row r="1521" spans="1:6" x14ac:dyDescent="0.2">
      <c r="A1521" s="762" t="e">
        <f ca="1">IF($H1521="UNIDADE CONSTRUTIVA",OFFSET(A1521,-1,0)+1,LARGE(A$3:A1520,1))</f>
        <v>#NUM!</v>
      </c>
      <c r="B1521" s="762">
        <f t="shared" ca="1" si="334"/>
        <v>21</v>
      </c>
      <c r="C1521" s="762">
        <f t="shared" ca="1" si="335"/>
        <v>1</v>
      </c>
      <c r="D1521" s="763">
        <f t="shared" ca="1" si="336"/>
        <v>1</v>
      </c>
      <c r="E1521" s="763">
        <f t="shared" ca="1" si="337"/>
        <v>1</v>
      </c>
      <c r="F1521" s="761"/>
    </row>
    <row r="1522" spans="1:6" x14ac:dyDescent="0.2">
      <c r="A1522" s="762" t="e">
        <f ca="1">IF($H1522="UNIDADE CONSTRUTIVA",OFFSET(A1522,-1,0)+1,LARGE(A$3:A1521,1))</f>
        <v>#NUM!</v>
      </c>
      <c r="B1522" s="762">
        <f t="shared" ref="B1522:B1585" ca="1" si="338">IF(H1522="UNIDADE CONSTRUTIVA",0,IF(H1522="CÉLULA CONSTRUTIVA",OFFSET(B1522,-1,0)+1,OFFSET(B1522,-1,0)))</f>
        <v>21</v>
      </c>
      <c r="C1522" s="762">
        <f t="shared" ref="C1522:C1585" ca="1" si="339">IF(H1522="CÉLULA CONSTRUTIVA",0,IF(H1522="ETAPA",OFFSET(C1522,-1,0)+1,OFFSET(C1522,-1,0)))</f>
        <v>1</v>
      </c>
      <c r="D1522" s="763">
        <f t="shared" ref="D1522:D1585" ca="1" si="340">IF(H1522="ETAPA",0,IF(H1522="SUBETAPA",OFFSET(D1522,-1,0)+1,OFFSET(D1522,-1,0)))</f>
        <v>1</v>
      </c>
      <c r="E1522" s="763">
        <f t="shared" ref="E1522:E1585" ca="1" si="341">IF(H1522="Subetapa",0,IF(H1522="serviço",OFFSET(E1522,-1,0)+1,OFFSET(E1522,-1,0)))</f>
        <v>1</v>
      </c>
      <c r="F1522" s="761"/>
    </row>
    <row r="1523" spans="1:6" x14ac:dyDescent="0.2">
      <c r="A1523" s="762" t="e">
        <f ca="1">IF($H1523="UNIDADE CONSTRUTIVA",OFFSET(A1523,-1,0)+1,LARGE(A$3:A1522,1))</f>
        <v>#NUM!</v>
      </c>
      <c r="B1523" s="762">
        <f t="shared" ca="1" si="338"/>
        <v>21</v>
      </c>
      <c r="C1523" s="762">
        <f t="shared" ca="1" si="339"/>
        <v>1</v>
      </c>
      <c r="D1523" s="763">
        <f t="shared" ca="1" si="340"/>
        <v>1</v>
      </c>
      <c r="E1523" s="763">
        <f t="shared" ca="1" si="341"/>
        <v>1</v>
      </c>
      <c r="F1523" s="761"/>
    </row>
    <row r="1524" spans="1:6" x14ac:dyDescent="0.2">
      <c r="A1524" s="762" t="e">
        <f ca="1">IF($H1524="UNIDADE CONSTRUTIVA",OFFSET(A1524,-1,0)+1,LARGE(A$3:A1523,1))</f>
        <v>#NUM!</v>
      </c>
      <c r="B1524" s="762">
        <f t="shared" ca="1" si="338"/>
        <v>21</v>
      </c>
      <c r="C1524" s="762">
        <f t="shared" ca="1" si="339"/>
        <v>1</v>
      </c>
      <c r="D1524" s="763">
        <f t="shared" ca="1" si="340"/>
        <v>1</v>
      </c>
      <c r="E1524" s="763">
        <f t="shared" ca="1" si="341"/>
        <v>1</v>
      </c>
      <c r="F1524" s="761"/>
    </row>
    <row r="1525" spans="1:6" x14ac:dyDescent="0.2">
      <c r="A1525" s="762" t="e">
        <f ca="1">IF($H1525="UNIDADE CONSTRUTIVA",OFFSET(A1525,-1,0)+1,LARGE(A$3:A1524,1))</f>
        <v>#NUM!</v>
      </c>
      <c r="B1525" s="762">
        <f t="shared" ca="1" si="338"/>
        <v>21</v>
      </c>
      <c r="C1525" s="762">
        <f t="shared" ca="1" si="339"/>
        <v>1</v>
      </c>
      <c r="D1525" s="763">
        <f t="shared" ca="1" si="340"/>
        <v>1</v>
      </c>
      <c r="E1525" s="763">
        <f t="shared" ca="1" si="341"/>
        <v>1</v>
      </c>
      <c r="F1525" s="761"/>
    </row>
    <row r="1526" spans="1:6" x14ac:dyDescent="0.2">
      <c r="A1526" s="762" t="e">
        <f ca="1">IF($H1526="UNIDADE CONSTRUTIVA",OFFSET(A1526,-1,0)+1,LARGE(A$3:A1525,1))</f>
        <v>#NUM!</v>
      </c>
      <c r="B1526" s="762">
        <f t="shared" ca="1" si="338"/>
        <v>21</v>
      </c>
      <c r="C1526" s="762">
        <f t="shared" ca="1" si="339"/>
        <v>1</v>
      </c>
      <c r="D1526" s="763">
        <f t="shared" ca="1" si="340"/>
        <v>1</v>
      </c>
      <c r="E1526" s="763">
        <f t="shared" ca="1" si="341"/>
        <v>1</v>
      </c>
      <c r="F1526" s="761"/>
    </row>
    <row r="1527" spans="1:6" x14ac:dyDescent="0.2">
      <c r="A1527" s="762" t="e">
        <f ca="1">IF($H1527="UNIDADE CONSTRUTIVA",OFFSET(A1527,-1,0)+1,LARGE(A$3:A1526,1))</f>
        <v>#NUM!</v>
      </c>
      <c r="B1527" s="762">
        <f t="shared" ca="1" si="338"/>
        <v>21</v>
      </c>
      <c r="C1527" s="762">
        <f t="shared" ca="1" si="339"/>
        <v>1</v>
      </c>
      <c r="D1527" s="763">
        <f t="shared" ca="1" si="340"/>
        <v>1</v>
      </c>
      <c r="E1527" s="763">
        <f t="shared" ca="1" si="341"/>
        <v>1</v>
      </c>
      <c r="F1527" s="761"/>
    </row>
    <row r="1528" spans="1:6" x14ac:dyDescent="0.2">
      <c r="A1528" s="762" t="e">
        <f ca="1">IF($H1528="UNIDADE CONSTRUTIVA",OFFSET(A1528,-1,0)+1,LARGE(A$3:A1527,1))</f>
        <v>#NUM!</v>
      </c>
      <c r="B1528" s="762">
        <f t="shared" ca="1" si="338"/>
        <v>21</v>
      </c>
      <c r="C1528" s="762">
        <f t="shared" ca="1" si="339"/>
        <v>1</v>
      </c>
      <c r="D1528" s="763">
        <f t="shared" ca="1" si="340"/>
        <v>1</v>
      </c>
      <c r="E1528" s="763">
        <f t="shared" ca="1" si="341"/>
        <v>1</v>
      </c>
      <c r="F1528" s="761"/>
    </row>
    <row r="1529" spans="1:6" x14ac:dyDescent="0.2">
      <c r="A1529" s="762" t="e">
        <f ca="1">IF($H1529="UNIDADE CONSTRUTIVA",OFFSET(A1529,-1,0)+1,LARGE(A$3:A1528,1))</f>
        <v>#NUM!</v>
      </c>
      <c r="B1529" s="762">
        <f t="shared" ca="1" si="338"/>
        <v>21</v>
      </c>
      <c r="C1529" s="762">
        <f t="shared" ca="1" si="339"/>
        <v>1</v>
      </c>
      <c r="D1529" s="763">
        <f t="shared" ca="1" si="340"/>
        <v>1</v>
      </c>
      <c r="E1529" s="763">
        <f t="shared" ca="1" si="341"/>
        <v>1</v>
      </c>
      <c r="F1529" s="761"/>
    </row>
    <row r="1530" spans="1:6" x14ac:dyDescent="0.2">
      <c r="A1530" s="762" t="e">
        <f ca="1">IF($H1530="UNIDADE CONSTRUTIVA",OFFSET(A1530,-1,0)+1,LARGE(A$3:A1529,1))</f>
        <v>#NUM!</v>
      </c>
      <c r="B1530" s="762">
        <f t="shared" ca="1" si="338"/>
        <v>21</v>
      </c>
      <c r="C1530" s="762">
        <f t="shared" ca="1" si="339"/>
        <v>1</v>
      </c>
      <c r="D1530" s="763">
        <f t="shared" ca="1" si="340"/>
        <v>1</v>
      </c>
      <c r="E1530" s="763">
        <f t="shared" ca="1" si="341"/>
        <v>1</v>
      </c>
      <c r="F1530" s="761"/>
    </row>
    <row r="1531" spans="1:6" x14ac:dyDescent="0.2">
      <c r="A1531" s="762" t="e">
        <f ca="1">IF($H1531="UNIDADE CONSTRUTIVA",OFFSET(A1531,-1,0)+1,LARGE(A$3:A1530,1))</f>
        <v>#NUM!</v>
      </c>
      <c r="B1531" s="762">
        <f t="shared" ca="1" si="338"/>
        <v>21</v>
      </c>
      <c r="C1531" s="762">
        <f t="shared" ca="1" si="339"/>
        <v>1</v>
      </c>
      <c r="D1531" s="763">
        <f t="shared" ca="1" si="340"/>
        <v>1</v>
      </c>
      <c r="E1531" s="763">
        <f t="shared" ca="1" si="341"/>
        <v>1</v>
      </c>
      <c r="F1531" s="761"/>
    </row>
    <row r="1532" spans="1:6" x14ac:dyDescent="0.2">
      <c r="A1532" s="762" t="e">
        <f ca="1">IF($H1532="UNIDADE CONSTRUTIVA",OFFSET(A1532,-1,0)+1,LARGE(A$3:A1531,1))</f>
        <v>#NUM!</v>
      </c>
      <c r="B1532" s="762">
        <f t="shared" ca="1" si="338"/>
        <v>21</v>
      </c>
      <c r="C1532" s="762">
        <f t="shared" ca="1" si="339"/>
        <v>1</v>
      </c>
      <c r="D1532" s="763">
        <f t="shared" ca="1" si="340"/>
        <v>1</v>
      </c>
      <c r="E1532" s="763">
        <f t="shared" ca="1" si="341"/>
        <v>1</v>
      </c>
      <c r="F1532" s="761"/>
    </row>
    <row r="1533" spans="1:6" x14ac:dyDescent="0.2">
      <c r="A1533" s="762" t="e">
        <f ca="1">IF($H1533="UNIDADE CONSTRUTIVA",OFFSET(A1533,-1,0)+1,LARGE(A$3:A1532,1))</f>
        <v>#NUM!</v>
      </c>
      <c r="B1533" s="762">
        <f t="shared" ca="1" si="338"/>
        <v>21</v>
      </c>
      <c r="C1533" s="762">
        <f t="shared" ca="1" si="339"/>
        <v>1</v>
      </c>
      <c r="D1533" s="763">
        <f t="shared" ca="1" si="340"/>
        <v>1</v>
      </c>
      <c r="E1533" s="763">
        <f t="shared" ca="1" si="341"/>
        <v>1</v>
      </c>
      <c r="F1533" s="761"/>
    </row>
    <row r="1534" spans="1:6" x14ac:dyDescent="0.2">
      <c r="A1534" s="762" t="e">
        <f ca="1">IF($H1534="UNIDADE CONSTRUTIVA",OFFSET(A1534,-1,0)+1,LARGE(A$3:A1533,1))</f>
        <v>#NUM!</v>
      </c>
      <c r="B1534" s="762">
        <f t="shared" ca="1" si="338"/>
        <v>21</v>
      </c>
      <c r="C1534" s="762">
        <f t="shared" ca="1" si="339"/>
        <v>1</v>
      </c>
      <c r="D1534" s="763">
        <f t="shared" ca="1" si="340"/>
        <v>1</v>
      </c>
      <c r="E1534" s="763">
        <f t="shared" ca="1" si="341"/>
        <v>1</v>
      </c>
      <c r="F1534" s="761"/>
    </row>
    <row r="1535" spans="1:6" x14ac:dyDescent="0.2">
      <c r="A1535" s="762" t="e">
        <f ca="1">IF($H1535="UNIDADE CONSTRUTIVA",OFFSET(A1535,-1,0)+1,LARGE(A$3:A1534,1))</f>
        <v>#NUM!</v>
      </c>
      <c r="B1535" s="762">
        <f t="shared" ca="1" si="338"/>
        <v>21</v>
      </c>
      <c r="C1535" s="762">
        <f t="shared" ca="1" si="339"/>
        <v>1</v>
      </c>
      <c r="D1535" s="763">
        <f t="shared" ca="1" si="340"/>
        <v>1</v>
      </c>
      <c r="E1535" s="763">
        <f t="shared" ca="1" si="341"/>
        <v>1</v>
      </c>
      <c r="F1535" s="761"/>
    </row>
    <row r="1536" spans="1:6" x14ac:dyDescent="0.2">
      <c r="A1536" s="762" t="e">
        <f ca="1">IF($H1536="UNIDADE CONSTRUTIVA",OFFSET(A1536,-1,0)+1,LARGE(A$3:A1535,1))</f>
        <v>#NUM!</v>
      </c>
      <c r="B1536" s="762">
        <f t="shared" ca="1" si="338"/>
        <v>21</v>
      </c>
      <c r="C1536" s="762">
        <f t="shared" ca="1" si="339"/>
        <v>1</v>
      </c>
      <c r="D1536" s="763">
        <f t="shared" ca="1" si="340"/>
        <v>1</v>
      </c>
      <c r="E1536" s="763">
        <f t="shared" ca="1" si="341"/>
        <v>1</v>
      </c>
      <c r="F1536" s="761"/>
    </row>
    <row r="1537" spans="1:6" x14ac:dyDescent="0.2">
      <c r="A1537" s="762" t="e">
        <f ca="1">IF($H1537="UNIDADE CONSTRUTIVA",OFFSET(A1537,-1,0)+1,LARGE(A$3:A1536,1))</f>
        <v>#NUM!</v>
      </c>
      <c r="B1537" s="762">
        <f t="shared" ca="1" si="338"/>
        <v>21</v>
      </c>
      <c r="C1537" s="762">
        <f t="shared" ca="1" si="339"/>
        <v>1</v>
      </c>
      <c r="D1537" s="763">
        <f t="shared" ca="1" si="340"/>
        <v>1</v>
      </c>
      <c r="E1537" s="763">
        <f t="shared" ca="1" si="341"/>
        <v>1</v>
      </c>
      <c r="F1537" s="761"/>
    </row>
    <row r="1538" spans="1:6" x14ac:dyDescent="0.2">
      <c r="A1538" s="762" t="e">
        <f ca="1">IF($H1538="UNIDADE CONSTRUTIVA",OFFSET(A1538,-1,0)+1,LARGE(A$3:A1537,1))</f>
        <v>#NUM!</v>
      </c>
      <c r="B1538" s="762">
        <f t="shared" ca="1" si="338"/>
        <v>21</v>
      </c>
      <c r="C1538" s="762">
        <f t="shared" ca="1" si="339"/>
        <v>1</v>
      </c>
      <c r="D1538" s="763">
        <f t="shared" ca="1" si="340"/>
        <v>1</v>
      </c>
      <c r="E1538" s="763">
        <f t="shared" ca="1" si="341"/>
        <v>1</v>
      </c>
      <c r="F1538" s="761"/>
    </row>
    <row r="1539" spans="1:6" x14ac:dyDescent="0.2">
      <c r="A1539" s="762" t="e">
        <f ca="1">IF($H1539="UNIDADE CONSTRUTIVA",OFFSET(A1539,-1,0)+1,LARGE(A$3:A1538,1))</f>
        <v>#NUM!</v>
      </c>
      <c r="B1539" s="762">
        <f t="shared" ca="1" si="338"/>
        <v>21</v>
      </c>
      <c r="C1539" s="762">
        <f t="shared" ca="1" si="339"/>
        <v>1</v>
      </c>
      <c r="D1539" s="763">
        <f t="shared" ca="1" si="340"/>
        <v>1</v>
      </c>
      <c r="E1539" s="763">
        <f t="shared" ca="1" si="341"/>
        <v>1</v>
      </c>
      <c r="F1539" s="761"/>
    </row>
    <row r="1540" spans="1:6" x14ac:dyDescent="0.2">
      <c r="A1540" s="762" t="e">
        <f ca="1">IF($H1540="UNIDADE CONSTRUTIVA",OFFSET(A1540,-1,0)+1,LARGE(A$3:A1539,1))</f>
        <v>#NUM!</v>
      </c>
      <c r="B1540" s="762">
        <f t="shared" ca="1" si="338"/>
        <v>21</v>
      </c>
      <c r="C1540" s="762">
        <f t="shared" ca="1" si="339"/>
        <v>1</v>
      </c>
      <c r="D1540" s="763">
        <f t="shared" ca="1" si="340"/>
        <v>1</v>
      </c>
      <c r="E1540" s="763">
        <f t="shared" ca="1" si="341"/>
        <v>1</v>
      </c>
      <c r="F1540" s="761"/>
    </row>
    <row r="1541" spans="1:6" x14ac:dyDescent="0.2">
      <c r="A1541" s="762" t="e">
        <f ca="1">IF($H1541="UNIDADE CONSTRUTIVA",OFFSET(A1541,-1,0)+1,LARGE(A$3:A1540,1))</f>
        <v>#NUM!</v>
      </c>
      <c r="B1541" s="762">
        <f t="shared" ca="1" si="338"/>
        <v>21</v>
      </c>
      <c r="C1541" s="762">
        <f t="shared" ca="1" si="339"/>
        <v>1</v>
      </c>
      <c r="D1541" s="763">
        <f t="shared" ca="1" si="340"/>
        <v>1</v>
      </c>
      <c r="E1541" s="763">
        <f t="shared" ca="1" si="341"/>
        <v>1</v>
      </c>
      <c r="F1541" s="761"/>
    </row>
    <row r="1542" spans="1:6" x14ac:dyDescent="0.2">
      <c r="A1542" s="762" t="e">
        <f ca="1">IF($H1542="UNIDADE CONSTRUTIVA",OFFSET(A1542,-1,0)+1,LARGE(A$3:A1541,1))</f>
        <v>#NUM!</v>
      </c>
      <c r="B1542" s="762">
        <f t="shared" ca="1" si="338"/>
        <v>21</v>
      </c>
      <c r="C1542" s="762">
        <f t="shared" ca="1" si="339"/>
        <v>1</v>
      </c>
      <c r="D1542" s="763">
        <f t="shared" ca="1" si="340"/>
        <v>1</v>
      </c>
      <c r="E1542" s="763">
        <f t="shared" ca="1" si="341"/>
        <v>1</v>
      </c>
      <c r="F1542" s="761"/>
    </row>
    <row r="1543" spans="1:6" x14ac:dyDescent="0.2">
      <c r="A1543" s="762" t="e">
        <f ca="1">IF($H1543="UNIDADE CONSTRUTIVA",OFFSET(A1543,-1,0)+1,LARGE(A$3:A1542,1))</f>
        <v>#NUM!</v>
      </c>
      <c r="B1543" s="762">
        <f t="shared" ca="1" si="338"/>
        <v>21</v>
      </c>
      <c r="C1543" s="762">
        <f t="shared" ca="1" si="339"/>
        <v>1</v>
      </c>
      <c r="D1543" s="763">
        <f t="shared" ca="1" si="340"/>
        <v>1</v>
      </c>
      <c r="E1543" s="763">
        <f t="shared" ca="1" si="341"/>
        <v>1</v>
      </c>
      <c r="F1543" s="761"/>
    </row>
    <row r="1544" spans="1:6" x14ac:dyDescent="0.2">
      <c r="A1544" s="762" t="e">
        <f ca="1">IF($H1544="UNIDADE CONSTRUTIVA",OFFSET(A1544,-1,0)+1,LARGE(A$3:A1543,1))</f>
        <v>#NUM!</v>
      </c>
      <c r="B1544" s="762">
        <f t="shared" ca="1" si="338"/>
        <v>21</v>
      </c>
      <c r="C1544" s="762">
        <f t="shared" ca="1" si="339"/>
        <v>1</v>
      </c>
      <c r="D1544" s="763">
        <f t="shared" ca="1" si="340"/>
        <v>1</v>
      </c>
      <c r="E1544" s="763">
        <f t="shared" ca="1" si="341"/>
        <v>1</v>
      </c>
      <c r="F1544" s="761"/>
    </row>
    <row r="1545" spans="1:6" x14ac:dyDescent="0.2">
      <c r="A1545" s="762" t="e">
        <f ca="1">IF($H1545="UNIDADE CONSTRUTIVA",OFFSET(A1545,-1,0)+1,LARGE(A$3:A1544,1))</f>
        <v>#NUM!</v>
      </c>
      <c r="B1545" s="762">
        <f t="shared" ca="1" si="338"/>
        <v>21</v>
      </c>
      <c r="C1545" s="762">
        <f t="shared" ca="1" si="339"/>
        <v>1</v>
      </c>
      <c r="D1545" s="763">
        <f t="shared" ca="1" si="340"/>
        <v>1</v>
      </c>
      <c r="E1545" s="763">
        <f t="shared" ca="1" si="341"/>
        <v>1</v>
      </c>
      <c r="F1545" s="761"/>
    </row>
    <row r="1546" spans="1:6" x14ac:dyDescent="0.2">
      <c r="A1546" s="762" t="e">
        <f ca="1">IF($H1546="UNIDADE CONSTRUTIVA",OFFSET(A1546,-1,0)+1,LARGE(A$3:A1545,1))</f>
        <v>#NUM!</v>
      </c>
      <c r="B1546" s="762">
        <f t="shared" ca="1" si="338"/>
        <v>21</v>
      </c>
      <c r="C1546" s="762">
        <f t="shared" ca="1" si="339"/>
        <v>1</v>
      </c>
      <c r="D1546" s="763">
        <f t="shared" ca="1" si="340"/>
        <v>1</v>
      </c>
      <c r="E1546" s="763">
        <f t="shared" ca="1" si="341"/>
        <v>1</v>
      </c>
      <c r="F1546" s="761"/>
    </row>
    <row r="1547" spans="1:6" x14ac:dyDescent="0.2">
      <c r="A1547" s="762" t="e">
        <f ca="1">IF($H1547="UNIDADE CONSTRUTIVA",OFFSET(A1547,-1,0)+1,LARGE(A$3:A1546,1))</f>
        <v>#NUM!</v>
      </c>
      <c r="B1547" s="762">
        <f t="shared" ca="1" si="338"/>
        <v>21</v>
      </c>
      <c r="C1547" s="762">
        <f t="shared" ca="1" si="339"/>
        <v>1</v>
      </c>
      <c r="D1547" s="763">
        <f t="shared" ca="1" si="340"/>
        <v>1</v>
      </c>
      <c r="E1547" s="763">
        <f t="shared" ca="1" si="341"/>
        <v>1</v>
      </c>
      <c r="F1547" s="761"/>
    </row>
    <row r="1548" spans="1:6" x14ac:dyDescent="0.2">
      <c r="A1548" s="762" t="e">
        <f ca="1">IF($H1548="UNIDADE CONSTRUTIVA",OFFSET(A1548,-1,0)+1,LARGE(A$3:A1547,1))</f>
        <v>#NUM!</v>
      </c>
      <c r="B1548" s="762">
        <f t="shared" ca="1" si="338"/>
        <v>21</v>
      </c>
      <c r="C1548" s="762">
        <f t="shared" ca="1" si="339"/>
        <v>1</v>
      </c>
      <c r="D1548" s="763">
        <f t="shared" ca="1" si="340"/>
        <v>1</v>
      </c>
      <c r="E1548" s="763">
        <f t="shared" ca="1" si="341"/>
        <v>1</v>
      </c>
      <c r="F1548" s="761"/>
    </row>
    <row r="1549" spans="1:6" x14ac:dyDescent="0.2">
      <c r="A1549" s="762" t="e">
        <f ca="1">IF($H1549="UNIDADE CONSTRUTIVA",OFFSET(A1549,-1,0)+1,LARGE(A$3:A1548,1))</f>
        <v>#NUM!</v>
      </c>
      <c r="B1549" s="762">
        <f t="shared" ca="1" si="338"/>
        <v>21</v>
      </c>
      <c r="C1549" s="762">
        <f t="shared" ca="1" si="339"/>
        <v>1</v>
      </c>
      <c r="D1549" s="763">
        <f t="shared" ca="1" si="340"/>
        <v>1</v>
      </c>
      <c r="E1549" s="763">
        <f t="shared" ca="1" si="341"/>
        <v>1</v>
      </c>
      <c r="F1549" s="761"/>
    </row>
    <row r="1550" spans="1:6" x14ac:dyDescent="0.2">
      <c r="A1550" s="762" t="e">
        <f ca="1">IF($H1550="UNIDADE CONSTRUTIVA",OFFSET(A1550,-1,0)+1,LARGE(A$3:A1549,1))</f>
        <v>#NUM!</v>
      </c>
      <c r="B1550" s="762">
        <f t="shared" ca="1" si="338"/>
        <v>21</v>
      </c>
      <c r="C1550" s="762">
        <f t="shared" ca="1" si="339"/>
        <v>1</v>
      </c>
      <c r="D1550" s="763">
        <f t="shared" ca="1" si="340"/>
        <v>1</v>
      </c>
      <c r="E1550" s="763">
        <f t="shared" ca="1" si="341"/>
        <v>1</v>
      </c>
      <c r="F1550" s="761"/>
    </row>
    <row r="1551" spans="1:6" x14ac:dyDescent="0.2">
      <c r="A1551" s="762" t="e">
        <f ca="1">IF($H1551="UNIDADE CONSTRUTIVA",OFFSET(A1551,-1,0)+1,LARGE(A$3:A1550,1))</f>
        <v>#NUM!</v>
      </c>
      <c r="B1551" s="762">
        <f t="shared" ca="1" si="338"/>
        <v>21</v>
      </c>
      <c r="C1551" s="762">
        <f t="shared" ca="1" si="339"/>
        <v>1</v>
      </c>
      <c r="D1551" s="763">
        <f t="shared" ca="1" si="340"/>
        <v>1</v>
      </c>
      <c r="E1551" s="763">
        <f t="shared" ca="1" si="341"/>
        <v>1</v>
      </c>
      <c r="F1551" s="761"/>
    </row>
    <row r="1552" spans="1:6" x14ac:dyDescent="0.2">
      <c r="A1552" s="762" t="e">
        <f ca="1">IF($H1552="UNIDADE CONSTRUTIVA",OFFSET(A1552,-1,0)+1,LARGE(A$3:A1551,1))</f>
        <v>#NUM!</v>
      </c>
      <c r="B1552" s="762">
        <f t="shared" ca="1" si="338"/>
        <v>21</v>
      </c>
      <c r="C1552" s="762">
        <f t="shared" ca="1" si="339"/>
        <v>1</v>
      </c>
      <c r="D1552" s="763">
        <f t="shared" ca="1" si="340"/>
        <v>1</v>
      </c>
      <c r="E1552" s="763">
        <f t="shared" ca="1" si="341"/>
        <v>1</v>
      </c>
      <c r="F1552" s="761"/>
    </row>
    <row r="1553" spans="1:6" x14ac:dyDescent="0.2">
      <c r="A1553" s="762" t="e">
        <f ca="1">IF($H1553="UNIDADE CONSTRUTIVA",OFFSET(A1553,-1,0)+1,LARGE(A$3:A1552,1))</f>
        <v>#NUM!</v>
      </c>
      <c r="B1553" s="762">
        <f t="shared" ca="1" si="338"/>
        <v>21</v>
      </c>
      <c r="C1553" s="762">
        <f t="shared" ca="1" si="339"/>
        <v>1</v>
      </c>
      <c r="D1553" s="763">
        <f t="shared" ca="1" si="340"/>
        <v>1</v>
      </c>
      <c r="E1553" s="763">
        <f t="shared" ca="1" si="341"/>
        <v>1</v>
      </c>
      <c r="F1553" s="761"/>
    </row>
    <row r="1554" spans="1:6" x14ac:dyDescent="0.2">
      <c r="A1554" s="762" t="e">
        <f ca="1">IF($H1554="UNIDADE CONSTRUTIVA",OFFSET(A1554,-1,0)+1,LARGE(A$3:A1553,1))</f>
        <v>#NUM!</v>
      </c>
      <c r="B1554" s="762">
        <f t="shared" ca="1" si="338"/>
        <v>21</v>
      </c>
      <c r="C1554" s="762">
        <f t="shared" ca="1" si="339"/>
        <v>1</v>
      </c>
      <c r="D1554" s="763">
        <f t="shared" ca="1" si="340"/>
        <v>1</v>
      </c>
      <c r="E1554" s="763">
        <f t="shared" ca="1" si="341"/>
        <v>1</v>
      </c>
      <c r="F1554" s="761"/>
    </row>
    <row r="1555" spans="1:6" x14ac:dyDescent="0.2">
      <c r="A1555" s="762" t="e">
        <f ca="1">IF($H1555="UNIDADE CONSTRUTIVA",OFFSET(A1555,-1,0)+1,LARGE(A$3:A1554,1))</f>
        <v>#NUM!</v>
      </c>
      <c r="B1555" s="762">
        <f t="shared" ca="1" si="338"/>
        <v>21</v>
      </c>
      <c r="C1555" s="762">
        <f t="shared" ca="1" si="339"/>
        <v>1</v>
      </c>
      <c r="D1555" s="763">
        <f t="shared" ca="1" si="340"/>
        <v>1</v>
      </c>
      <c r="E1555" s="763">
        <f t="shared" ca="1" si="341"/>
        <v>1</v>
      </c>
      <c r="F1555" s="761"/>
    </row>
    <row r="1556" spans="1:6" x14ac:dyDescent="0.2">
      <c r="A1556" s="762" t="e">
        <f ca="1">IF($H1556="UNIDADE CONSTRUTIVA",OFFSET(A1556,-1,0)+1,LARGE(A$3:A1555,1))</f>
        <v>#NUM!</v>
      </c>
      <c r="B1556" s="762">
        <f t="shared" ca="1" si="338"/>
        <v>21</v>
      </c>
      <c r="C1556" s="762">
        <f t="shared" ca="1" si="339"/>
        <v>1</v>
      </c>
      <c r="D1556" s="763">
        <f t="shared" ca="1" si="340"/>
        <v>1</v>
      </c>
      <c r="E1556" s="763">
        <f t="shared" ca="1" si="341"/>
        <v>1</v>
      </c>
      <c r="F1556" s="761"/>
    </row>
    <row r="1557" spans="1:6" x14ac:dyDescent="0.2">
      <c r="A1557" s="762" t="e">
        <f ca="1">IF($H1557="UNIDADE CONSTRUTIVA",OFFSET(A1557,-1,0)+1,LARGE(A$3:A1556,1))</f>
        <v>#NUM!</v>
      </c>
      <c r="B1557" s="762">
        <f t="shared" ca="1" si="338"/>
        <v>21</v>
      </c>
      <c r="C1557" s="762">
        <f t="shared" ca="1" si="339"/>
        <v>1</v>
      </c>
      <c r="D1557" s="763">
        <f t="shared" ca="1" si="340"/>
        <v>1</v>
      </c>
      <c r="E1557" s="763">
        <f t="shared" ca="1" si="341"/>
        <v>1</v>
      </c>
      <c r="F1557" s="761"/>
    </row>
    <row r="1558" spans="1:6" x14ac:dyDescent="0.2">
      <c r="A1558" s="762" t="e">
        <f ca="1">IF($H1558="UNIDADE CONSTRUTIVA",OFFSET(A1558,-1,0)+1,LARGE(A$3:A1557,1))</f>
        <v>#NUM!</v>
      </c>
      <c r="B1558" s="762">
        <f t="shared" ca="1" si="338"/>
        <v>21</v>
      </c>
      <c r="C1558" s="762">
        <f t="shared" ca="1" si="339"/>
        <v>1</v>
      </c>
      <c r="D1558" s="763">
        <f t="shared" ca="1" si="340"/>
        <v>1</v>
      </c>
      <c r="E1558" s="763">
        <f t="shared" ca="1" si="341"/>
        <v>1</v>
      </c>
      <c r="F1558" s="761"/>
    </row>
    <row r="1559" spans="1:6" x14ac:dyDescent="0.2">
      <c r="A1559" s="762" t="e">
        <f ca="1">IF($H1559="UNIDADE CONSTRUTIVA",OFFSET(A1559,-1,0)+1,LARGE(A$3:A1558,1))</f>
        <v>#NUM!</v>
      </c>
      <c r="B1559" s="762">
        <f t="shared" ca="1" si="338"/>
        <v>21</v>
      </c>
      <c r="C1559" s="762">
        <f t="shared" ca="1" si="339"/>
        <v>1</v>
      </c>
      <c r="D1559" s="763">
        <f t="shared" ca="1" si="340"/>
        <v>1</v>
      </c>
      <c r="E1559" s="763">
        <f t="shared" ca="1" si="341"/>
        <v>1</v>
      </c>
      <c r="F1559" s="761"/>
    </row>
    <row r="1560" spans="1:6" x14ac:dyDescent="0.2">
      <c r="A1560" s="762" t="e">
        <f ca="1">IF($H1560="UNIDADE CONSTRUTIVA",OFFSET(A1560,-1,0)+1,LARGE(A$3:A1559,1))</f>
        <v>#NUM!</v>
      </c>
      <c r="B1560" s="762">
        <f t="shared" ca="1" si="338"/>
        <v>21</v>
      </c>
      <c r="C1560" s="762">
        <f t="shared" ca="1" si="339"/>
        <v>1</v>
      </c>
      <c r="D1560" s="763">
        <f t="shared" ca="1" si="340"/>
        <v>1</v>
      </c>
      <c r="E1560" s="763">
        <f t="shared" ca="1" si="341"/>
        <v>1</v>
      </c>
      <c r="F1560" s="761"/>
    </row>
    <row r="1561" spans="1:6" x14ac:dyDescent="0.2">
      <c r="A1561" s="762" t="e">
        <f ca="1">IF($H1561="UNIDADE CONSTRUTIVA",OFFSET(A1561,-1,0)+1,LARGE(A$3:A1560,1))</f>
        <v>#NUM!</v>
      </c>
      <c r="B1561" s="762">
        <f t="shared" ca="1" si="338"/>
        <v>21</v>
      </c>
      <c r="C1561" s="762">
        <f t="shared" ca="1" si="339"/>
        <v>1</v>
      </c>
      <c r="D1561" s="763">
        <f t="shared" ca="1" si="340"/>
        <v>1</v>
      </c>
      <c r="E1561" s="763">
        <f t="shared" ca="1" si="341"/>
        <v>1</v>
      </c>
      <c r="F1561" s="761"/>
    </row>
    <row r="1562" spans="1:6" x14ac:dyDescent="0.2">
      <c r="A1562" s="762" t="e">
        <f ca="1">IF($H1562="UNIDADE CONSTRUTIVA",OFFSET(A1562,-1,0)+1,LARGE(A$3:A1561,1))</f>
        <v>#NUM!</v>
      </c>
      <c r="B1562" s="762">
        <f t="shared" ca="1" si="338"/>
        <v>21</v>
      </c>
      <c r="C1562" s="762">
        <f t="shared" ca="1" si="339"/>
        <v>1</v>
      </c>
      <c r="D1562" s="763">
        <f t="shared" ca="1" si="340"/>
        <v>1</v>
      </c>
      <c r="E1562" s="763">
        <f t="shared" ca="1" si="341"/>
        <v>1</v>
      </c>
      <c r="F1562" s="761"/>
    </row>
    <row r="1563" spans="1:6" x14ac:dyDescent="0.2">
      <c r="A1563" s="762" t="e">
        <f ca="1">IF($H1563="UNIDADE CONSTRUTIVA",OFFSET(A1563,-1,0)+1,LARGE(A$3:A1562,1))</f>
        <v>#NUM!</v>
      </c>
      <c r="B1563" s="762">
        <f t="shared" ca="1" si="338"/>
        <v>21</v>
      </c>
      <c r="C1563" s="762">
        <f t="shared" ca="1" si="339"/>
        <v>1</v>
      </c>
      <c r="D1563" s="763">
        <f t="shared" ca="1" si="340"/>
        <v>1</v>
      </c>
      <c r="E1563" s="763">
        <f t="shared" ca="1" si="341"/>
        <v>1</v>
      </c>
      <c r="F1563" s="761"/>
    </row>
    <row r="1564" spans="1:6" x14ac:dyDescent="0.2">
      <c r="A1564" s="762" t="e">
        <f ca="1">IF($H1564="UNIDADE CONSTRUTIVA",OFFSET(A1564,-1,0)+1,LARGE(A$3:A1563,1))</f>
        <v>#NUM!</v>
      </c>
      <c r="B1564" s="762">
        <f t="shared" ca="1" si="338"/>
        <v>21</v>
      </c>
      <c r="C1564" s="762">
        <f t="shared" ca="1" si="339"/>
        <v>1</v>
      </c>
      <c r="D1564" s="763">
        <f t="shared" ca="1" si="340"/>
        <v>1</v>
      </c>
      <c r="E1564" s="763">
        <f t="shared" ca="1" si="341"/>
        <v>1</v>
      </c>
      <c r="F1564" s="761"/>
    </row>
    <row r="1565" spans="1:6" x14ac:dyDescent="0.2">
      <c r="A1565" s="762" t="e">
        <f ca="1">IF($H1565="UNIDADE CONSTRUTIVA",OFFSET(A1565,-1,0)+1,LARGE(A$3:A1564,1))</f>
        <v>#NUM!</v>
      </c>
      <c r="B1565" s="762">
        <f t="shared" ca="1" si="338"/>
        <v>21</v>
      </c>
      <c r="C1565" s="762">
        <f t="shared" ca="1" si="339"/>
        <v>1</v>
      </c>
      <c r="D1565" s="763">
        <f t="shared" ca="1" si="340"/>
        <v>1</v>
      </c>
      <c r="E1565" s="763">
        <f t="shared" ca="1" si="341"/>
        <v>1</v>
      </c>
      <c r="F1565" s="761"/>
    </row>
    <row r="1566" spans="1:6" x14ac:dyDescent="0.2">
      <c r="A1566" s="762" t="e">
        <f ca="1">IF($H1566="UNIDADE CONSTRUTIVA",OFFSET(A1566,-1,0)+1,LARGE(A$3:A1565,1))</f>
        <v>#NUM!</v>
      </c>
      <c r="B1566" s="762">
        <f t="shared" ca="1" si="338"/>
        <v>21</v>
      </c>
      <c r="C1566" s="762">
        <f t="shared" ca="1" si="339"/>
        <v>1</v>
      </c>
      <c r="D1566" s="763">
        <f t="shared" ca="1" si="340"/>
        <v>1</v>
      </c>
      <c r="E1566" s="763">
        <f t="shared" ca="1" si="341"/>
        <v>1</v>
      </c>
      <c r="F1566" s="761"/>
    </row>
    <row r="1567" spans="1:6" x14ac:dyDescent="0.2">
      <c r="A1567" s="762" t="e">
        <f ca="1">IF($H1567="UNIDADE CONSTRUTIVA",OFFSET(A1567,-1,0)+1,LARGE(A$3:A1566,1))</f>
        <v>#NUM!</v>
      </c>
      <c r="B1567" s="762">
        <f t="shared" ca="1" si="338"/>
        <v>21</v>
      </c>
      <c r="C1567" s="762">
        <f t="shared" ca="1" si="339"/>
        <v>1</v>
      </c>
      <c r="D1567" s="763">
        <f t="shared" ca="1" si="340"/>
        <v>1</v>
      </c>
      <c r="E1567" s="763">
        <f t="shared" ca="1" si="341"/>
        <v>1</v>
      </c>
      <c r="F1567" s="761"/>
    </row>
    <row r="1568" spans="1:6" x14ac:dyDescent="0.2">
      <c r="A1568" s="762" t="e">
        <f ca="1">IF($H1568="UNIDADE CONSTRUTIVA",OFFSET(A1568,-1,0)+1,LARGE(A$3:A1567,1))</f>
        <v>#NUM!</v>
      </c>
      <c r="B1568" s="762">
        <f t="shared" ca="1" si="338"/>
        <v>21</v>
      </c>
      <c r="C1568" s="762">
        <f t="shared" ca="1" si="339"/>
        <v>1</v>
      </c>
      <c r="D1568" s="763">
        <f t="shared" ca="1" si="340"/>
        <v>1</v>
      </c>
      <c r="E1568" s="763">
        <f t="shared" ca="1" si="341"/>
        <v>1</v>
      </c>
      <c r="F1568" s="761"/>
    </row>
    <row r="1569" spans="1:6" x14ac:dyDescent="0.2">
      <c r="A1569" s="762" t="e">
        <f ca="1">IF($H1569="UNIDADE CONSTRUTIVA",OFFSET(A1569,-1,0)+1,LARGE(A$3:A1568,1))</f>
        <v>#NUM!</v>
      </c>
      <c r="B1569" s="762">
        <f t="shared" ca="1" si="338"/>
        <v>21</v>
      </c>
      <c r="C1569" s="762">
        <f t="shared" ca="1" si="339"/>
        <v>1</v>
      </c>
      <c r="D1569" s="763">
        <f t="shared" ca="1" si="340"/>
        <v>1</v>
      </c>
      <c r="E1569" s="763">
        <f t="shared" ca="1" si="341"/>
        <v>1</v>
      </c>
      <c r="F1569" s="761"/>
    </row>
    <row r="1570" spans="1:6" x14ac:dyDescent="0.2">
      <c r="A1570" s="762" t="e">
        <f ca="1">IF($H1570="UNIDADE CONSTRUTIVA",OFFSET(A1570,-1,0)+1,LARGE(A$3:A1569,1))</f>
        <v>#NUM!</v>
      </c>
      <c r="B1570" s="762">
        <f t="shared" ca="1" si="338"/>
        <v>21</v>
      </c>
      <c r="C1570" s="762">
        <f t="shared" ca="1" si="339"/>
        <v>1</v>
      </c>
      <c r="D1570" s="763">
        <f t="shared" ca="1" si="340"/>
        <v>1</v>
      </c>
      <c r="E1570" s="763">
        <f t="shared" ca="1" si="341"/>
        <v>1</v>
      </c>
      <c r="F1570" s="761"/>
    </row>
    <row r="1571" spans="1:6" x14ac:dyDescent="0.2">
      <c r="A1571" s="762" t="e">
        <f ca="1">IF($H1571="UNIDADE CONSTRUTIVA",OFFSET(A1571,-1,0)+1,LARGE(A$3:A1570,1))</f>
        <v>#NUM!</v>
      </c>
      <c r="B1571" s="762">
        <f t="shared" ca="1" si="338"/>
        <v>21</v>
      </c>
      <c r="C1571" s="762">
        <f t="shared" ca="1" si="339"/>
        <v>1</v>
      </c>
      <c r="D1571" s="763">
        <f t="shared" ca="1" si="340"/>
        <v>1</v>
      </c>
      <c r="E1571" s="763">
        <f t="shared" ca="1" si="341"/>
        <v>1</v>
      </c>
      <c r="F1571" s="761"/>
    </row>
    <row r="1572" spans="1:6" x14ac:dyDescent="0.2">
      <c r="A1572" s="762" t="e">
        <f ca="1">IF($H1572="UNIDADE CONSTRUTIVA",OFFSET(A1572,-1,0)+1,LARGE(A$3:A1571,1))</f>
        <v>#NUM!</v>
      </c>
      <c r="B1572" s="762">
        <f t="shared" ca="1" si="338"/>
        <v>21</v>
      </c>
      <c r="C1572" s="762">
        <f t="shared" ca="1" si="339"/>
        <v>1</v>
      </c>
      <c r="D1572" s="763">
        <f t="shared" ca="1" si="340"/>
        <v>1</v>
      </c>
      <c r="E1572" s="763">
        <f t="shared" ca="1" si="341"/>
        <v>1</v>
      </c>
      <c r="F1572" s="761"/>
    </row>
    <row r="1573" spans="1:6" x14ac:dyDescent="0.2">
      <c r="A1573" s="762" t="e">
        <f ca="1">IF($H1573="UNIDADE CONSTRUTIVA",OFFSET(A1573,-1,0)+1,LARGE(A$3:A1572,1))</f>
        <v>#NUM!</v>
      </c>
      <c r="B1573" s="762">
        <f t="shared" ca="1" si="338"/>
        <v>21</v>
      </c>
      <c r="C1573" s="762">
        <f t="shared" ca="1" si="339"/>
        <v>1</v>
      </c>
      <c r="D1573" s="763">
        <f t="shared" ca="1" si="340"/>
        <v>1</v>
      </c>
      <c r="E1573" s="763">
        <f t="shared" ca="1" si="341"/>
        <v>1</v>
      </c>
      <c r="F1573" s="761"/>
    </row>
    <row r="1574" spans="1:6" x14ac:dyDescent="0.2">
      <c r="A1574" s="762" t="e">
        <f ca="1">IF($H1574="UNIDADE CONSTRUTIVA",OFFSET(A1574,-1,0)+1,LARGE(A$3:A1573,1))</f>
        <v>#NUM!</v>
      </c>
      <c r="B1574" s="762">
        <f t="shared" ca="1" si="338"/>
        <v>21</v>
      </c>
      <c r="C1574" s="762">
        <f t="shared" ca="1" si="339"/>
        <v>1</v>
      </c>
      <c r="D1574" s="763">
        <f t="shared" ca="1" si="340"/>
        <v>1</v>
      </c>
      <c r="E1574" s="763">
        <f t="shared" ca="1" si="341"/>
        <v>1</v>
      </c>
      <c r="F1574" s="761"/>
    </row>
    <row r="1575" spans="1:6" x14ac:dyDescent="0.2">
      <c r="A1575" s="762" t="e">
        <f ca="1">IF($H1575="UNIDADE CONSTRUTIVA",OFFSET(A1575,-1,0)+1,LARGE(A$3:A1574,1))</f>
        <v>#NUM!</v>
      </c>
      <c r="B1575" s="762">
        <f t="shared" ca="1" si="338"/>
        <v>21</v>
      </c>
      <c r="C1575" s="762">
        <f t="shared" ca="1" si="339"/>
        <v>1</v>
      </c>
      <c r="D1575" s="763">
        <f t="shared" ca="1" si="340"/>
        <v>1</v>
      </c>
      <c r="E1575" s="763">
        <f t="shared" ca="1" si="341"/>
        <v>1</v>
      </c>
      <c r="F1575" s="761"/>
    </row>
    <row r="1576" spans="1:6" x14ac:dyDescent="0.2">
      <c r="A1576" s="762" t="e">
        <f ca="1">IF($H1576="UNIDADE CONSTRUTIVA",OFFSET(A1576,-1,0)+1,LARGE(A$3:A1575,1))</f>
        <v>#NUM!</v>
      </c>
      <c r="B1576" s="762">
        <f t="shared" ca="1" si="338"/>
        <v>21</v>
      </c>
      <c r="C1576" s="762">
        <f t="shared" ca="1" si="339"/>
        <v>1</v>
      </c>
      <c r="D1576" s="763">
        <f t="shared" ca="1" si="340"/>
        <v>1</v>
      </c>
      <c r="E1576" s="763">
        <f t="shared" ca="1" si="341"/>
        <v>1</v>
      </c>
      <c r="F1576" s="761"/>
    </row>
    <row r="1577" spans="1:6" x14ac:dyDescent="0.2">
      <c r="A1577" s="762" t="e">
        <f ca="1">IF($H1577="UNIDADE CONSTRUTIVA",OFFSET(A1577,-1,0)+1,LARGE(A$3:A1576,1))</f>
        <v>#NUM!</v>
      </c>
      <c r="B1577" s="762">
        <f t="shared" ca="1" si="338"/>
        <v>21</v>
      </c>
      <c r="C1577" s="762">
        <f t="shared" ca="1" si="339"/>
        <v>1</v>
      </c>
      <c r="D1577" s="763">
        <f t="shared" ca="1" si="340"/>
        <v>1</v>
      </c>
      <c r="E1577" s="763">
        <f t="shared" ca="1" si="341"/>
        <v>1</v>
      </c>
      <c r="F1577" s="761"/>
    </row>
    <row r="1578" spans="1:6" x14ac:dyDescent="0.2">
      <c r="A1578" s="762" t="e">
        <f ca="1">IF($H1578="UNIDADE CONSTRUTIVA",OFFSET(A1578,-1,0)+1,LARGE(A$3:A1577,1))</f>
        <v>#NUM!</v>
      </c>
      <c r="B1578" s="762">
        <f t="shared" ca="1" si="338"/>
        <v>21</v>
      </c>
      <c r="C1578" s="762">
        <f t="shared" ca="1" si="339"/>
        <v>1</v>
      </c>
      <c r="D1578" s="763">
        <f t="shared" ca="1" si="340"/>
        <v>1</v>
      </c>
      <c r="E1578" s="763">
        <f t="shared" ca="1" si="341"/>
        <v>1</v>
      </c>
      <c r="F1578" s="761"/>
    </row>
    <row r="1579" spans="1:6" x14ac:dyDescent="0.2">
      <c r="A1579" s="762" t="e">
        <f ca="1">IF($H1579="UNIDADE CONSTRUTIVA",OFFSET(A1579,-1,0)+1,LARGE(A$3:A1578,1))</f>
        <v>#NUM!</v>
      </c>
      <c r="B1579" s="762">
        <f t="shared" ca="1" si="338"/>
        <v>21</v>
      </c>
      <c r="C1579" s="762">
        <f t="shared" ca="1" si="339"/>
        <v>1</v>
      </c>
      <c r="D1579" s="763">
        <f t="shared" ca="1" si="340"/>
        <v>1</v>
      </c>
      <c r="E1579" s="763">
        <f t="shared" ca="1" si="341"/>
        <v>1</v>
      </c>
      <c r="F1579" s="761"/>
    </row>
    <row r="1580" spans="1:6" x14ac:dyDescent="0.2">
      <c r="A1580" s="762" t="e">
        <f ca="1">IF($H1580="UNIDADE CONSTRUTIVA",OFFSET(A1580,-1,0)+1,LARGE(A$3:A1579,1))</f>
        <v>#NUM!</v>
      </c>
      <c r="B1580" s="762">
        <f t="shared" ca="1" si="338"/>
        <v>21</v>
      </c>
      <c r="C1580" s="762">
        <f t="shared" ca="1" si="339"/>
        <v>1</v>
      </c>
      <c r="D1580" s="763">
        <f t="shared" ca="1" si="340"/>
        <v>1</v>
      </c>
      <c r="E1580" s="763">
        <f t="shared" ca="1" si="341"/>
        <v>1</v>
      </c>
      <c r="F1580" s="761"/>
    </row>
    <row r="1581" spans="1:6" x14ac:dyDescent="0.2">
      <c r="A1581" s="762" t="e">
        <f ca="1">IF($H1581="UNIDADE CONSTRUTIVA",OFFSET(A1581,-1,0)+1,LARGE(A$3:A1580,1))</f>
        <v>#NUM!</v>
      </c>
      <c r="B1581" s="762">
        <f t="shared" ca="1" si="338"/>
        <v>21</v>
      </c>
      <c r="C1581" s="762">
        <f t="shared" ca="1" si="339"/>
        <v>1</v>
      </c>
      <c r="D1581" s="763">
        <f t="shared" ca="1" si="340"/>
        <v>1</v>
      </c>
      <c r="E1581" s="763">
        <f t="shared" ca="1" si="341"/>
        <v>1</v>
      </c>
      <c r="F1581" s="761"/>
    </row>
    <row r="1582" spans="1:6" x14ac:dyDescent="0.2">
      <c r="A1582" s="762" t="e">
        <f ca="1">IF($H1582="UNIDADE CONSTRUTIVA",OFFSET(A1582,-1,0)+1,LARGE(A$3:A1581,1))</f>
        <v>#NUM!</v>
      </c>
      <c r="B1582" s="762">
        <f t="shared" ca="1" si="338"/>
        <v>21</v>
      </c>
      <c r="C1582" s="762">
        <f t="shared" ca="1" si="339"/>
        <v>1</v>
      </c>
      <c r="D1582" s="763">
        <f t="shared" ca="1" si="340"/>
        <v>1</v>
      </c>
      <c r="E1582" s="763">
        <f t="shared" ca="1" si="341"/>
        <v>1</v>
      </c>
      <c r="F1582" s="761"/>
    </row>
    <row r="1583" spans="1:6" x14ac:dyDescent="0.2">
      <c r="A1583" s="762" t="e">
        <f ca="1">IF($H1583="UNIDADE CONSTRUTIVA",OFFSET(A1583,-1,0)+1,LARGE(A$3:A1582,1))</f>
        <v>#NUM!</v>
      </c>
      <c r="B1583" s="762">
        <f t="shared" ca="1" si="338"/>
        <v>21</v>
      </c>
      <c r="C1583" s="762">
        <f t="shared" ca="1" si="339"/>
        <v>1</v>
      </c>
      <c r="D1583" s="763">
        <f t="shared" ca="1" si="340"/>
        <v>1</v>
      </c>
      <c r="E1583" s="763">
        <f t="shared" ca="1" si="341"/>
        <v>1</v>
      </c>
      <c r="F1583" s="761"/>
    </row>
    <row r="1584" spans="1:6" x14ac:dyDescent="0.2">
      <c r="A1584" s="762" t="e">
        <f ca="1">IF($H1584="UNIDADE CONSTRUTIVA",OFFSET(A1584,-1,0)+1,LARGE(A$3:A1583,1))</f>
        <v>#NUM!</v>
      </c>
      <c r="B1584" s="762">
        <f t="shared" ca="1" si="338"/>
        <v>21</v>
      </c>
      <c r="C1584" s="762">
        <f t="shared" ca="1" si="339"/>
        <v>1</v>
      </c>
      <c r="D1584" s="763">
        <f t="shared" ca="1" si="340"/>
        <v>1</v>
      </c>
      <c r="E1584" s="763">
        <f t="shared" ca="1" si="341"/>
        <v>1</v>
      </c>
      <c r="F1584" s="761"/>
    </row>
    <row r="1585" spans="1:6" x14ac:dyDescent="0.2">
      <c r="A1585" s="762" t="e">
        <f ca="1">IF($H1585="UNIDADE CONSTRUTIVA",OFFSET(A1585,-1,0)+1,LARGE(A$3:A1584,1))</f>
        <v>#NUM!</v>
      </c>
      <c r="B1585" s="762">
        <f t="shared" ca="1" si="338"/>
        <v>21</v>
      </c>
      <c r="C1585" s="762">
        <f t="shared" ca="1" si="339"/>
        <v>1</v>
      </c>
      <c r="D1585" s="763">
        <f t="shared" ca="1" si="340"/>
        <v>1</v>
      </c>
      <c r="E1585" s="763">
        <f t="shared" ca="1" si="341"/>
        <v>1</v>
      </c>
      <c r="F1585" s="761"/>
    </row>
    <row r="1586" spans="1:6" x14ac:dyDescent="0.2">
      <c r="A1586" s="762" t="e">
        <f ca="1">IF($H1586="UNIDADE CONSTRUTIVA",OFFSET(A1586,-1,0)+1,LARGE(A$3:A1585,1))</f>
        <v>#NUM!</v>
      </c>
      <c r="B1586" s="762">
        <f t="shared" ref="B1586:B1649" ca="1" si="342">IF(H1586="UNIDADE CONSTRUTIVA",0,IF(H1586="CÉLULA CONSTRUTIVA",OFFSET(B1586,-1,0)+1,OFFSET(B1586,-1,0)))</f>
        <v>21</v>
      </c>
      <c r="C1586" s="762">
        <f t="shared" ref="C1586:C1649" ca="1" si="343">IF(H1586="CÉLULA CONSTRUTIVA",0,IF(H1586="ETAPA",OFFSET(C1586,-1,0)+1,OFFSET(C1586,-1,0)))</f>
        <v>1</v>
      </c>
      <c r="D1586" s="763">
        <f t="shared" ref="D1586:D1649" ca="1" si="344">IF(H1586="ETAPA",0,IF(H1586="SUBETAPA",OFFSET(D1586,-1,0)+1,OFFSET(D1586,-1,0)))</f>
        <v>1</v>
      </c>
      <c r="E1586" s="763">
        <f t="shared" ref="E1586:E1649" ca="1" si="345">IF(H1586="Subetapa",0,IF(H1586="serviço",OFFSET(E1586,-1,0)+1,OFFSET(E1586,-1,0)))</f>
        <v>1</v>
      </c>
      <c r="F1586" s="761"/>
    </row>
    <row r="1587" spans="1:6" x14ac:dyDescent="0.2">
      <c r="A1587" s="762" t="e">
        <f ca="1">IF($H1587="UNIDADE CONSTRUTIVA",OFFSET(A1587,-1,0)+1,LARGE(A$3:A1586,1))</f>
        <v>#NUM!</v>
      </c>
      <c r="B1587" s="762">
        <f t="shared" ca="1" si="342"/>
        <v>21</v>
      </c>
      <c r="C1587" s="762">
        <f t="shared" ca="1" si="343"/>
        <v>1</v>
      </c>
      <c r="D1587" s="763">
        <f t="shared" ca="1" si="344"/>
        <v>1</v>
      </c>
      <c r="E1587" s="763">
        <f t="shared" ca="1" si="345"/>
        <v>1</v>
      </c>
      <c r="F1587" s="761"/>
    </row>
    <row r="1588" spans="1:6" x14ac:dyDescent="0.2">
      <c r="A1588" s="762" t="e">
        <f ca="1">IF($H1588="UNIDADE CONSTRUTIVA",OFFSET(A1588,-1,0)+1,LARGE(A$3:A1587,1))</f>
        <v>#NUM!</v>
      </c>
      <c r="B1588" s="762">
        <f t="shared" ca="1" si="342"/>
        <v>21</v>
      </c>
      <c r="C1588" s="762">
        <f t="shared" ca="1" si="343"/>
        <v>1</v>
      </c>
      <c r="D1588" s="763">
        <f t="shared" ca="1" si="344"/>
        <v>1</v>
      </c>
      <c r="E1588" s="763">
        <f t="shared" ca="1" si="345"/>
        <v>1</v>
      </c>
      <c r="F1588" s="761"/>
    </row>
    <row r="1589" spans="1:6" x14ac:dyDescent="0.2">
      <c r="A1589" s="762" t="e">
        <f ca="1">IF($H1589="UNIDADE CONSTRUTIVA",OFFSET(A1589,-1,0)+1,LARGE(A$3:A1588,1))</f>
        <v>#NUM!</v>
      </c>
      <c r="B1589" s="762">
        <f t="shared" ca="1" si="342"/>
        <v>21</v>
      </c>
      <c r="C1589" s="762">
        <f t="shared" ca="1" si="343"/>
        <v>1</v>
      </c>
      <c r="D1589" s="763">
        <f t="shared" ca="1" si="344"/>
        <v>1</v>
      </c>
      <c r="E1589" s="763">
        <f t="shared" ca="1" si="345"/>
        <v>1</v>
      </c>
      <c r="F1589" s="761"/>
    </row>
    <row r="1590" spans="1:6" x14ac:dyDescent="0.2">
      <c r="A1590" s="762" t="e">
        <f ca="1">IF($H1590="UNIDADE CONSTRUTIVA",OFFSET(A1590,-1,0)+1,LARGE(A$3:A1589,1))</f>
        <v>#NUM!</v>
      </c>
      <c r="B1590" s="762">
        <f t="shared" ca="1" si="342"/>
        <v>21</v>
      </c>
      <c r="C1590" s="762">
        <f t="shared" ca="1" si="343"/>
        <v>1</v>
      </c>
      <c r="D1590" s="763">
        <f t="shared" ca="1" si="344"/>
        <v>1</v>
      </c>
      <c r="E1590" s="763">
        <f t="shared" ca="1" si="345"/>
        <v>1</v>
      </c>
      <c r="F1590" s="761"/>
    </row>
    <row r="1591" spans="1:6" x14ac:dyDescent="0.2">
      <c r="A1591" s="762" t="e">
        <f ca="1">IF($H1591="UNIDADE CONSTRUTIVA",OFFSET(A1591,-1,0)+1,LARGE(A$3:A1590,1))</f>
        <v>#NUM!</v>
      </c>
      <c r="B1591" s="762">
        <f t="shared" ca="1" si="342"/>
        <v>21</v>
      </c>
      <c r="C1591" s="762">
        <f t="shared" ca="1" si="343"/>
        <v>1</v>
      </c>
      <c r="D1591" s="763">
        <f t="shared" ca="1" si="344"/>
        <v>1</v>
      </c>
      <c r="E1591" s="763">
        <f t="shared" ca="1" si="345"/>
        <v>1</v>
      </c>
      <c r="F1591" s="761"/>
    </row>
    <row r="1592" spans="1:6" x14ac:dyDescent="0.2">
      <c r="A1592" s="762" t="e">
        <f ca="1">IF($H1592="UNIDADE CONSTRUTIVA",OFFSET(A1592,-1,0)+1,LARGE(A$3:A1591,1))</f>
        <v>#NUM!</v>
      </c>
      <c r="B1592" s="762">
        <f t="shared" ca="1" si="342"/>
        <v>21</v>
      </c>
      <c r="C1592" s="762">
        <f t="shared" ca="1" si="343"/>
        <v>1</v>
      </c>
      <c r="D1592" s="763">
        <f t="shared" ca="1" si="344"/>
        <v>1</v>
      </c>
      <c r="E1592" s="763">
        <f t="shared" ca="1" si="345"/>
        <v>1</v>
      </c>
      <c r="F1592" s="761"/>
    </row>
    <row r="1593" spans="1:6" x14ac:dyDescent="0.2">
      <c r="A1593" s="762" t="e">
        <f ca="1">IF($H1593="UNIDADE CONSTRUTIVA",OFFSET(A1593,-1,0)+1,LARGE(A$3:A1592,1))</f>
        <v>#NUM!</v>
      </c>
      <c r="B1593" s="762">
        <f t="shared" ca="1" si="342"/>
        <v>21</v>
      </c>
      <c r="C1593" s="762">
        <f t="shared" ca="1" si="343"/>
        <v>1</v>
      </c>
      <c r="D1593" s="763">
        <f t="shared" ca="1" si="344"/>
        <v>1</v>
      </c>
      <c r="E1593" s="763">
        <f t="shared" ca="1" si="345"/>
        <v>1</v>
      </c>
      <c r="F1593" s="761"/>
    </row>
    <row r="1594" spans="1:6" x14ac:dyDescent="0.2">
      <c r="A1594" s="762" t="e">
        <f ca="1">IF($H1594="UNIDADE CONSTRUTIVA",OFFSET(A1594,-1,0)+1,LARGE(A$3:A1593,1))</f>
        <v>#NUM!</v>
      </c>
      <c r="B1594" s="762">
        <f t="shared" ca="1" si="342"/>
        <v>21</v>
      </c>
      <c r="C1594" s="762">
        <f t="shared" ca="1" si="343"/>
        <v>1</v>
      </c>
      <c r="D1594" s="763">
        <f t="shared" ca="1" si="344"/>
        <v>1</v>
      </c>
      <c r="E1594" s="763">
        <f t="shared" ca="1" si="345"/>
        <v>1</v>
      </c>
      <c r="F1594" s="761"/>
    </row>
    <row r="1595" spans="1:6" x14ac:dyDescent="0.2">
      <c r="A1595" s="762" t="e">
        <f ca="1">IF($H1595="UNIDADE CONSTRUTIVA",OFFSET(A1595,-1,0)+1,LARGE(A$3:A1594,1))</f>
        <v>#NUM!</v>
      </c>
      <c r="B1595" s="762">
        <f t="shared" ca="1" si="342"/>
        <v>21</v>
      </c>
      <c r="C1595" s="762">
        <f t="shared" ca="1" si="343"/>
        <v>1</v>
      </c>
      <c r="D1595" s="763">
        <f t="shared" ca="1" si="344"/>
        <v>1</v>
      </c>
      <c r="E1595" s="763">
        <f t="shared" ca="1" si="345"/>
        <v>1</v>
      </c>
      <c r="F1595" s="761"/>
    </row>
    <row r="1596" spans="1:6" x14ac:dyDescent="0.2">
      <c r="A1596" s="762" t="e">
        <f ca="1">IF($H1596="UNIDADE CONSTRUTIVA",OFFSET(A1596,-1,0)+1,LARGE(A$3:A1595,1))</f>
        <v>#NUM!</v>
      </c>
      <c r="B1596" s="762">
        <f t="shared" ca="1" si="342"/>
        <v>21</v>
      </c>
      <c r="C1596" s="762">
        <f t="shared" ca="1" si="343"/>
        <v>1</v>
      </c>
      <c r="D1596" s="763">
        <f t="shared" ca="1" si="344"/>
        <v>1</v>
      </c>
      <c r="E1596" s="763">
        <f t="shared" ca="1" si="345"/>
        <v>1</v>
      </c>
      <c r="F1596" s="761"/>
    </row>
    <row r="1597" spans="1:6" x14ac:dyDescent="0.2">
      <c r="A1597" s="762" t="e">
        <f ca="1">IF($H1597="UNIDADE CONSTRUTIVA",OFFSET(A1597,-1,0)+1,LARGE(A$3:A1596,1))</f>
        <v>#NUM!</v>
      </c>
      <c r="B1597" s="762">
        <f t="shared" ca="1" si="342"/>
        <v>21</v>
      </c>
      <c r="C1597" s="762">
        <f t="shared" ca="1" si="343"/>
        <v>1</v>
      </c>
      <c r="D1597" s="763">
        <f t="shared" ca="1" si="344"/>
        <v>1</v>
      </c>
      <c r="E1597" s="763">
        <f t="shared" ca="1" si="345"/>
        <v>1</v>
      </c>
      <c r="F1597" s="761"/>
    </row>
    <row r="1598" spans="1:6" x14ac:dyDescent="0.2">
      <c r="A1598" s="762" t="e">
        <f ca="1">IF($H1598="UNIDADE CONSTRUTIVA",OFFSET(A1598,-1,0)+1,LARGE(A$3:A1597,1))</f>
        <v>#NUM!</v>
      </c>
      <c r="B1598" s="762">
        <f t="shared" ca="1" si="342"/>
        <v>21</v>
      </c>
      <c r="C1598" s="762">
        <f t="shared" ca="1" si="343"/>
        <v>1</v>
      </c>
      <c r="D1598" s="763">
        <f t="shared" ca="1" si="344"/>
        <v>1</v>
      </c>
      <c r="E1598" s="763">
        <f t="shared" ca="1" si="345"/>
        <v>1</v>
      </c>
      <c r="F1598" s="761"/>
    </row>
    <row r="1599" spans="1:6" x14ac:dyDescent="0.2">
      <c r="A1599" s="762" t="e">
        <f ca="1">IF($H1599="UNIDADE CONSTRUTIVA",OFFSET(A1599,-1,0)+1,LARGE(A$3:A1598,1))</f>
        <v>#NUM!</v>
      </c>
      <c r="B1599" s="762">
        <f t="shared" ca="1" si="342"/>
        <v>21</v>
      </c>
      <c r="C1599" s="762">
        <f t="shared" ca="1" si="343"/>
        <v>1</v>
      </c>
      <c r="D1599" s="763">
        <f t="shared" ca="1" si="344"/>
        <v>1</v>
      </c>
      <c r="E1599" s="763">
        <f t="shared" ca="1" si="345"/>
        <v>1</v>
      </c>
      <c r="F1599" s="761"/>
    </row>
    <row r="1600" spans="1:6" x14ac:dyDescent="0.2">
      <c r="A1600" s="762" t="e">
        <f ca="1">IF($H1600="UNIDADE CONSTRUTIVA",OFFSET(A1600,-1,0)+1,LARGE(A$3:A1599,1))</f>
        <v>#NUM!</v>
      </c>
      <c r="B1600" s="762">
        <f t="shared" ca="1" si="342"/>
        <v>21</v>
      </c>
      <c r="C1600" s="762">
        <f t="shared" ca="1" si="343"/>
        <v>1</v>
      </c>
      <c r="D1600" s="763">
        <f t="shared" ca="1" si="344"/>
        <v>1</v>
      </c>
      <c r="E1600" s="763">
        <f t="shared" ca="1" si="345"/>
        <v>1</v>
      </c>
      <c r="F1600" s="761"/>
    </row>
    <row r="1601" spans="1:6" x14ac:dyDescent="0.2">
      <c r="A1601" s="762" t="e">
        <f ca="1">IF($H1601="UNIDADE CONSTRUTIVA",OFFSET(A1601,-1,0)+1,LARGE(A$3:A1600,1))</f>
        <v>#NUM!</v>
      </c>
      <c r="B1601" s="762">
        <f t="shared" ca="1" si="342"/>
        <v>21</v>
      </c>
      <c r="C1601" s="762">
        <f t="shared" ca="1" si="343"/>
        <v>1</v>
      </c>
      <c r="D1601" s="763">
        <f t="shared" ca="1" si="344"/>
        <v>1</v>
      </c>
      <c r="E1601" s="763">
        <f t="shared" ca="1" si="345"/>
        <v>1</v>
      </c>
      <c r="F1601" s="761"/>
    </row>
    <row r="1602" spans="1:6" x14ac:dyDescent="0.2">
      <c r="A1602" s="762" t="e">
        <f ca="1">IF($H1602="UNIDADE CONSTRUTIVA",OFFSET(A1602,-1,0)+1,LARGE(A$3:A1601,1))</f>
        <v>#NUM!</v>
      </c>
      <c r="B1602" s="762">
        <f t="shared" ca="1" si="342"/>
        <v>21</v>
      </c>
      <c r="C1602" s="762">
        <f t="shared" ca="1" si="343"/>
        <v>1</v>
      </c>
      <c r="D1602" s="763">
        <f t="shared" ca="1" si="344"/>
        <v>1</v>
      </c>
      <c r="E1602" s="763">
        <f t="shared" ca="1" si="345"/>
        <v>1</v>
      </c>
      <c r="F1602" s="761"/>
    </row>
    <row r="1603" spans="1:6" x14ac:dyDescent="0.2">
      <c r="A1603" s="762" t="e">
        <f ca="1">IF($H1603="UNIDADE CONSTRUTIVA",OFFSET(A1603,-1,0)+1,LARGE(A$3:A1602,1))</f>
        <v>#NUM!</v>
      </c>
      <c r="B1603" s="762">
        <f t="shared" ca="1" si="342"/>
        <v>21</v>
      </c>
      <c r="C1603" s="762">
        <f t="shared" ca="1" si="343"/>
        <v>1</v>
      </c>
      <c r="D1603" s="763">
        <f t="shared" ca="1" si="344"/>
        <v>1</v>
      </c>
      <c r="E1603" s="763">
        <f t="shared" ca="1" si="345"/>
        <v>1</v>
      </c>
      <c r="F1603" s="761"/>
    </row>
    <row r="1604" spans="1:6" x14ac:dyDescent="0.2">
      <c r="A1604" s="762" t="e">
        <f ca="1">IF($H1604="UNIDADE CONSTRUTIVA",OFFSET(A1604,-1,0)+1,LARGE(A$3:A1603,1))</f>
        <v>#NUM!</v>
      </c>
      <c r="B1604" s="762">
        <f t="shared" ca="1" si="342"/>
        <v>21</v>
      </c>
      <c r="C1604" s="762">
        <f t="shared" ca="1" si="343"/>
        <v>1</v>
      </c>
      <c r="D1604" s="763">
        <f t="shared" ca="1" si="344"/>
        <v>1</v>
      </c>
      <c r="E1604" s="763">
        <f t="shared" ca="1" si="345"/>
        <v>1</v>
      </c>
      <c r="F1604" s="761"/>
    </row>
    <row r="1605" spans="1:6" x14ac:dyDescent="0.2">
      <c r="A1605" s="762" t="e">
        <f ca="1">IF($H1605="UNIDADE CONSTRUTIVA",OFFSET(A1605,-1,0)+1,LARGE(A$3:A1604,1))</f>
        <v>#NUM!</v>
      </c>
      <c r="B1605" s="762">
        <f t="shared" ca="1" si="342"/>
        <v>21</v>
      </c>
      <c r="C1605" s="762">
        <f t="shared" ca="1" si="343"/>
        <v>1</v>
      </c>
      <c r="D1605" s="763">
        <f t="shared" ca="1" si="344"/>
        <v>1</v>
      </c>
      <c r="E1605" s="763">
        <f t="shared" ca="1" si="345"/>
        <v>1</v>
      </c>
      <c r="F1605" s="761"/>
    </row>
    <row r="1606" spans="1:6" x14ac:dyDescent="0.2">
      <c r="A1606" s="762" t="e">
        <f ca="1">IF($H1606="UNIDADE CONSTRUTIVA",OFFSET(A1606,-1,0)+1,LARGE(A$3:A1605,1))</f>
        <v>#NUM!</v>
      </c>
      <c r="B1606" s="762">
        <f t="shared" ca="1" si="342"/>
        <v>21</v>
      </c>
      <c r="C1606" s="762">
        <f t="shared" ca="1" si="343"/>
        <v>1</v>
      </c>
      <c r="D1606" s="763">
        <f t="shared" ca="1" si="344"/>
        <v>1</v>
      </c>
      <c r="E1606" s="763">
        <f t="shared" ca="1" si="345"/>
        <v>1</v>
      </c>
      <c r="F1606" s="761"/>
    </row>
    <row r="1607" spans="1:6" x14ac:dyDescent="0.2">
      <c r="A1607" s="762" t="e">
        <f ca="1">IF($H1607="UNIDADE CONSTRUTIVA",OFFSET(A1607,-1,0)+1,LARGE(A$3:A1606,1))</f>
        <v>#NUM!</v>
      </c>
      <c r="B1607" s="762">
        <f t="shared" ca="1" si="342"/>
        <v>21</v>
      </c>
      <c r="C1607" s="762">
        <f t="shared" ca="1" si="343"/>
        <v>1</v>
      </c>
      <c r="D1607" s="763">
        <f t="shared" ca="1" si="344"/>
        <v>1</v>
      </c>
      <c r="E1607" s="763">
        <f t="shared" ca="1" si="345"/>
        <v>1</v>
      </c>
      <c r="F1607" s="761"/>
    </row>
    <row r="1608" spans="1:6" x14ac:dyDescent="0.2">
      <c r="A1608" s="762" t="e">
        <f ca="1">IF($H1608="UNIDADE CONSTRUTIVA",OFFSET(A1608,-1,0)+1,LARGE(A$3:A1607,1))</f>
        <v>#NUM!</v>
      </c>
      <c r="B1608" s="762">
        <f t="shared" ca="1" si="342"/>
        <v>21</v>
      </c>
      <c r="C1608" s="762">
        <f t="shared" ca="1" si="343"/>
        <v>1</v>
      </c>
      <c r="D1608" s="763">
        <f t="shared" ca="1" si="344"/>
        <v>1</v>
      </c>
      <c r="E1608" s="763">
        <f t="shared" ca="1" si="345"/>
        <v>1</v>
      </c>
      <c r="F1608" s="761"/>
    </row>
    <row r="1609" spans="1:6" x14ac:dyDescent="0.2">
      <c r="A1609" s="762" t="e">
        <f ca="1">IF($H1609="UNIDADE CONSTRUTIVA",OFFSET(A1609,-1,0)+1,LARGE(A$3:A1608,1))</f>
        <v>#NUM!</v>
      </c>
      <c r="B1609" s="762">
        <f t="shared" ca="1" si="342"/>
        <v>21</v>
      </c>
      <c r="C1609" s="762">
        <f t="shared" ca="1" si="343"/>
        <v>1</v>
      </c>
      <c r="D1609" s="763">
        <f t="shared" ca="1" si="344"/>
        <v>1</v>
      </c>
      <c r="E1609" s="763">
        <f t="shared" ca="1" si="345"/>
        <v>1</v>
      </c>
      <c r="F1609" s="761"/>
    </row>
    <row r="1610" spans="1:6" x14ac:dyDescent="0.2">
      <c r="A1610" s="762" t="e">
        <f ca="1">IF($H1610="UNIDADE CONSTRUTIVA",OFFSET(A1610,-1,0)+1,LARGE(A$3:A1609,1))</f>
        <v>#NUM!</v>
      </c>
      <c r="B1610" s="762">
        <f t="shared" ca="1" si="342"/>
        <v>21</v>
      </c>
      <c r="C1610" s="762">
        <f t="shared" ca="1" si="343"/>
        <v>1</v>
      </c>
      <c r="D1610" s="763">
        <f t="shared" ca="1" si="344"/>
        <v>1</v>
      </c>
      <c r="E1610" s="763">
        <f t="shared" ca="1" si="345"/>
        <v>1</v>
      </c>
      <c r="F1610" s="761"/>
    </row>
    <row r="1611" spans="1:6" x14ac:dyDescent="0.2">
      <c r="A1611" s="762" t="e">
        <f ca="1">IF($H1611="UNIDADE CONSTRUTIVA",OFFSET(A1611,-1,0)+1,LARGE(A$3:A1610,1))</f>
        <v>#NUM!</v>
      </c>
      <c r="B1611" s="762">
        <f t="shared" ca="1" si="342"/>
        <v>21</v>
      </c>
      <c r="C1611" s="762">
        <f t="shared" ca="1" si="343"/>
        <v>1</v>
      </c>
      <c r="D1611" s="763">
        <f t="shared" ca="1" si="344"/>
        <v>1</v>
      </c>
      <c r="E1611" s="763">
        <f t="shared" ca="1" si="345"/>
        <v>1</v>
      </c>
      <c r="F1611" s="761"/>
    </row>
    <row r="1612" spans="1:6" x14ac:dyDescent="0.2">
      <c r="A1612" s="762" t="e">
        <f ca="1">IF($H1612="UNIDADE CONSTRUTIVA",OFFSET(A1612,-1,0)+1,LARGE(A$3:A1611,1))</f>
        <v>#NUM!</v>
      </c>
      <c r="B1612" s="762">
        <f t="shared" ca="1" si="342"/>
        <v>21</v>
      </c>
      <c r="C1612" s="762">
        <f t="shared" ca="1" si="343"/>
        <v>1</v>
      </c>
      <c r="D1612" s="763">
        <f t="shared" ca="1" si="344"/>
        <v>1</v>
      </c>
      <c r="E1612" s="763">
        <f t="shared" ca="1" si="345"/>
        <v>1</v>
      </c>
      <c r="F1612" s="761"/>
    </row>
    <row r="1613" spans="1:6" x14ac:dyDescent="0.2">
      <c r="A1613" s="762" t="e">
        <f ca="1">IF($H1613="UNIDADE CONSTRUTIVA",OFFSET(A1613,-1,0)+1,LARGE(A$3:A1612,1))</f>
        <v>#NUM!</v>
      </c>
      <c r="B1613" s="762">
        <f t="shared" ca="1" si="342"/>
        <v>21</v>
      </c>
      <c r="C1613" s="762">
        <f t="shared" ca="1" si="343"/>
        <v>1</v>
      </c>
      <c r="D1613" s="763">
        <f t="shared" ca="1" si="344"/>
        <v>1</v>
      </c>
      <c r="E1613" s="763">
        <f t="shared" ca="1" si="345"/>
        <v>1</v>
      </c>
      <c r="F1613" s="761"/>
    </row>
    <row r="1614" spans="1:6" x14ac:dyDescent="0.2">
      <c r="A1614" s="762" t="e">
        <f ca="1">IF($H1614="UNIDADE CONSTRUTIVA",OFFSET(A1614,-1,0)+1,LARGE(A$3:A1613,1))</f>
        <v>#NUM!</v>
      </c>
      <c r="B1614" s="762">
        <f t="shared" ca="1" si="342"/>
        <v>21</v>
      </c>
      <c r="C1614" s="762">
        <f t="shared" ca="1" si="343"/>
        <v>1</v>
      </c>
      <c r="D1614" s="763">
        <f t="shared" ca="1" si="344"/>
        <v>1</v>
      </c>
      <c r="E1614" s="763">
        <f t="shared" ca="1" si="345"/>
        <v>1</v>
      </c>
      <c r="F1614" s="761"/>
    </row>
    <row r="1615" spans="1:6" x14ac:dyDescent="0.2">
      <c r="A1615" s="762" t="e">
        <f ca="1">IF($H1615="UNIDADE CONSTRUTIVA",OFFSET(A1615,-1,0)+1,LARGE(A$3:A1614,1))</f>
        <v>#NUM!</v>
      </c>
      <c r="B1615" s="762">
        <f t="shared" ca="1" si="342"/>
        <v>21</v>
      </c>
      <c r="C1615" s="762">
        <f t="shared" ca="1" si="343"/>
        <v>1</v>
      </c>
      <c r="D1615" s="763">
        <f t="shared" ca="1" si="344"/>
        <v>1</v>
      </c>
      <c r="E1615" s="763">
        <f t="shared" ca="1" si="345"/>
        <v>1</v>
      </c>
      <c r="F1615" s="761"/>
    </row>
    <row r="1616" spans="1:6" x14ac:dyDescent="0.2">
      <c r="A1616" s="762" t="e">
        <f ca="1">IF($H1616="UNIDADE CONSTRUTIVA",OFFSET(A1616,-1,0)+1,LARGE(A$3:A1615,1))</f>
        <v>#NUM!</v>
      </c>
      <c r="B1616" s="762">
        <f t="shared" ca="1" si="342"/>
        <v>21</v>
      </c>
      <c r="C1616" s="762">
        <f t="shared" ca="1" si="343"/>
        <v>1</v>
      </c>
      <c r="D1616" s="763">
        <f t="shared" ca="1" si="344"/>
        <v>1</v>
      </c>
      <c r="E1616" s="763">
        <f t="shared" ca="1" si="345"/>
        <v>1</v>
      </c>
      <c r="F1616" s="761"/>
    </row>
    <row r="1617" spans="1:6" x14ac:dyDescent="0.2">
      <c r="A1617" s="762" t="e">
        <f ca="1">IF($H1617="UNIDADE CONSTRUTIVA",OFFSET(A1617,-1,0)+1,LARGE(A$3:A1616,1))</f>
        <v>#NUM!</v>
      </c>
      <c r="B1617" s="762">
        <f t="shared" ca="1" si="342"/>
        <v>21</v>
      </c>
      <c r="C1617" s="762">
        <f t="shared" ca="1" si="343"/>
        <v>1</v>
      </c>
      <c r="D1617" s="763">
        <f t="shared" ca="1" si="344"/>
        <v>1</v>
      </c>
      <c r="E1617" s="763">
        <f t="shared" ca="1" si="345"/>
        <v>1</v>
      </c>
      <c r="F1617" s="761"/>
    </row>
    <row r="1618" spans="1:6" x14ac:dyDescent="0.2">
      <c r="A1618" s="762" t="e">
        <f ca="1">IF($H1618="UNIDADE CONSTRUTIVA",OFFSET(A1618,-1,0)+1,LARGE(A$3:A1617,1))</f>
        <v>#NUM!</v>
      </c>
      <c r="B1618" s="762">
        <f t="shared" ca="1" si="342"/>
        <v>21</v>
      </c>
      <c r="C1618" s="762">
        <f t="shared" ca="1" si="343"/>
        <v>1</v>
      </c>
      <c r="D1618" s="763">
        <f t="shared" ca="1" si="344"/>
        <v>1</v>
      </c>
      <c r="E1618" s="763">
        <f t="shared" ca="1" si="345"/>
        <v>1</v>
      </c>
      <c r="F1618" s="761"/>
    </row>
    <row r="1619" spans="1:6" x14ac:dyDescent="0.2">
      <c r="A1619" s="762" t="e">
        <f ca="1">IF($H1619="UNIDADE CONSTRUTIVA",OFFSET(A1619,-1,0)+1,LARGE(A$3:A1618,1))</f>
        <v>#NUM!</v>
      </c>
      <c r="B1619" s="762">
        <f t="shared" ca="1" si="342"/>
        <v>21</v>
      </c>
      <c r="C1619" s="762">
        <f t="shared" ca="1" si="343"/>
        <v>1</v>
      </c>
      <c r="D1619" s="763">
        <f t="shared" ca="1" si="344"/>
        <v>1</v>
      </c>
      <c r="E1619" s="763">
        <f t="shared" ca="1" si="345"/>
        <v>1</v>
      </c>
      <c r="F1619" s="761"/>
    </row>
    <row r="1620" spans="1:6" x14ac:dyDescent="0.2">
      <c r="A1620" s="762" t="e">
        <f ca="1">IF($H1620="UNIDADE CONSTRUTIVA",OFFSET(A1620,-1,0)+1,LARGE(A$3:A1619,1))</f>
        <v>#NUM!</v>
      </c>
      <c r="B1620" s="762">
        <f t="shared" ca="1" si="342"/>
        <v>21</v>
      </c>
      <c r="C1620" s="762">
        <f t="shared" ca="1" si="343"/>
        <v>1</v>
      </c>
      <c r="D1620" s="763">
        <f t="shared" ca="1" si="344"/>
        <v>1</v>
      </c>
      <c r="E1620" s="763">
        <f t="shared" ca="1" si="345"/>
        <v>1</v>
      </c>
      <c r="F1620" s="761"/>
    </row>
    <row r="1621" spans="1:6" x14ac:dyDescent="0.2">
      <c r="A1621" s="762" t="e">
        <f ca="1">IF($H1621="UNIDADE CONSTRUTIVA",OFFSET(A1621,-1,0)+1,LARGE(A$3:A1620,1))</f>
        <v>#NUM!</v>
      </c>
      <c r="B1621" s="762">
        <f t="shared" ca="1" si="342"/>
        <v>21</v>
      </c>
      <c r="C1621" s="762">
        <f t="shared" ca="1" si="343"/>
        <v>1</v>
      </c>
      <c r="D1621" s="763">
        <f t="shared" ca="1" si="344"/>
        <v>1</v>
      </c>
      <c r="E1621" s="763">
        <f t="shared" ca="1" si="345"/>
        <v>1</v>
      </c>
      <c r="F1621" s="761"/>
    </row>
    <row r="1622" spans="1:6" x14ac:dyDescent="0.2">
      <c r="A1622" s="762" t="e">
        <f ca="1">IF($H1622="UNIDADE CONSTRUTIVA",OFFSET(A1622,-1,0)+1,LARGE(A$3:A1621,1))</f>
        <v>#NUM!</v>
      </c>
      <c r="B1622" s="762">
        <f t="shared" ca="1" si="342"/>
        <v>21</v>
      </c>
      <c r="C1622" s="762">
        <f t="shared" ca="1" si="343"/>
        <v>1</v>
      </c>
      <c r="D1622" s="763">
        <f t="shared" ca="1" si="344"/>
        <v>1</v>
      </c>
      <c r="E1622" s="763">
        <f t="shared" ca="1" si="345"/>
        <v>1</v>
      </c>
      <c r="F1622" s="761"/>
    </row>
    <row r="1623" spans="1:6" x14ac:dyDescent="0.2">
      <c r="A1623" s="762" t="e">
        <f ca="1">IF($H1623="UNIDADE CONSTRUTIVA",OFFSET(A1623,-1,0)+1,LARGE(A$3:A1622,1))</f>
        <v>#NUM!</v>
      </c>
      <c r="B1623" s="762">
        <f t="shared" ca="1" si="342"/>
        <v>21</v>
      </c>
      <c r="C1623" s="762">
        <f t="shared" ca="1" si="343"/>
        <v>1</v>
      </c>
      <c r="D1623" s="763">
        <f t="shared" ca="1" si="344"/>
        <v>1</v>
      </c>
      <c r="E1623" s="763">
        <f t="shared" ca="1" si="345"/>
        <v>1</v>
      </c>
      <c r="F1623" s="761"/>
    </row>
    <row r="1624" spans="1:6" x14ac:dyDescent="0.2">
      <c r="A1624" s="762" t="e">
        <f ca="1">IF($H1624="UNIDADE CONSTRUTIVA",OFFSET(A1624,-1,0)+1,LARGE(A$3:A1623,1))</f>
        <v>#NUM!</v>
      </c>
      <c r="B1624" s="762">
        <f t="shared" ca="1" si="342"/>
        <v>21</v>
      </c>
      <c r="C1624" s="762">
        <f t="shared" ca="1" si="343"/>
        <v>1</v>
      </c>
      <c r="D1624" s="763">
        <f t="shared" ca="1" si="344"/>
        <v>1</v>
      </c>
      <c r="E1624" s="763">
        <f t="shared" ca="1" si="345"/>
        <v>1</v>
      </c>
      <c r="F1624" s="761"/>
    </row>
    <row r="1625" spans="1:6" x14ac:dyDescent="0.2">
      <c r="A1625" s="762" t="e">
        <f ca="1">IF($H1625="UNIDADE CONSTRUTIVA",OFFSET(A1625,-1,0)+1,LARGE(A$3:A1624,1))</f>
        <v>#NUM!</v>
      </c>
      <c r="B1625" s="762">
        <f t="shared" ca="1" si="342"/>
        <v>21</v>
      </c>
      <c r="C1625" s="762">
        <f t="shared" ca="1" si="343"/>
        <v>1</v>
      </c>
      <c r="D1625" s="763">
        <f t="shared" ca="1" si="344"/>
        <v>1</v>
      </c>
      <c r="E1625" s="763">
        <f t="shared" ca="1" si="345"/>
        <v>1</v>
      </c>
      <c r="F1625" s="761"/>
    </row>
    <row r="1626" spans="1:6" x14ac:dyDescent="0.2">
      <c r="A1626" s="762" t="e">
        <f ca="1">IF($H1626="UNIDADE CONSTRUTIVA",OFFSET(A1626,-1,0)+1,LARGE(A$3:A1625,1))</f>
        <v>#NUM!</v>
      </c>
      <c r="B1626" s="762">
        <f t="shared" ca="1" si="342"/>
        <v>21</v>
      </c>
      <c r="C1626" s="762">
        <f t="shared" ca="1" si="343"/>
        <v>1</v>
      </c>
      <c r="D1626" s="763">
        <f t="shared" ca="1" si="344"/>
        <v>1</v>
      </c>
      <c r="E1626" s="763">
        <f t="shared" ca="1" si="345"/>
        <v>1</v>
      </c>
      <c r="F1626" s="761"/>
    </row>
    <row r="1627" spans="1:6" x14ac:dyDescent="0.2">
      <c r="A1627" s="762" t="e">
        <f ca="1">IF($H1627="UNIDADE CONSTRUTIVA",OFFSET(A1627,-1,0)+1,LARGE(A$3:A1626,1))</f>
        <v>#NUM!</v>
      </c>
      <c r="B1627" s="762">
        <f t="shared" ca="1" si="342"/>
        <v>21</v>
      </c>
      <c r="C1627" s="762">
        <f t="shared" ca="1" si="343"/>
        <v>1</v>
      </c>
      <c r="D1627" s="763">
        <f t="shared" ca="1" si="344"/>
        <v>1</v>
      </c>
      <c r="E1627" s="763">
        <f t="shared" ca="1" si="345"/>
        <v>1</v>
      </c>
      <c r="F1627" s="761"/>
    </row>
    <row r="1628" spans="1:6" x14ac:dyDescent="0.2">
      <c r="A1628" s="762" t="e">
        <f ca="1">IF($H1628="UNIDADE CONSTRUTIVA",OFFSET(A1628,-1,0)+1,LARGE(A$3:A1627,1))</f>
        <v>#NUM!</v>
      </c>
      <c r="B1628" s="762">
        <f t="shared" ca="1" si="342"/>
        <v>21</v>
      </c>
      <c r="C1628" s="762">
        <f t="shared" ca="1" si="343"/>
        <v>1</v>
      </c>
      <c r="D1628" s="763">
        <f t="shared" ca="1" si="344"/>
        <v>1</v>
      </c>
      <c r="E1628" s="763">
        <f t="shared" ca="1" si="345"/>
        <v>1</v>
      </c>
      <c r="F1628" s="761"/>
    </row>
    <row r="1629" spans="1:6" x14ac:dyDescent="0.2">
      <c r="A1629" s="762" t="e">
        <f ca="1">IF($H1629="UNIDADE CONSTRUTIVA",OFFSET(A1629,-1,0)+1,LARGE(A$3:A1628,1))</f>
        <v>#NUM!</v>
      </c>
      <c r="B1629" s="762">
        <f t="shared" ca="1" si="342"/>
        <v>21</v>
      </c>
      <c r="C1629" s="762">
        <f t="shared" ca="1" si="343"/>
        <v>1</v>
      </c>
      <c r="D1629" s="763">
        <f t="shared" ca="1" si="344"/>
        <v>1</v>
      </c>
      <c r="E1629" s="763">
        <f t="shared" ca="1" si="345"/>
        <v>1</v>
      </c>
      <c r="F1629" s="761"/>
    </row>
    <row r="1630" spans="1:6" x14ac:dyDescent="0.2">
      <c r="A1630" s="762" t="e">
        <f ca="1">IF($H1630="UNIDADE CONSTRUTIVA",OFFSET(A1630,-1,0)+1,LARGE(A$3:A1629,1))</f>
        <v>#NUM!</v>
      </c>
      <c r="B1630" s="762">
        <f t="shared" ca="1" si="342"/>
        <v>21</v>
      </c>
      <c r="C1630" s="762">
        <f t="shared" ca="1" si="343"/>
        <v>1</v>
      </c>
      <c r="D1630" s="763">
        <f t="shared" ca="1" si="344"/>
        <v>1</v>
      </c>
      <c r="E1630" s="763">
        <f t="shared" ca="1" si="345"/>
        <v>1</v>
      </c>
      <c r="F1630" s="761"/>
    </row>
    <row r="1631" spans="1:6" x14ac:dyDescent="0.2">
      <c r="A1631" s="762" t="e">
        <f ca="1">IF($H1631="UNIDADE CONSTRUTIVA",OFFSET(A1631,-1,0)+1,LARGE(A$3:A1630,1))</f>
        <v>#NUM!</v>
      </c>
      <c r="B1631" s="762">
        <f t="shared" ca="1" si="342"/>
        <v>21</v>
      </c>
      <c r="C1631" s="762">
        <f t="shared" ca="1" si="343"/>
        <v>1</v>
      </c>
      <c r="D1631" s="763">
        <f t="shared" ca="1" si="344"/>
        <v>1</v>
      </c>
      <c r="E1631" s="763">
        <f t="shared" ca="1" si="345"/>
        <v>1</v>
      </c>
      <c r="F1631" s="761"/>
    </row>
    <row r="1632" spans="1:6" x14ac:dyDescent="0.2">
      <c r="A1632" s="762" t="e">
        <f ca="1">IF($H1632="UNIDADE CONSTRUTIVA",OFFSET(A1632,-1,0)+1,LARGE(A$3:A1631,1))</f>
        <v>#NUM!</v>
      </c>
      <c r="B1632" s="762">
        <f t="shared" ca="1" si="342"/>
        <v>21</v>
      </c>
      <c r="C1632" s="762">
        <f t="shared" ca="1" si="343"/>
        <v>1</v>
      </c>
      <c r="D1632" s="763">
        <f t="shared" ca="1" si="344"/>
        <v>1</v>
      </c>
      <c r="E1632" s="763">
        <f t="shared" ca="1" si="345"/>
        <v>1</v>
      </c>
      <c r="F1632" s="761"/>
    </row>
    <row r="1633" spans="1:6" x14ac:dyDescent="0.2">
      <c r="A1633" s="762" t="e">
        <f ca="1">IF($H1633="UNIDADE CONSTRUTIVA",OFFSET(A1633,-1,0)+1,LARGE(A$3:A1632,1))</f>
        <v>#NUM!</v>
      </c>
      <c r="B1633" s="762">
        <f t="shared" ca="1" si="342"/>
        <v>21</v>
      </c>
      <c r="C1633" s="762">
        <f t="shared" ca="1" si="343"/>
        <v>1</v>
      </c>
      <c r="D1633" s="763">
        <f t="shared" ca="1" si="344"/>
        <v>1</v>
      </c>
      <c r="E1633" s="763">
        <f t="shared" ca="1" si="345"/>
        <v>1</v>
      </c>
      <c r="F1633" s="761"/>
    </row>
    <row r="1634" spans="1:6" x14ac:dyDescent="0.2">
      <c r="A1634" s="762" t="e">
        <f ca="1">IF($H1634="UNIDADE CONSTRUTIVA",OFFSET(A1634,-1,0)+1,LARGE(A$3:A1633,1))</f>
        <v>#NUM!</v>
      </c>
      <c r="B1634" s="762">
        <f t="shared" ca="1" si="342"/>
        <v>21</v>
      </c>
      <c r="C1634" s="762">
        <f t="shared" ca="1" si="343"/>
        <v>1</v>
      </c>
      <c r="D1634" s="763">
        <f t="shared" ca="1" si="344"/>
        <v>1</v>
      </c>
      <c r="E1634" s="763">
        <f t="shared" ca="1" si="345"/>
        <v>1</v>
      </c>
      <c r="F1634" s="761"/>
    </row>
    <row r="1635" spans="1:6" x14ac:dyDescent="0.2">
      <c r="A1635" s="762" t="e">
        <f ca="1">IF($H1635="UNIDADE CONSTRUTIVA",OFFSET(A1635,-1,0)+1,LARGE(A$3:A1634,1))</f>
        <v>#NUM!</v>
      </c>
      <c r="B1635" s="762">
        <f t="shared" ca="1" si="342"/>
        <v>21</v>
      </c>
      <c r="C1635" s="762">
        <f t="shared" ca="1" si="343"/>
        <v>1</v>
      </c>
      <c r="D1635" s="763">
        <f t="shared" ca="1" si="344"/>
        <v>1</v>
      </c>
      <c r="E1635" s="763">
        <f t="shared" ca="1" si="345"/>
        <v>1</v>
      </c>
      <c r="F1635" s="761"/>
    </row>
    <row r="1636" spans="1:6" x14ac:dyDescent="0.2">
      <c r="A1636" s="762" t="e">
        <f ca="1">IF($H1636="UNIDADE CONSTRUTIVA",OFFSET(A1636,-1,0)+1,LARGE(A$3:A1635,1))</f>
        <v>#NUM!</v>
      </c>
      <c r="B1636" s="762">
        <f t="shared" ca="1" si="342"/>
        <v>21</v>
      </c>
      <c r="C1636" s="762">
        <f t="shared" ca="1" si="343"/>
        <v>1</v>
      </c>
      <c r="D1636" s="763">
        <f t="shared" ca="1" si="344"/>
        <v>1</v>
      </c>
      <c r="E1636" s="763">
        <f t="shared" ca="1" si="345"/>
        <v>1</v>
      </c>
      <c r="F1636" s="761"/>
    </row>
    <row r="1637" spans="1:6" x14ac:dyDescent="0.2">
      <c r="A1637" s="762" t="e">
        <f ca="1">IF($H1637="UNIDADE CONSTRUTIVA",OFFSET(A1637,-1,0)+1,LARGE(A$3:A1636,1))</f>
        <v>#NUM!</v>
      </c>
      <c r="B1637" s="762">
        <f t="shared" ca="1" si="342"/>
        <v>21</v>
      </c>
      <c r="C1637" s="762">
        <f t="shared" ca="1" si="343"/>
        <v>1</v>
      </c>
      <c r="D1637" s="763">
        <f t="shared" ca="1" si="344"/>
        <v>1</v>
      </c>
      <c r="E1637" s="763">
        <f t="shared" ca="1" si="345"/>
        <v>1</v>
      </c>
      <c r="F1637" s="761"/>
    </row>
    <row r="1638" spans="1:6" x14ac:dyDescent="0.2">
      <c r="A1638" s="762" t="e">
        <f ca="1">IF($H1638="UNIDADE CONSTRUTIVA",OFFSET(A1638,-1,0)+1,LARGE(A$3:A1637,1))</f>
        <v>#NUM!</v>
      </c>
      <c r="B1638" s="762">
        <f t="shared" ca="1" si="342"/>
        <v>21</v>
      </c>
      <c r="C1638" s="762">
        <f t="shared" ca="1" si="343"/>
        <v>1</v>
      </c>
      <c r="D1638" s="763">
        <f t="shared" ca="1" si="344"/>
        <v>1</v>
      </c>
      <c r="E1638" s="763">
        <f t="shared" ca="1" si="345"/>
        <v>1</v>
      </c>
      <c r="F1638" s="761"/>
    </row>
    <row r="1639" spans="1:6" x14ac:dyDescent="0.2">
      <c r="A1639" s="762" t="e">
        <f ca="1">IF($H1639="UNIDADE CONSTRUTIVA",OFFSET(A1639,-1,0)+1,LARGE(A$3:A1638,1))</f>
        <v>#NUM!</v>
      </c>
      <c r="B1639" s="762">
        <f t="shared" ca="1" si="342"/>
        <v>21</v>
      </c>
      <c r="C1639" s="762">
        <f t="shared" ca="1" si="343"/>
        <v>1</v>
      </c>
      <c r="D1639" s="763">
        <f t="shared" ca="1" si="344"/>
        <v>1</v>
      </c>
      <c r="E1639" s="763">
        <f t="shared" ca="1" si="345"/>
        <v>1</v>
      </c>
      <c r="F1639" s="761"/>
    </row>
    <row r="1640" spans="1:6" x14ac:dyDescent="0.2">
      <c r="A1640" s="762" t="e">
        <f ca="1">IF($H1640="UNIDADE CONSTRUTIVA",OFFSET(A1640,-1,0)+1,LARGE(A$3:A1639,1))</f>
        <v>#NUM!</v>
      </c>
      <c r="B1640" s="762">
        <f t="shared" ca="1" si="342"/>
        <v>21</v>
      </c>
      <c r="C1640" s="762">
        <f t="shared" ca="1" si="343"/>
        <v>1</v>
      </c>
      <c r="D1640" s="763">
        <f t="shared" ca="1" si="344"/>
        <v>1</v>
      </c>
      <c r="E1640" s="763">
        <f t="shared" ca="1" si="345"/>
        <v>1</v>
      </c>
      <c r="F1640" s="761"/>
    </row>
    <row r="1641" spans="1:6" x14ac:dyDescent="0.2">
      <c r="A1641" s="762" t="e">
        <f ca="1">IF($H1641="UNIDADE CONSTRUTIVA",OFFSET(A1641,-1,0)+1,LARGE(A$3:A1640,1))</f>
        <v>#NUM!</v>
      </c>
      <c r="B1641" s="762">
        <f t="shared" ca="1" si="342"/>
        <v>21</v>
      </c>
      <c r="C1641" s="762">
        <f t="shared" ca="1" si="343"/>
        <v>1</v>
      </c>
      <c r="D1641" s="763">
        <f t="shared" ca="1" si="344"/>
        <v>1</v>
      </c>
      <c r="E1641" s="763">
        <f t="shared" ca="1" si="345"/>
        <v>1</v>
      </c>
      <c r="F1641" s="761"/>
    </row>
    <row r="1642" spans="1:6" x14ac:dyDescent="0.2">
      <c r="A1642" s="762" t="e">
        <f ca="1">IF($H1642="UNIDADE CONSTRUTIVA",OFFSET(A1642,-1,0)+1,LARGE(A$3:A1641,1))</f>
        <v>#NUM!</v>
      </c>
      <c r="B1642" s="762">
        <f t="shared" ca="1" si="342"/>
        <v>21</v>
      </c>
      <c r="C1642" s="762">
        <f t="shared" ca="1" si="343"/>
        <v>1</v>
      </c>
      <c r="D1642" s="763">
        <f t="shared" ca="1" si="344"/>
        <v>1</v>
      </c>
      <c r="E1642" s="763">
        <f t="shared" ca="1" si="345"/>
        <v>1</v>
      </c>
      <c r="F1642" s="761"/>
    </row>
    <row r="1643" spans="1:6" x14ac:dyDescent="0.2">
      <c r="A1643" s="762" t="e">
        <f ca="1">IF($H1643="UNIDADE CONSTRUTIVA",OFFSET(A1643,-1,0)+1,LARGE(A$3:A1642,1))</f>
        <v>#NUM!</v>
      </c>
      <c r="B1643" s="762">
        <f t="shared" ca="1" si="342"/>
        <v>21</v>
      </c>
      <c r="C1643" s="762">
        <f t="shared" ca="1" si="343"/>
        <v>1</v>
      </c>
      <c r="D1643" s="763">
        <f t="shared" ca="1" si="344"/>
        <v>1</v>
      </c>
      <c r="E1643" s="763">
        <f t="shared" ca="1" si="345"/>
        <v>1</v>
      </c>
      <c r="F1643" s="761"/>
    </row>
    <row r="1644" spans="1:6" x14ac:dyDescent="0.2">
      <c r="A1644" s="762" t="e">
        <f ca="1">IF($H1644="UNIDADE CONSTRUTIVA",OFFSET(A1644,-1,0)+1,LARGE(A$3:A1643,1))</f>
        <v>#NUM!</v>
      </c>
      <c r="B1644" s="762">
        <f t="shared" ca="1" si="342"/>
        <v>21</v>
      </c>
      <c r="C1644" s="762">
        <f t="shared" ca="1" si="343"/>
        <v>1</v>
      </c>
      <c r="D1644" s="763">
        <f t="shared" ca="1" si="344"/>
        <v>1</v>
      </c>
      <c r="E1644" s="763">
        <f t="shared" ca="1" si="345"/>
        <v>1</v>
      </c>
      <c r="F1644" s="761"/>
    </row>
    <row r="1645" spans="1:6" x14ac:dyDescent="0.2">
      <c r="A1645" s="762" t="e">
        <f ca="1">IF($H1645="UNIDADE CONSTRUTIVA",OFFSET(A1645,-1,0)+1,LARGE(A$3:A1644,1))</f>
        <v>#NUM!</v>
      </c>
      <c r="B1645" s="762">
        <f t="shared" ca="1" si="342"/>
        <v>21</v>
      </c>
      <c r="C1645" s="762">
        <f t="shared" ca="1" si="343"/>
        <v>1</v>
      </c>
      <c r="D1645" s="763">
        <f t="shared" ca="1" si="344"/>
        <v>1</v>
      </c>
      <c r="E1645" s="763">
        <f t="shared" ca="1" si="345"/>
        <v>1</v>
      </c>
      <c r="F1645" s="761"/>
    </row>
    <row r="1646" spans="1:6" x14ac:dyDescent="0.2">
      <c r="A1646" s="762" t="e">
        <f ca="1">IF($H1646="UNIDADE CONSTRUTIVA",OFFSET(A1646,-1,0)+1,LARGE(A$3:A1645,1))</f>
        <v>#NUM!</v>
      </c>
      <c r="B1646" s="762">
        <f t="shared" ca="1" si="342"/>
        <v>21</v>
      </c>
      <c r="C1646" s="762">
        <f t="shared" ca="1" si="343"/>
        <v>1</v>
      </c>
      <c r="D1646" s="763">
        <f t="shared" ca="1" si="344"/>
        <v>1</v>
      </c>
      <c r="E1646" s="763">
        <f t="shared" ca="1" si="345"/>
        <v>1</v>
      </c>
      <c r="F1646" s="761"/>
    </row>
    <row r="1647" spans="1:6" x14ac:dyDescent="0.2">
      <c r="A1647" s="762" t="e">
        <f ca="1">IF($H1647="UNIDADE CONSTRUTIVA",OFFSET(A1647,-1,0)+1,LARGE(A$3:A1646,1))</f>
        <v>#NUM!</v>
      </c>
      <c r="B1647" s="762">
        <f t="shared" ca="1" si="342"/>
        <v>21</v>
      </c>
      <c r="C1647" s="762">
        <f t="shared" ca="1" si="343"/>
        <v>1</v>
      </c>
      <c r="D1647" s="763">
        <f t="shared" ca="1" si="344"/>
        <v>1</v>
      </c>
      <c r="E1647" s="763">
        <f t="shared" ca="1" si="345"/>
        <v>1</v>
      </c>
      <c r="F1647" s="761"/>
    </row>
    <row r="1648" spans="1:6" x14ac:dyDescent="0.2">
      <c r="A1648" s="762" t="e">
        <f ca="1">IF($H1648="UNIDADE CONSTRUTIVA",OFFSET(A1648,-1,0)+1,LARGE(A$3:A1647,1))</f>
        <v>#NUM!</v>
      </c>
      <c r="B1648" s="762">
        <f t="shared" ca="1" si="342"/>
        <v>21</v>
      </c>
      <c r="C1648" s="762">
        <f t="shared" ca="1" si="343"/>
        <v>1</v>
      </c>
      <c r="D1648" s="763">
        <f t="shared" ca="1" si="344"/>
        <v>1</v>
      </c>
      <c r="E1648" s="763">
        <f t="shared" ca="1" si="345"/>
        <v>1</v>
      </c>
      <c r="F1648" s="761"/>
    </row>
    <row r="1649" spans="1:6" x14ac:dyDescent="0.2">
      <c r="A1649" s="762" t="e">
        <f ca="1">IF($H1649="UNIDADE CONSTRUTIVA",OFFSET(A1649,-1,0)+1,LARGE(A$3:A1648,1))</f>
        <v>#NUM!</v>
      </c>
      <c r="B1649" s="762">
        <f t="shared" ca="1" si="342"/>
        <v>21</v>
      </c>
      <c r="C1649" s="762">
        <f t="shared" ca="1" si="343"/>
        <v>1</v>
      </c>
      <c r="D1649" s="763">
        <f t="shared" ca="1" si="344"/>
        <v>1</v>
      </c>
      <c r="E1649" s="763">
        <f t="shared" ca="1" si="345"/>
        <v>1</v>
      </c>
      <c r="F1649" s="761"/>
    </row>
    <row r="1650" spans="1:6" x14ac:dyDescent="0.2">
      <c r="A1650" s="762" t="e">
        <f ca="1">IF($H1650="UNIDADE CONSTRUTIVA",OFFSET(A1650,-1,0)+1,LARGE(A$3:A1649,1))</f>
        <v>#NUM!</v>
      </c>
      <c r="B1650" s="762">
        <f t="shared" ref="B1650:B1713" ca="1" si="346">IF(H1650="UNIDADE CONSTRUTIVA",0,IF(H1650="CÉLULA CONSTRUTIVA",OFFSET(B1650,-1,0)+1,OFFSET(B1650,-1,0)))</f>
        <v>21</v>
      </c>
      <c r="C1650" s="762">
        <f t="shared" ref="C1650:C1713" ca="1" si="347">IF(H1650="CÉLULA CONSTRUTIVA",0,IF(H1650="ETAPA",OFFSET(C1650,-1,0)+1,OFFSET(C1650,-1,0)))</f>
        <v>1</v>
      </c>
      <c r="D1650" s="763">
        <f t="shared" ref="D1650:D1713" ca="1" si="348">IF(H1650="ETAPA",0,IF(H1650="SUBETAPA",OFFSET(D1650,-1,0)+1,OFFSET(D1650,-1,0)))</f>
        <v>1</v>
      </c>
      <c r="E1650" s="763">
        <f t="shared" ref="E1650:E1713" ca="1" si="349">IF(H1650="Subetapa",0,IF(H1650="serviço",OFFSET(E1650,-1,0)+1,OFFSET(E1650,-1,0)))</f>
        <v>1</v>
      </c>
      <c r="F1650" s="761"/>
    </row>
    <row r="1651" spans="1:6" x14ac:dyDescent="0.2">
      <c r="A1651" s="762" t="e">
        <f ca="1">IF($H1651="UNIDADE CONSTRUTIVA",OFFSET(A1651,-1,0)+1,LARGE(A$3:A1650,1))</f>
        <v>#NUM!</v>
      </c>
      <c r="B1651" s="762">
        <f t="shared" ca="1" si="346"/>
        <v>21</v>
      </c>
      <c r="C1651" s="762">
        <f t="shared" ca="1" si="347"/>
        <v>1</v>
      </c>
      <c r="D1651" s="763">
        <f t="shared" ca="1" si="348"/>
        <v>1</v>
      </c>
      <c r="E1651" s="763">
        <f t="shared" ca="1" si="349"/>
        <v>1</v>
      </c>
      <c r="F1651" s="761"/>
    </row>
    <row r="1652" spans="1:6" x14ac:dyDescent="0.2">
      <c r="A1652" s="762" t="e">
        <f ca="1">IF($H1652="UNIDADE CONSTRUTIVA",OFFSET(A1652,-1,0)+1,LARGE(A$3:A1651,1))</f>
        <v>#NUM!</v>
      </c>
      <c r="B1652" s="762">
        <f t="shared" ca="1" si="346"/>
        <v>21</v>
      </c>
      <c r="C1652" s="762">
        <f t="shared" ca="1" si="347"/>
        <v>1</v>
      </c>
      <c r="D1652" s="763">
        <f t="shared" ca="1" si="348"/>
        <v>1</v>
      </c>
      <c r="E1652" s="763">
        <f t="shared" ca="1" si="349"/>
        <v>1</v>
      </c>
      <c r="F1652" s="761"/>
    </row>
    <row r="1653" spans="1:6" x14ac:dyDescent="0.2">
      <c r="A1653" s="762" t="e">
        <f ca="1">IF($H1653="UNIDADE CONSTRUTIVA",OFFSET(A1653,-1,0)+1,LARGE(A$3:A1652,1))</f>
        <v>#NUM!</v>
      </c>
      <c r="B1653" s="762">
        <f t="shared" ca="1" si="346"/>
        <v>21</v>
      </c>
      <c r="C1653" s="762">
        <f t="shared" ca="1" si="347"/>
        <v>1</v>
      </c>
      <c r="D1653" s="763">
        <f t="shared" ca="1" si="348"/>
        <v>1</v>
      </c>
      <c r="E1653" s="763">
        <f t="shared" ca="1" si="349"/>
        <v>1</v>
      </c>
      <c r="F1653" s="761"/>
    </row>
    <row r="1654" spans="1:6" x14ac:dyDescent="0.2">
      <c r="A1654" s="762" t="e">
        <f ca="1">IF($H1654="UNIDADE CONSTRUTIVA",OFFSET(A1654,-1,0)+1,LARGE(A$3:A1653,1))</f>
        <v>#NUM!</v>
      </c>
      <c r="B1654" s="762">
        <f t="shared" ca="1" si="346"/>
        <v>21</v>
      </c>
      <c r="C1654" s="762">
        <f t="shared" ca="1" si="347"/>
        <v>1</v>
      </c>
      <c r="D1654" s="763">
        <f t="shared" ca="1" si="348"/>
        <v>1</v>
      </c>
      <c r="E1654" s="763">
        <f t="shared" ca="1" si="349"/>
        <v>1</v>
      </c>
      <c r="F1654" s="761"/>
    </row>
    <row r="1655" spans="1:6" x14ac:dyDescent="0.2">
      <c r="A1655" s="762" t="e">
        <f ca="1">IF($H1655="UNIDADE CONSTRUTIVA",OFFSET(A1655,-1,0)+1,LARGE(A$3:A1654,1))</f>
        <v>#NUM!</v>
      </c>
      <c r="B1655" s="762">
        <f t="shared" ca="1" si="346"/>
        <v>21</v>
      </c>
      <c r="C1655" s="762">
        <f t="shared" ca="1" si="347"/>
        <v>1</v>
      </c>
      <c r="D1655" s="763">
        <f t="shared" ca="1" si="348"/>
        <v>1</v>
      </c>
      <c r="E1655" s="763">
        <f t="shared" ca="1" si="349"/>
        <v>1</v>
      </c>
      <c r="F1655" s="761"/>
    </row>
    <row r="1656" spans="1:6" x14ac:dyDescent="0.2">
      <c r="A1656" s="762" t="e">
        <f ca="1">IF($H1656="UNIDADE CONSTRUTIVA",OFFSET(A1656,-1,0)+1,LARGE(A$3:A1655,1))</f>
        <v>#NUM!</v>
      </c>
      <c r="B1656" s="762">
        <f t="shared" ca="1" si="346"/>
        <v>21</v>
      </c>
      <c r="C1656" s="762">
        <f t="shared" ca="1" si="347"/>
        <v>1</v>
      </c>
      <c r="D1656" s="763">
        <f t="shared" ca="1" si="348"/>
        <v>1</v>
      </c>
      <c r="E1656" s="763">
        <f t="shared" ca="1" si="349"/>
        <v>1</v>
      </c>
      <c r="F1656" s="761"/>
    </row>
    <row r="1657" spans="1:6" x14ac:dyDescent="0.2">
      <c r="A1657" s="762" t="e">
        <f ca="1">IF($H1657="UNIDADE CONSTRUTIVA",OFFSET(A1657,-1,0)+1,LARGE(A$3:A1656,1))</f>
        <v>#NUM!</v>
      </c>
      <c r="B1657" s="762">
        <f t="shared" ca="1" si="346"/>
        <v>21</v>
      </c>
      <c r="C1657" s="762">
        <f t="shared" ca="1" si="347"/>
        <v>1</v>
      </c>
      <c r="D1657" s="763">
        <f t="shared" ca="1" si="348"/>
        <v>1</v>
      </c>
      <c r="E1657" s="763">
        <f t="shared" ca="1" si="349"/>
        <v>1</v>
      </c>
      <c r="F1657" s="761"/>
    </row>
    <row r="1658" spans="1:6" x14ac:dyDescent="0.2">
      <c r="A1658" s="762" t="e">
        <f ca="1">IF($H1658="UNIDADE CONSTRUTIVA",OFFSET(A1658,-1,0)+1,LARGE(A$3:A1657,1))</f>
        <v>#NUM!</v>
      </c>
      <c r="B1658" s="762">
        <f t="shared" ca="1" si="346"/>
        <v>21</v>
      </c>
      <c r="C1658" s="762">
        <f t="shared" ca="1" si="347"/>
        <v>1</v>
      </c>
      <c r="D1658" s="763">
        <f t="shared" ca="1" si="348"/>
        <v>1</v>
      </c>
      <c r="E1658" s="763">
        <f t="shared" ca="1" si="349"/>
        <v>1</v>
      </c>
      <c r="F1658" s="761"/>
    </row>
    <row r="1659" spans="1:6" x14ac:dyDescent="0.2">
      <c r="A1659" s="762" t="e">
        <f ca="1">IF($H1659="UNIDADE CONSTRUTIVA",OFFSET(A1659,-1,0)+1,LARGE(A$3:A1658,1))</f>
        <v>#NUM!</v>
      </c>
      <c r="B1659" s="762">
        <f t="shared" ca="1" si="346"/>
        <v>21</v>
      </c>
      <c r="C1659" s="762">
        <f t="shared" ca="1" si="347"/>
        <v>1</v>
      </c>
      <c r="D1659" s="763">
        <f t="shared" ca="1" si="348"/>
        <v>1</v>
      </c>
      <c r="E1659" s="763">
        <f t="shared" ca="1" si="349"/>
        <v>1</v>
      </c>
      <c r="F1659" s="761"/>
    </row>
    <row r="1660" spans="1:6" x14ac:dyDescent="0.2">
      <c r="A1660" s="762" t="e">
        <f ca="1">IF($H1660="UNIDADE CONSTRUTIVA",OFFSET(A1660,-1,0)+1,LARGE(A$3:A1659,1))</f>
        <v>#NUM!</v>
      </c>
      <c r="B1660" s="762">
        <f t="shared" ca="1" si="346"/>
        <v>21</v>
      </c>
      <c r="C1660" s="762">
        <f t="shared" ca="1" si="347"/>
        <v>1</v>
      </c>
      <c r="D1660" s="763">
        <f t="shared" ca="1" si="348"/>
        <v>1</v>
      </c>
      <c r="E1660" s="763">
        <f t="shared" ca="1" si="349"/>
        <v>1</v>
      </c>
      <c r="F1660" s="761"/>
    </row>
    <row r="1661" spans="1:6" x14ac:dyDescent="0.2">
      <c r="A1661" s="762" t="e">
        <f ca="1">IF($H1661="UNIDADE CONSTRUTIVA",OFFSET(A1661,-1,0)+1,LARGE(A$3:A1660,1))</f>
        <v>#NUM!</v>
      </c>
      <c r="B1661" s="762">
        <f t="shared" ca="1" si="346"/>
        <v>21</v>
      </c>
      <c r="C1661" s="762">
        <f t="shared" ca="1" si="347"/>
        <v>1</v>
      </c>
      <c r="D1661" s="763">
        <f t="shared" ca="1" si="348"/>
        <v>1</v>
      </c>
      <c r="E1661" s="763">
        <f t="shared" ca="1" si="349"/>
        <v>1</v>
      </c>
      <c r="F1661" s="761"/>
    </row>
    <row r="1662" spans="1:6" x14ac:dyDescent="0.2">
      <c r="A1662" s="762" t="e">
        <f ca="1">IF($H1662="UNIDADE CONSTRUTIVA",OFFSET(A1662,-1,0)+1,LARGE(A$3:A1661,1))</f>
        <v>#NUM!</v>
      </c>
      <c r="B1662" s="762">
        <f t="shared" ca="1" si="346"/>
        <v>21</v>
      </c>
      <c r="C1662" s="762">
        <f t="shared" ca="1" si="347"/>
        <v>1</v>
      </c>
      <c r="D1662" s="763">
        <f t="shared" ca="1" si="348"/>
        <v>1</v>
      </c>
      <c r="E1662" s="763">
        <f t="shared" ca="1" si="349"/>
        <v>1</v>
      </c>
      <c r="F1662" s="761"/>
    </row>
    <row r="1663" spans="1:6" x14ac:dyDescent="0.2">
      <c r="A1663" s="762" t="e">
        <f ca="1">IF($H1663="UNIDADE CONSTRUTIVA",OFFSET(A1663,-1,0)+1,LARGE(A$3:A1662,1))</f>
        <v>#NUM!</v>
      </c>
      <c r="B1663" s="762">
        <f t="shared" ca="1" si="346"/>
        <v>21</v>
      </c>
      <c r="C1663" s="762">
        <f t="shared" ca="1" si="347"/>
        <v>1</v>
      </c>
      <c r="D1663" s="763">
        <f t="shared" ca="1" si="348"/>
        <v>1</v>
      </c>
      <c r="E1663" s="763">
        <f t="shared" ca="1" si="349"/>
        <v>1</v>
      </c>
      <c r="F1663" s="761"/>
    </row>
    <row r="1664" spans="1:6" x14ac:dyDescent="0.2">
      <c r="A1664" s="762" t="e">
        <f ca="1">IF($H1664="UNIDADE CONSTRUTIVA",OFFSET(A1664,-1,0)+1,LARGE(A$3:A1663,1))</f>
        <v>#NUM!</v>
      </c>
      <c r="B1664" s="762">
        <f t="shared" ca="1" si="346"/>
        <v>21</v>
      </c>
      <c r="C1664" s="762">
        <f t="shared" ca="1" si="347"/>
        <v>1</v>
      </c>
      <c r="D1664" s="763">
        <f t="shared" ca="1" si="348"/>
        <v>1</v>
      </c>
      <c r="E1664" s="763">
        <f t="shared" ca="1" si="349"/>
        <v>1</v>
      </c>
      <c r="F1664" s="761"/>
    </row>
    <row r="1665" spans="1:6" x14ac:dyDescent="0.2">
      <c r="A1665" s="762" t="e">
        <f ca="1">IF($H1665="UNIDADE CONSTRUTIVA",OFFSET(A1665,-1,0)+1,LARGE(A$3:A1664,1))</f>
        <v>#NUM!</v>
      </c>
      <c r="B1665" s="762">
        <f t="shared" ca="1" si="346"/>
        <v>21</v>
      </c>
      <c r="C1665" s="762">
        <f t="shared" ca="1" si="347"/>
        <v>1</v>
      </c>
      <c r="D1665" s="763">
        <f t="shared" ca="1" si="348"/>
        <v>1</v>
      </c>
      <c r="E1665" s="763">
        <f t="shared" ca="1" si="349"/>
        <v>1</v>
      </c>
      <c r="F1665" s="761"/>
    </row>
    <row r="1666" spans="1:6" x14ac:dyDescent="0.2">
      <c r="A1666" s="762" t="e">
        <f ca="1">IF($H1666="UNIDADE CONSTRUTIVA",OFFSET(A1666,-1,0)+1,LARGE(A$3:A1665,1))</f>
        <v>#NUM!</v>
      </c>
      <c r="B1666" s="762">
        <f t="shared" ca="1" si="346"/>
        <v>21</v>
      </c>
      <c r="C1666" s="762">
        <f t="shared" ca="1" si="347"/>
        <v>1</v>
      </c>
      <c r="D1666" s="763">
        <f t="shared" ca="1" si="348"/>
        <v>1</v>
      </c>
      <c r="E1666" s="763">
        <f t="shared" ca="1" si="349"/>
        <v>1</v>
      </c>
      <c r="F1666" s="761"/>
    </row>
    <row r="1667" spans="1:6" x14ac:dyDescent="0.2">
      <c r="A1667" s="762" t="e">
        <f ca="1">IF($H1667="UNIDADE CONSTRUTIVA",OFFSET(A1667,-1,0)+1,LARGE(A$3:A1666,1))</f>
        <v>#NUM!</v>
      </c>
      <c r="B1667" s="762">
        <f t="shared" ca="1" si="346"/>
        <v>21</v>
      </c>
      <c r="C1667" s="762">
        <f t="shared" ca="1" si="347"/>
        <v>1</v>
      </c>
      <c r="D1667" s="763">
        <f t="shared" ca="1" si="348"/>
        <v>1</v>
      </c>
      <c r="E1667" s="763">
        <f t="shared" ca="1" si="349"/>
        <v>1</v>
      </c>
      <c r="F1667" s="761"/>
    </row>
    <row r="1668" spans="1:6" x14ac:dyDescent="0.2">
      <c r="A1668" s="762" t="e">
        <f ca="1">IF($H1668="UNIDADE CONSTRUTIVA",OFFSET(A1668,-1,0)+1,LARGE(A$3:A1667,1))</f>
        <v>#NUM!</v>
      </c>
      <c r="B1668" s="762">
        <f t="shared" ca="1" si="346"/>
        <v>21</v>
      </c>
      <c r="C1668" s="762">
        <f t="shared" ca="1" si="347"/>
        <v>1</v>
      </c>
      <c r="D1668" s="763">
        <f t="shared" ca="1" si="348"/>
        <v>1</v>
      </c>
      <c r="E1668" s="763">
        <f t="shared" ca="1" si="349"/>
        <v>1</v>
      </c>
      <c r="F1668" s="761"/>
    </row>
    <row r="1669" spans="1:6" x14ac:dyDescent="0.2">
      <c r="A1669" s="762" t="e">
        <f ca="1">IF($H1669="UNIDADE CONSTRUTIVA",OFFSET(A1669,-1,0)+1,LARGE(A$3:A1668,1))</f>
        <v>#NUM!</v>
      </c>
      <c r="B1669" s="762">
        <f t="shared" ca="1" si="346"/>
        <v>21</v>
      </c>
      <c r="C1669" s="762">
        <f t="shared" ca="1" si="347"/>
        <v>1</v>
      </c>
      <c r="D1669" s="763">
        <f t="shared" ca="1" si="348"/>
        <v>1</v>
      </c>
      <c r="E1669" s="763">
        <f t="shared" ca="1" si="349"/>
        <v>1</v>
      </c>
      <c r="F1669" s="761"/>
    </row>
    <row r="1670" spans="1:6" x14ac:dyDescent="0.2">
      <c r="A1670" s="762" t="e">
        <f ca="1">IF($H1670="UNIDADE CONSTRUTIVA",OFFSET(A1670,-1,0)+1,LARGE(A$3:A1669,1))</f>
        <v>#NUM!</v>
      </c>
      <c r="B1670" s="762">
        <f t="shared" ca="1" si="346"/>
        <v>21</v>
      </c>
      <c r="C1670" s="762">
        <f t="shared" ca="1" si="347"/>
        <v>1</v>
      </c>
      <c r="D1670" s="763">
        <f t="shared" ca="1" si="348"/>
        <v>1</v>
      </c>
      <c r="E1670" s="763">
        <f t="shared" ca="1" si="349"/>
        <v>1</v>
      </c>
      <c r="F1670" s="761"/>
    </row>
    <row r="1671" spans="1:6" x14ac:dyDescent="0.2">
      <c r="A1671" s="762" t="e">
        <f ca="1">IF($H1671="UNIDADE CONSTRUTIVA",OFFSET(A1671,-1,0)+1,LARGE(A$3:A1670,1))</f>
        <v>#NUM!</v>
      </c>
      <c r="B1671" s="762">
        <f t="shared" ca="1" si="346"/>
        <v>21</v>
      </c>
      <c r="C1671" s="762">
        <f t="shared" ca="1" si="347"/>
        <v>1</v>
      </c>
      <c r="D1671" s="763">
        <f t="shared" ca="1" si="348"/>
        <v>1</v>
      </c>
      <c r="E1671" s="763">
        <f t="shared" ca="1" si="349"/>
        <v>1</v>
      </c>
      <c r="F1671" s="761"/>
    </row>
    <row r="1672" spans="1:6" x14ac:dyDescent="0.2">
      <c r="A1672" s="762" t="e">
        <f ca="1">IF($H1672="UNIDADE CONSTRUTIVA",OFFSET(A1672,-1,0)+1,LARGE(A$3:A1671,1))</f>
        <v>#NUM!</v>
      </c>
      <c r="B1672" s="762">
        <f t="shared" ca="1" si="346"/>
        <v>21</v>
      </c>
      <c r="C1672" s="762">
        <f t="shared" ca="1" si="347"/>
        <v>1</v>
      </c>
      <c r="D1672" s="763">
        <f t="shared" ca="1" si="348"/>
        <v>1</v>
      </c>
      <c r="E1672" s="763">
        <f t="shared" ca="1" si="349"/>
        <v>1</v>
      </c>
      <c r="F1672" s="761"/>
    </row>
    <row r="1673" spans="1:6" x14ac:dyDescent="0.2">
      <c r="A1673" s="762" t="e">
        <f ca="1">IF($H1673="UNIDADE CONSTRUTIVA",OFFSET(A1673,-1,0)+1,LARGE(A$3:A1672,1))</f>
        <v>#NUM!</v>
      </c>
      <c r="B1673" s="762">
        <f t="shared" ca="1" si="346"/>
        <v>21</v>
      </c>
      <c r="C1673" s="762">
        <f t="shared" ca="1" si="347"/>
        <v>1</v>
      </c>
      <c r="D1673" s="763">
        <f t="shared" ca="1" si="348"/>
        <v>1</v>
      </c>
      <c r="E1673" s="763">
        <f t="shared" ca="1" si="349"/>
        <v>1</v>
      </c>
      <c r="F1673" s="761"/>
    </row>
    <row r="1674" spans="1:6" x14ac:dyDescent="0.2">
      <c r="A1674" s="762" t="e">
        <f ca="1">IF($H1674="UNIDADE CONSTRUTIVA",OFFSET(A1674,-1,0)+1,LARGE(A$3:A1673,1))</f>
        <v>#NUM!</v>
      </c>
      <c r="B1674" s="762">
        <f t="shared" ca="1" si="346"/>
        <v>21</v>
      </c>
      <c r="C1674" s="762">
        <f t="shared" ca="1" si="347"/>
        <v>1</v>
      </c>
      <c r="D1674" s="763">
        <f t="shared" ca="1" si="348"/>
        <v>1</v>
      </c>
      <c r="E1674" s="763">
        <f t="shared" ca="1" si="349"/>
        <v>1</v>
      </c>
      <c r="F1674" s="761"/>
    </row>
    <row r="1675" spans="1:6" x14ac:dyDescent="0.2">
      <c r="A1675" s="762" t="e">
        <f ca="1">IF($H1675="UNIDADE CONSTRUTIVA",OFFSET(A1675,-1,0)+1,LARGE(A$3:A1674,1))</f>
        <v>#NUM!</v>
      </c>
      <c r="B1675" s="762">
        <f t="shared" ca="1" si="346"/>
        <v>21</v>
      </c>
      <c r="C1675" s="762">
        <f t="shared" ca="1" si="347"/>
        <v>1</v>
      </c>
      <c r="D1675" s="763">
        <f t="shared" ca="1" si="348"/>
        <v>1</v>
      </c>
      <c r="E1675" s="763">
        <f t="shared" ca="1" si="349"/>
        <v>1</v>
      </c>
      <c r="F1675" s="761"/>
    </row>
    <row r="1676" spans="1:6" x14ac:dyDescent="0.2">
      <c r="A1676" s="762" t="e">
        <f ca="1">IF($H1676="UNIDADE CONSTRUTIVA",OFFSET(A1676,-1,0)+1,LARGE(A$3:A1675,1))</f>
        <v>#NUM!</v>
      </c>
      <c r="B1676" s="762">
        <f t="shared" ca="1" si="346"/>
        <v>21</v>
      </c>
      <c r="C1676" s="762">
        <f t="shared" ca="1" si="347"/>
        <v>1</v>
      </c>
      <c r="D1676" s="763">
        <f t="shared" ca="1" si="348"/>
        <v>1</v>
      </c>
      <c r="E1676" s="763">
        <f t="shared" ca="1" si="349"/>
        <v>1</v>
      </c>
      <c r="F1676" s="761"/>
    </row>
    <row r="1677" spans="1:6" x14ac:dyDescent="0.2">
      <c r="A1677" s="762" t="e">
        <f ca="1">IF($H1677="UNIDADE CONSTRUTIVA",OFFSET(A1677,-1,0)+1,LARGE(A$3:A1676,1))</f>
        <v>#NUM!</v>
      </c>
      <c r="B1677" s="762">
        <f t="shared" ca="1" si="346"/>
        <v>21</v>
      </c>
      <c r="C1677" s="762">
        <f t="shared" ca="1" si="347"/>
        <v>1</v>
      </c>
      <c r="D1677" s="763">
        <f t="shared" ca="1" si="348"/>
        <v>1</v>
      </c>
      <c r="E1677" s="763">
        <f t="shared" ca="1" si="349"/>
        <v>1</v>
      </c>
      <c r="F1677" s="761"/>
    </row>
    <row r="1678" spans="1:6" x14ac:dyDescent="0.2">
      <c r="A1678" s="762" t="e">
        <f ca="1">IF($H1678="UNIDADE CONSTRUTIVA",OFFSET(A1678,-1,0)+1,LARGE(A$3:A1677,1))</f>
        <v>#NUM!</v>
      </c>
      <c r="B1678" s="762">
        <f t="shared" ca="1" si="346"/>
        <v>21</v>
      </c>
      <c r="C1678" s="762">
        <f t="shared" ca="1" si="347"/>
        <v>1</v>
      </c>
      <c r="D1678" s="763">
        <f t="shared" ca="1" si="348"/>
        <v>1</v>
      </c>
      <c r="E1678" s="763">
        <f t="shared" ca="1" si="349"/>
        <v>1</v>
      </c>
      <c r="F1678" s="761"/>
    </row>
    <row r="1679" spans="1:6" x14ac:dyDescent="0.2">
      <c r="A1679" s="762" t="e">
        <f ca="1">IF($H1679="UNIDADE CONSTRUTIVA",OFFSET(A1679,-1,0)+1,LARGE(A$3:A1678,1))</f>
        <v>#NUM!</v>
      </c>
      <c r="B1679" s="762">
        <f t="shared" ca="1" si="346"/>
        <v>21</v>
      </c>
      <c r="C1679" s="762">
        <f t="shared" ca="1" si="347"/>
        <v>1</v>
      </c>
      <c r="D1679" s="763">
        <f t="shared" ca="1" si="348"/>
        <v>1</v>
      </c>
      <c r="E1679" s="763">
        <f t="shared" ca="1" si="349"/>
        <v>1</v>
      </c>
      <c r="F1679" s="761"/>
    </row>
    <row r="1680" spans="1:6" x14ac:dyDescent="0.2">
      <c r="A1680" s="762" t="e">
        <f ca="1">IF($H1680="UNIDADE CONSTRUTIVA",OFFSET(A1680,-1,0)+1,LARGE(A$3:A1679,1))</f>
        <v>#NUM!</v>
      </c>
      <c r="B1680" s="762">
        <f t="shared" ca="1" si="346"/>
        <v>21</v>
      </c>
      <c r="C1680" s="762">
        <f t="shared" ca="1" si="347"/>
        <v>1</v>
      </c>
      <c r="D1680" s="763">
        <f t="shared" ca="1" si="348"/>
        <v>1</v>
      </c>
      <c r="E1680" s="763">
        <f t="shared" ca="1" si="349"/>
        <v>1</v>
      </c>
      <c r="F1680" s="761"/>
    </row>
    <row r="1681" spans="1:6" x14ac:dyDescent="0.2">
      <c r="A1681" s="762" t="e">
        <f ca="1">IF($H1681="UNIDADE CONSTRUTIVA",OFFSET(A1681,-1,0)+1,LARGE(A$3:A1680,1))</f>
        <v>#NUM!</v>
      </c>
      <c r="B1681" s="762">
        <f t="shared" ca="1" si="346"/>
        <v>21</v>
      </c>
      <c r="C1681" s="762">
        <f t="shared" ca="1" si="347"/>
        <v>1</v>
      </c>
      <c r="D1681" s="763">
        <f t="shared" ca="1" si="348"/>
        <v>1</v>
      </c>
      <c r="E1681" s="763">
        <f t="shared" ca="1" si="349"/>
        <v>1</v>
      </c>
      <c r="F1681" s="761"/>
    </row>
    <row r="1682" spans="1:6" x14ac:dyDescent="0.2">
      <c r="A1682" s="762" t="e">
        <f ca="1">IF($H1682="UNIDADE CONSTRUTIVA",OFFSET(A1682,-1,0)+1,LARGE(A$3:A1681,1))</f>
        <v>#NUM!</v>
      </c>
      <c r="B1682" s="762">
        <f t="shared" ca="1" si="346"/>
        <v>21</v>
      </c>
      <c r="C1682" s="762">
        <f t="shared" ca="1" si="347"/>
        <v>1</v>
      </c>
      <c r="D1682" s="763">
        <f t="shared" ca="1" si="348"/>
        <v>1</v>
      </c>
      <c r="E1682" s="763">
        <f t="shared" ca="1" si="349"/>
        <v>1</v>
      </c>
      <c r="F1682" s="761"/>
    </row>
    <row r="1683" spans="1:6" x14ac:dyDescent="0.2">
      <c r="A1683" s="762" t="e">
        <f ca="1">IF($H1683="UNIDADE CONSTRUTIVA",OFFSET(A1683,-1,0)+1,LARGE(A$3:A1682,1))</f>
        <v>#NUM!</v>
      </c>
      <c r="B1683" s="762">
        <f t="shared" ca="1" si="346"/>
        <v>21</v>
      </c>
      <c r="C1683" s="762">
        <f t="shared" ca="1" si="347"/>
        <v>1</v>
      </c>
      <c r="D1683" s="763">
        <f t="shared" ca="1" si="348"/>
        <v>1</v>
      </c>
      <c r="E1683" s="763">
        <f t="shared" ca="1" si="349"/>
        <v>1</v>
      </c>
      <c r="F1683" s="761"/>
    </row>
    <row r="1684" spans="1:6" x14ac:dyDescent="0.2">
      <c r="A1684" s="762" t="e">
        <f ca="1">IF($H1684="UNIDADE CONSTRUTIVA",OFFSET(A1684,-1,0)+1,LARGE(A$3:A1683,1))</f>
        <v>#NUM!</v>
      </c>
      <c r="B1684" s="762">
        <f t="shared" ca="1" si="346"/>
        <v>21</v>
      </c>
      <c r="C1684" s="762">
        <f t="shared" ca="1" si="347"/>
        <v>1</v>
      </c>
      <c r="D1684" s="763">
        <f t="shared" ca="1" si="348"/>
        <v>1</v>
      </c>
      <c r="E1684" s="763">
        <f t="shared" ca="1" si="349"/>
        <v>1</v>
      </c>
      <c r="F1684" s="761"/>
    </row>
    <row r="1685" spans="1:6" x14ac:dyDescent="0.2">
      <c r="A1685" s="762" t="e">
        <f ca="1">IF($H1685="UNIDADE CONSTRUTIVA",OFFSET(A1685,-1,0)+1,LARGE(A$3:A1684,1))</f>
        <v>#NUM!</v>
      </c>
      <c r="B1685" s="762">
        <f t="shared" ca="1" si="346"/>
        <v>21</v>
      </c>
      <c r="C1685" s="762">
        <f t="shared" ca="1" si="347"/>
        <v>1</v>
      </c>
      <c r="D1685" s="763">
        <f t="shared" ca="1" si="348"/>
        <v>1</v>
      </c>
      <c r="E1685" s="763">
        <f t="shared" ca="1" si="349"/>
        <v>1</v>
      </c>
      <c r="F1685" s="761"/>
    </row>
    <row r="1686" spans="1:6" x14ac:dyDescent="0.2">
      <c r="A1686" s="762" t="e">
        <f ca="1">IF($H1686="UNIDADE CONSTRUTIVA",OFFSET(A1686,-1,0)+1,LARGE(A$3:A1685,1))</f>
        <v>#NUM!</v>
      </c>
      <c r="B1686" s="762">
        <f t="shared" ca="1" si="346"/>
        <v>21</v>
      </c>
      <c r="C1686" s="762">
        <f t="shared" ca="1" si="347"/>
        <v>1</v>
      </c>
      <c r="D1686" s="763">
        <f t="shared" ca="1" si="348"/>
        <v>1</v>
      </c>
      <c r="E1686" s="763">
        <f t="shared" ca="1" si="349"/>
        <v>1</v>
      </c>
      <c r="F1686" s="761"/>
    </row>
    <row r="1687" spans="1:6" x14ac:dyDescent="0.2">
      <c r="A1687" s="762" t="e">
        <f ca="1">IF($H1687="UNIDADE CONSTRUTIVA",OFFSET(A1687,-1,0)+1,LARGE(A$3:A1686,1))</f>
        <v>#NUM!</v>
      </c>
      <c r="B1687" s="762">
        <f t="shared" ca="1" si="346"/>
        <v>21</v>
      </c>
      <c r="C1687" s="762">
        <f t="shared" ca="1" si="347"/>
        <v>1</v>
      </c>
      <c r="D1687" s="763">
        <f t="shared" ca="1" si="348"/>
        <v>1</v>
      </c>
      <c r="E1687" s="763">
        <f t="shared" ca="1" si="349"/>
        <v>1</v>
      </c>
      <c r="F1687" s="761"/>
    </row>
    <row r="1688" spans="1:6" x14ac:dyDescent="0.2">
      <c r="A1688" s="762" t="e">
        <f ca="1">IF($H1688="UNIDADE CONSTRUTIVA",OFFSET(A1688,-1,0)+1,LARGE(A$3:A1687,1))</f>
        <v>#NUM!</v>
      </c>
      <c r="B1688" s="762">
        <f t="shared" ca="1" si="346"/>
        <v>21</v>
      </c>
      <c r="C1688" s="762">
        <f t="shared" ca="1" si="347"/>
        <v>1</v>
      </c>
      <c r="D1688" s="763">
        <f t="shared" ca="1" si="348"/>
        <v>1</v>
      </c>
      <c r="E1688" s="763">
        <f t="shared" ca="1" si="349"/>
        <v>1</v>
      </c>
      <c r="F1688" s="761"/>
    </row>
    <row r="1689" spans="1:6" x14ac:dyDescent="0.2">
      <c r="A1689" s="762" t="e">
        <f ca="1">IF($H1689="UNIDADE CONSTRUTIVA",OFFSET(A1689,-1,0)+1,LARGE(A$3:A1688,1))</f>
        <v>#NUM!</v>
      </c>
      <c r="B1689" s="762">
        <f t="shared" ca="1" si="346"/>
        <v>21</v>
      </c>
      <c r="C1689" s="762">
        <f t="shared" ca="1" si="347"/>
        <v>1</v>
      </c>
      <c r="D1689" s="763">
        <f t="shared" ca="1" si="348"/>
        <v>1</v>
      </c>
      <c r="E1689" s="763">
        <f t="shared" ca="1" si="349"/>
        <v>1</v>
      </c>
      <c r="F1689" s="761"/>
    </row>
    <row r="1690" spans="1:6" x14ac:dyDescent="0.2">
      <c r="A1690" s="762" t="e">
        <f ca="1">IF($H1690="UNIDADE CONSTRUTIVA",OFFSET(A1690,-1,0)+1,LARGE(A$3:A1689,1))</f>
        <v>#NUM!</v>
      </c>
      <c r="B1690" s="762">
        <f t="shared" ca="1" si="346"/>
        <v>21</v>
      </c>
      <c r="C1690" s="762">
        <f t="shared" ca="1" si="347"/>
        <v>1</v>
      </c>
      <c r="D1690" s="763">
        <f t="shared" ca="1" si="348"/>
        <v>1</v>
      </c>
      <c r="E1690" s="763">
        <f t="shared" ca="1" si="349"/>
        <v>1</v>
      </c>
      <c r="F1690" s="761"/>
    </row>
    <row r="1691" spans="1:6" x14ac:dyDescent="0.2">
      <c r="A1691" s="762" t="e">
        <f ca="1">IF($H1691="UNIDADE CONSTRUTIVA",OFFSET(A1691,-1,0)+1,LARGE(A$3:A1690,1))</f>
        <v>#NUM!</v>
      </c>
      <c r="B1691" s="762">
        <f t="shared" ca="1" si="346"/>
        <v>21</v>
      </c>
      <c r="C1691" s="762">
        <f t="shared" ca="1" si="347"/>
        <v>1</v>
      </c>
      <c r="D1691" s="763">
        <f t="shared" ca="1" si="348"/>
        <v>1</v>
      </c>
      <c r="E1691" s="763">
        <f t="shared" ca="1" si="349"/>
        <v>1</v>
      </c>
      <c r="F1691" s="761"/>
    </row>
    <row r="1692" spans="1:6" x14ac:dyDescent="0.2">
      <c r="A1692" s="762" t="e">
        <f ca="1">IF($H1692="UNIDADE CONSTRUTIVA",OFFSET(A1692,-1,0)+1,LARGE(A$3:A1691,1))</f>
        <v>#NUM!</v>
      </c>
      <c r="B1692" s="762">
        <f t="shared" ca="1" si="346"/>
        <v>21</v>
      </c>
      <c r="C1692" s="762">
        <f t="shared" ca="1" si="347"/>
        <v>1</v>
      </c>
      <c r="D1692" s="763">
        <f t="shared" ca="1" si="348"/>
        <v>1</v>
      </c>
      <c r="E1692" s="763">
        <f t="shared" ca="1" si="349"/>
        <v>1</v>
      </c>
      <c r="F1692" s="761"/>
    </row>
    <row r="1693" spans="1:6" x14ac:dyDescent="0.2">
      <c r="A1693" s="762" t="e">
        <f ca="1">IF($H1693="UNIDADE CONSTRUTIVA",OFFSET(A1693,-1,0)+1,LARGE(A$3:A1692,1))</f>
        <v>#NUM!</v>
      </c>
      <c r="B1693" s="762">
        <f t="shared" ca="1" si="346"/>
        <v>21</v>
      </c>
      <c r="C1693" s="762">
        <f t="shared" ca="1" si="347"/>
        <v>1</v>
      </c>
      <c r="D1693" s="763">
        <f t="shared" ca="1" si="348"/>
        <v>1</v>
      </c>
      <c r="E1693" s="763">
        <f t="shared" ca="1" si="349"/>
        <v>1</v>
      </c>
      <c r="F1693" s="761"/>
    </row>
    <row r="1694" spans="1:6" x14ac:dyDescent="0.2">
      <c r="A1694" s="762" t="e">
        <f ca="1">IF($H1694="UNIDADE CONSTRUTIVA",OFFSET(A1694,-1,0)+1,LARGE(A$3:A1693,1))</f>
        <v>#NUM!</v>
      </c>
      <c r="B1694" s="762">
        <f t="shared" ca="1" si="346"/>
        <v>21</v>
      </c>
      <c r="C1694" s="762">
        <f t="shared" ca="1" si="347"/>
        <v>1</v>
      </c>
      <c r="D1694" s="763">
        <f t="shared" ca="1" si="348"/>
        <v>1</v>
      </c>
      <c r="E1694" s="763">
        <f t="shared" ca="1" si="349"/>
        <v>1</v>
      </c>
      <c r="F1694" s="761"/>
    </row>
    <row r="1695" spans="1:6" x14ac:dyDescent="0.2">
      <c r="A1695" s="762" t="e">
        <f ca="1">IF($H1695="UNIDADE CONSTRUTIVA",OFFSET(A1695,-1,0)+1,LARGE(A$3:A1694,1))</f>
        <v>#NUM!</v>
      </c>
      <c r="B1695" s="762">
        <f t="shared" ca="1" si="346"/>
        <v>21</v>
      </c>
      <c r="C1695" s="762">
        <f t="shared" ca="1" si="347"/>
        <v>1</v>
      </c>
      <c r="D1695" s="763">
        <f t="shared" ca="1" si="348"/>
        <v>1</v>
      </c>
      <c r="E1695" s="763">
        <f t="shared" ca="1" si="349"/>
        <v>1</v>
      </c>
      <c r="F1695" s="761"/>
    </row>
    <row r="1696" spans="1:6" x14ac:dyDescent="0.2">
      <c r="A1696" s="762" t="e">
        <f ca="1">IF($H1696="UNIDADE CONSTRUTIVA",OFFSET(A1696,-1,0)+1,LARGE(A$3:A1695,1))</f>
        <v>#NUM!</v>
      </c>
      <c r="B1696" s="762">
        <f t="shared" ca="1" si="346"/>
        <v>21</v>
      </c>
      <c r="C1696" s="762">
        <f t="shared" ca="1" si="347"/>
        <v>1</v>
      </c>
      <c r="D1696" s="763">
        <f t="shared" ca="1" si="348"/>
        <v>1</v>
      </c>
      <c r="E1696" s="763">
        <f t="shared" ca="1" si="349"/>
        <v>1</v>
      </c>
      <c r="F1696" s="761"/>
    </row>
    <row r="1697" spans="1:6" x14ac:dyDescent="0.2">
      <c r="A1697" s="762" t="e">
        <f ca="1">IF($H1697="UNIDADE CONSTRUTIVA",OFFSET(A1697,-1,0)+1,LARGE(A$3:A1696,1))</f>
        <v>#NUM!</v>
      </c>
      <c r="B1697" s="762">
        <f t="shared" ca="1" si="346"/>
        <v>21</v>
      </c>
      <c r="C1697" s="762">
        <f t="shared" ca="1" si="347"/>
        <v>1</v>
      </c>
      <c r="D1697" s="763">
        <f t="shared" ca="1" si="348"/>
        <v>1</v>
      </c>
      <c r="E1697" s="763">
        <f t="shared" ca="1" si="349"/>
        <v>1</v>
      </c>
      <c r="F1697" s="761"/>
    </row>
    <row r="1698" spans="1:6" x14ac:dyDescent="0.2">
      <c r="A1698" s="762" t="e">
        <f ca="1">IF($H1698="UNIDADE CONSTRUTIVA",OFFSET(A1698,-1,0)+1,LARGE(A$3:A1697,1))</f>
        <v>#NUM!</v>
      </c>
      <c r="B1698" s="762">
        <f t="shared" ca="1" si="346"/>
        <v>21</v>
      </c>
      <c r="C1698" s="762">
        <f t="shared" ca="1" si="347"/>
        <v>1</v>
      </c>
      <c r="D1698" s="763">
        <f t="shared" ca="1" si="348"/>
        <v>1</v>
      </c>
      <c r="E1698" s="763">
        <f t="shared" ca="1" si="349"/>
        <v>1</v>
      </c>
      <c r="F1698" s="761"/>
    </row>
    <row r="1699" spans="1:6" x14ac:dyDescent="0.2">
      <c r="A1699" s="762" t="e">
        <f ca="1">IF($H1699="UNIDADE CONSTRUTIVA",OFFSET(A1699,-1,0)+1,LARGE(A$3:A1698,1))</f>
        <v>#NUM!</v>
      </c>
      <c r="B1699" s="762">
        <f t="shared" ca="1" si="346"/>
        <v>21</v>
      </c>
      <c r="C1699" s="762">
        <f t="shared" ca="1" si="347"/>
        <v>1</v>
      </c>
      <c r="D1699" s="763">
        <f t="shared" ca="1" si="348"/>
        <v>1</v>
      </c>
      <c r="E1699" s="763">
        <f t="shared" ca="1" si="349"/>
        <v>1</v>
      </c>
      <c r="F1699" s="761"/>
    </row>
    <row r="1700" spans="1:6" x14ac:dyDescent="0.2">
      <c r="A1700" s="762" t="e">
        <f ca="1">IF($H1700="UNIDADE CONSTRUTIVA",OFFSET(A1700,-1,0)+1,LARGE(A$3:A1699,1))</f>
        <v>#NUM!</v>
      </c>
      <c r="B1700" s="762">
        <f t="shared" ca="1" si="346"/>
        <v>21</v>
      </c>
      <c r="C1700" s="762">
        <f t="shared" ca="1" si="347"/>
        <v>1</v>
      </c>
      <c r="D1700" s="763">
        <f t="shared" ca="1" si="348"/>
        <v>1</v>
      </c>
      <c r="E1700" s="763">
        <f t="shared" ca="1" si="349"/>
        <v>1</v>
      </c>
      <c r="F1700" s="761"/>
    </row>
    <row r="1701" spans="1:6" x14ac:dyDescent="0.2">
      <c r="A1701" s="762" t="e">
        <f ca="1">IF($H1701="UNIDADE CONSTRUTIVA",OFFSET(A1701,-1,0)+1,LARGE(A$3:A1700,1))</f>
        <v>#NUM!</v>
      </c>
      <c r="B1701" s="762">
        <f t="shared" ca="1" si="346"/>
        <v>21</v>
      </c>
      <c r="C1701" s="762">
        <f t="shared" ca="1" si="347"/>
        <v>1</v>
      </c>
      <c r="D1701" s="763">
        <f t="shared" ca="1" si="348"/>
        <v>1</v>
      </c>
      <c r="E1701" s="763">
        <f t="shared" ca="1" si="349"/>
        <v>1</v>
      </c>
      <c r="F1701" s="761"/>
    </row>
    <row r="1702" spans="1:6" x14ac:dyDescent="0.2">
      <c r="A1702" s="762" t="e">
        <f ca="1">IF($H1702="UNIDADE CONSTRUTIVA",OFFSET(A1702,-1,0)+1,LARGE(A$3:A1701,1))</f>
        <v>#NUM!</v>
      </c>
      <c r="B1702" s="762">
        <f t="shared" ca="1" si="346"/>
        <v>21</v>
      </c>
      <c r="C1702" s="762">
        <f t="shared" ca="1" si="347"/>
        <v>1</v>
      </c>
      <c r="D1702" s="763">
        <f t="shared" ca="1" si="348"/>
        <v>1</v>
      </c>
      <c r="E1702" s="763">
        <f t="shared" ca="1" si="349"/>
        <v>1</v>
      </c>
      <c r="F1702" s="761"/>
    </row>
    <row r="1703" spans="1:6" x14ac:dyDescent="0.2">
      <c r="A1703" s="762" t="e">
        <f ca="1">IF($H1703="UNIDADE CONSTRUTIVA",OFFSET(A1703,-1,0)+1,LARGE(A$3:A1702,1))</f>
        <v>#NUM!</v>
      </c>
      <c r="B1703" s="762">
        <f t="shared" ca="1" si="346"/>
        <v>21</v>
      </c>
      <c r="C1703" s="762">
        <f t="shared" ca="1" si="347"/>
        <v>1</v>
      </c>
      <c r="D1703" s="763">
        <f t="shared" ca="1" si="348"/>
        <v>1</v>
      </c>
      <c r="E1703" s="763">
        <f t="shared" ca="1" si="349"/>
        <v>1</v>
      </c>
      <c r="F1703" s="761"/>
    </row>
    <row r="1704" spans="1:6" x14ac:dyDescent="0.2">
      <c r="A1704" s="762" t="e">
        <f ca="1">IF($H1704="UNIDADE CONSTRUTIVA",OFFSET(A1704,-1,0)+1,LARGE(A$3:A1703,1))</f>
        <v>#NUM!</v>
      </c>
      <c r="B1704" s="762">
        <f t="shared" ca="1" si="346"/>
        <v>21</v>
      </c>
      <c r="C1704" s="762">
        <f t="shared" ca="1" si="347"/>
        <v>1</v>
      </c>
      <c r="D1704" s="763">
        <f t="shared" ca="1" si="348"/>
        <v>1</v>
      </c>
      <c r="E1704" s="763">
        <f t="shared" ca="1" si="349"/>
        <v>1</v>
      </c>
      <c r="F1704" s="761"/>
    </row>
    <row r="1705" spans="1:6" x14ac:dyDescent="0.2">
      <c r="A1705" s="762" t="e">
        <f ca="1">IF($H1705="UNIDADE CONSTRUTIVA",OFFSET(A1705,-1,0)+1,LARGE(A$3:A1704,1))</f>
        <v>#NUM!</v>
      </c>
      <c r="B1705" s="762">
        <f t="shared" ca="1" si="346"/>
        <v>21</v>
      </c>
      <c r="C1705" s="762">
        <f t="shared" ca="1" si="347"/>
        <v>1</v>
      </c>
      <c r="D1705" s="763">
        <f t="shared" ca="1" si="348"/>
        <v>1</v>
      </c>
      <c r="E1705" s="763">
        <f t="shared" ca="1" si="349"/>
        <v>1</v>
      </c>
      <c r="F1705" s="761"/>
    </row>
    <row r="1706" spans="1:6" x14ac:dyDescent="0.2">
      <c r="A1706" s="762" t="e">
        <f ca="1">IF($H1706="UNIDADE CONSTRUTIVA",OFFSET(A1706,-1,0)+1,LARGE(A$3:A1705,1))</f>
        <v>#NUM!</v>
      </c>
      <c r="B1706" s="762">
        <f t="shared" ca="1" si="346"/>
        <v>21</v>
      </c>
      <c r="C1706" s="762">
        <f t="shared" ca="1" si="347"/>
        <v>1</v>
      </c>
      <c r="D1706" s="763">
        <f t="shared" ca="1" si="348"/>
        <v>1</v>
      </c>
      <c r="E1706" s="763">
        <f t="shared" ca="1" si="349"/>
        <v>1</v>
      </c>
      <c r="F1706" s="761"/>
    </row>
    <row r="1707" spans="1:6" x14ac:dyDescent="0.2">
      <c r="A1707" s="762" t="e">
        <f ca="1">IF($H1707="UNIDADE CONSTRUTIVA",OFFSET(A1707,-1,0)+1,LARGE(A$3:A1706,1))</f>
        <v>#NUM!</v>
      </c>
      <c r="B1707" s="762">
        <f t="shared" ca="1" si="346"/>
        <v>21</v>
      </c>
      <c r="C1707" s="762">
        <f t="shared" ca="1" si="347"/>
        <v>1</v>
      </c>
      <c r="D1707" s="763">
        <f t="shared" ca="1" si="348"/>
        <v>1</v>
      </c>
      <c r="E1707" s="763">
        <f t="shared" ca="1" si="349"/>
        <v>1</v>
      </c>
      <c r="F1707" s="761"/>
    </row>
    <row r="1708" spans="1:6" x14ac:dyDescent="0.2">
      <c r="A1708" s="762" t="e">
        <f ca="1">IF($H1708="UNIDADE CONSTRUTIVA",OFFSET(A1708,-1,0)+1,LARGE(A$3:A1707,1))</f>
        <v>#NUM!</v>
      </c>
      <c r="B1708" s="762">
        <f t="shared" ca="1" si="346"/>
        <v>21</v>
      </c>
      <c r="C1708" s="762">
        <f t="shared" ca="1" si="347"/>
        <v>1</v>
      </c>
      <c r="D1708" s="763">
        <f t="shared" ca="1" si="348"/>
        <v>1</v>
      </c>
      <c r="E1708" s="763">
        <f t="shared" ca="1" si="349"/>
        <v>1</v>
      </c>
      <c r="F1708" s="761"/>
    </row>
    <row r="1709" spans="1:6" x14ac:dyDescent="0.2">
      <c r="A1709" s="762" t="e">
        <f ca="1">IF($H1709="UNIDADE CONSTRUTIVA",OFFSET(A1709,-1,0)+1,LARGE(A$3:A1708,1))</f>
        <v>#NUM!</v>
      </c>
      <c r="B1709" s="762">
        <f t="shared" ca="1" si="346"/>
        <v>21</v>
      </c>
      <c r="C1709" s="762">
        <f t="shared" ca="1" si="347"/>
        <v>1</v>
      </c>
      <c r="D1709" s="763">
        <f t="shared" ca="1" si="348"/>
        <v>1</v>
      </c>
      <c r="E1709" s="763">
        <f t="shared" ca="1" si="349"/>
        <v>1</v>
      </c>
      <c r="F1709" s="761"/>
    </row>
    <row r="1710" spans="1:6" x14ac:dyDescent="0.2">
      <c r="A1710" s="762" t="e">
        <f ca="1">IF($H1710="UNIDADE CONSTRUTIVA",OFFSET(A1710,-1,0)+1,LARGE(A$3:A1709,1))</f>
        <v>#NUM!</v>
      </c>
      <c r="B1710" s="762">
        <f t="shared" ca="1" si="346"/>
        <v>21</v>
      </c>
      <c r="C1710" s="762">
        <f t="shared" ca="1" si="347"/>
        <v>1</v>
      </c>
      <c r="D1710" s="763">
        <f t="shared" ca="1" si="348"/>
        <v>1</v>
      </c>
      <c r="E1710" s="763">
        <f t="shared" ca="1" si="349"/>
        <v>1</v>
      </c>
      <c r="F1710" s="761"/>
    </row>
    <row r="1711" spans="1:6" x14ac:dyDescent="0.2">
      <c r="A1711" s="762" t="e">
        <f ca="1">IF($H1711="UNIDADE CONSTRUTIVA",OFFSET(A1711,-1,0)+1,LARGE(A$3:A1710,1))</f>
        <v>#NUM!</v>
      </c>
      <c r="B1711" s="762">
        <f t="shared" ca="1" si="346"/>
        <v>21</v>
      </c>
      <c r="C1711" s="762">
        <f t="shared" ca="1" si="347"/>
        <v>1</v>
      </c>
      <c r="D1711" s="763">
        <f t="shared" ca="1" si="348"/>
        <v>1</v>
      </c>
      <c r="E1711" s="763">
        <f t="shared" ca="1" si="349"/>
        <v>1</v>
      </c>
      <c r="F1711" s="761"/>
    </row>
    <row r="1712" spans="1:6" x14ac:dyDescent="0.2">
      <c r="A1712" s="762" t="e">
        <f ca="1">IF($H1712="UNIDADE CONSTRUTIVA",OFFSET(A1712,-1,0)+1,LARGE(A$3:A1711,1))</f>
        <v>#NUM!</v>
      </c>
      <c r="B1712" s="762">
        <f t="shared" ca="1" si="346"/>
        <v>21</v>
      </c>
      <c r="C1712" s="762">
        <f t="shared" ca="1" si="347"/>
        <v>1</v>
      </c>
      <c r="D1712" s="763">
        <f t="shared" ca="1" si="348"/>
        <v>1</v>
      </c>
      <c r="E1712" s="763">
        <f t="shared" ca="1" si="349"/>
        <v>1</v>
      </c>
      <c r="F1712" s="761"/>
    </row>
    <row r="1713" spans="1:6" x14ac:dyDescent="0.2">
      <c r="A1713" s="762" t="e">
        <f ca="1">IF($H1713="UNIDADE CONSTRUTIVA",OFFSET(A1713,-1,0)+1,LARGE(A$3:A1712,1))</f>
        <v>#NUM!</v>
      </c>
      <c r="B1713" s="762">
        <f t="shared" ca="1" si="346"/>
        <v>21</v>
      </c>
      <c r="C1713" s="762">
        <f t="shared" ca="1" si="347"/>
        <v>1</v>
      </c>
      <c r="D1713" s="763">
        <f t="shared" ca="1" si="348"/>
        <v>1</v>
      </c>
      <c r="E1713" s="763">
        <f t="shared" ca="1" si="349"/>
        <v>1</v>
      </c>
      <c r="F1713" s="761"/>
    </row>
    <row r="1714" spans="1:6" x14ac:dyDescent="0.2">
      <c r="A1714" s="762" t="e">
        <f ca="1">IF($H1714="UNIDADE CONSTRUTIVA",OFFSET(A1714,-1,0)+1,LARGE(A$3:A1713,1))</f>
        <v>#NUM!</v>
      </c>
      <c r="B1714" s="762">
        <f t="shared" ref="B1714:B1777" ca="1" si="350">IF(H1714="UNIDADE CONSTRUTIVA",0,IF(H1714="CÉLULA CONSTRUTIVA",OFFSET(B1714,-1,0)+1,OFFSET(B1714,-1,0)))</f>
        <v>21</v>
      </c>
      <c r="C1714" s="762">
        <f t="shared" ref="C1714:C1777" ca="1" si="351">IF(H1714="CÉLULA CONSTRUTIVA",0,IF(H1714="ETAPA",OFFSET(C1714,-1,0)+1,OFFSET(C1714,-1,0)))</f>
        <v>1</v>
      </c>
      <c r="D1714" s="763">
        <f t="shared" ref="D1714:D1777" ca="1" si="352">IF(H1714="ETAPA",0,IF(H1714="SUBETAPA",OFFSET(D1714,-1,0)+1,OFFSET(D1714,-1,0)))</f>
        <v>1</v>
      </c>
      <c r="E1714" s="763">
        <f t="shared" ref="E1714:E1777" ca="1" si="353">IF(H1714="Subetapa",0,IF(H1714="serviço",OFFSET(E1714,-1,0)+1,OFFSET(E1714,-1,0)))</f>
        <v>1</v>
      </c>
      <c r="F1714" s="761"/>
    </row>
    <row r="1715" spans="1:6" x14ac:dyDescent="0.2">
      <c r="A1715" s="762" t="e">
        <f ca="1">IF($H1715="UNIDADE CONSTRUTIVA",OFFSET(A1715,-1,0)+1,LARGE(A$3:A1714,1))</f>
        <v>#NUM!</v>
      </c>
      <c r="B1715" s="762">
        <f t="shared" ca="1" si="350"/>
        <v>21</v>
      </c>
      <c r="C1715" s="762">
        <f t="shared" ca="1" si="351"/>
        <v>1</v>
      </c>
      <c r="D1715" s="763">
        <f t="shared" ca="1" si="352"/>
        <v>1</v>
      </c>
      <c r="E1715" s="763">
        <f t="shared" ca="1" si="353"/>
        <v>1</v>
      </c>
      <c r="F1715" s="761"/>
    </row>
    <row r="1716" spans="1:6" x14ac:dyDescent="0.2">
      <c r="A1716" s="762" t="e">
        <f ca="1">IF($H1716="UNIDADE CONSTRUTIVA",OFFSET(A1716,-1,0)+1,LARGE(A$3:A1715,1))</f>
        <v>#NUM!</v>
      </c>
      <c r="B1716" s="762">
        <f t="shared" ca="1" si="350"/>
        <v>21</v>
      </c>
      <c r="C1716" s="762">
        <f t="shared" ca="1" si="351"/>
        <v>1</v>
      </c>
      <c r="D1716" s="763">
        <f t="shared" ca="1" si="352"/>
        <v>1</v>
      </c>
      <c r="E1716" s="763">
        <f t="shared" ca="1" si="353"/>
        <v>1</v>
      </c>
      <c r="F1716" s="761"/>
    </row>
    <row r="1717" spans="1:6" x14ac:dyDescent="0.2">
      <c r="A1717" s="762" t="e">
        <f ca="1">IF($H1717="UNIDADE CONSTRUTIVA",OFFSET(A1717,-1,0)+1,LARGE(A$3:A1716,1))</f>
        <v>#NUM!</v>
      </c>
      <c r="B1717" s="762">
        <f t="shared" ca="1" si="350"/>
        <v>21</v>
      </c>
      <c r="C1717" s="762">
        <f t="shared" ca="1" si="351"/>
        <v>1</v>
      </c>
      <c r="D1717" s="763">
        <f t="shared" ca="1" si="352"/>
        <v>1</v>
      </c>
      <c r="E1717" s="763">
        <f t="shared" ca="1" si="353"/>
        <v>1</v>
      </c>
      <c r="F1717" s="761"/>
    </row>
    <row r="1718" spans="1:6" x14ac:dyDescent="0.2">
      <c r="A1718" s="762" t="e">
        <f ca="1">IF($H1718="UNIDADE CONSTRUTIVA",OFFSET(A1718,-1,0)+1,LARGE(A$3:A1717,1))</f>
        <v>#NUM!</v>
      </c>
      <c r="B1718" s="762">
        <f t="shared" ca="1" si="350"/>
        <v>21</v>
      </c>
      <c r="C1718" s="762">
        <f t="shared" ca="1" si="351"/>
        <v>1</v>
      </c>
      <c r="D1718" s="763">
        <f t="shared" ca="1" si="352"/>
        <v>1</v>
      </c>
      <c r="E1718" s="763">
        <f t="shared" ca="1" si="353"/>
        <v>1</v>
      </c>
      <c r="F1718" s="761"/>
    </row>
    <row r="1719" spans="1:6" x14ac:dyDescent="0.2">
      <c r="A1719" s="762" t="e">
        <f ca="1">IF($H1719="UNIDADE CONSTRUTIVA",OFFSET(A1719,-1,0)+1,LARGE(A$3:A1718,1))</f>
        <v>#NUM!</v>
      </c>
      <c r="B1719" s="762">
        <f t="shared" ca="1" si="350"/>
        <v>21</v>
      </c>
      <c r="C1719" s="762">
        <f t="shared" ca="1" si="351"/>
        <v>1</v>
      </c>
      <c r="D1719" s="763">
        <f t="shared" ca="1" si="352"/>
        <v>1</v>
      </c>
      <c r="E1719" s="763">
        <f t="shared" ca="1" si="353"/>
        <v>1</v>
      </c>
      <c r="F1719" s="761"/>
    </row>
    <row r="1720" spans="1:6" x14ac:dyDescent="0.2">
      <c r="A1720" s="762" t="e">
        <f ca="1">IF($H1720="UNIDADE CONSTRUTIVA",OFFSET(A1720,-1,0)+1,LARGE(A$3:A1719,1))</f>
        <v>#NUM!</v>
      </c>
      <c r="B1720" s="762">
        <f t="shared" ca="1" si="350"/>
        <v>21</v>
      </c>
      <c r="C1720" s="762">
        <f t="shared" ca="1" si="351"/>
        <v>1</v>
      </c>
      <c r="D1720" s="763">
        <f t="shared" ca="1" si="352"/>
        <v>1</v>
      </c>
      <c r="E1720" s="763">
        <f t="shared" ca="1" si="353"/>
        <v>1</v>
      </c>
      <c r="F1720" s="761"/>
    </row>
    <row r="1721" spans="1:6" x14ac:dyDescent="0.2">
      <c r="A1721" s="762" t="e">
        <f ca="1">IF($H1721="UNIDADE CONSTRUTIVA",OFFSET(A1721,-1,0)+1,LARGE(A$3:A1720,1))</f>
        <v>#NUM!</v>
      </c>
      <c r="B1721" s="762">
        <f t="shared" ca="1" si="350"/>
        <v>21</v>
      </c>
      <c r="C1721" s="762">
        <f t="shared" ca="1" si="351"/>
        <v>1</v>
      </c>
      <c r="D1721" s="763">
        <f t="shared" ca="1" si="352"/>
        <v>1</v>
      </c>
      <c r="E1721" s="763">
        <f t="shared" ca="1" si="353"/>
        <v>1</v>
      </c>
      <c r="F1721" s="761"/>
    </row>
    <row r="1722" spans="1:6" x14ac:dyDescent="0.2">
      <c r="A1722" s="762" t="e">
        <f ca="1">IF($H1722="UNIDADE CONSTRUTIVA",OFFSET(A1722,-1,0)+1,LARGE(A$3:A1721,1))</f>
        <v>#NUM!</v>
      </c>
      <c r="B1722" s="762">
        <f t="shared" ca="1" si="350"/>
        <v>21</v>
      </c>
      <c r="C1722" s="762">
        <f t="shared" ca="1" si="351"/>
        <v>1</v>
      </c>
      <c r="D1722" s="763">
        <f t="shared" ca="1" si="352"/>
        <v>1</v>
      </c>
      <c r="E1722" s="763">
        <f t="shared" ca="1" si="353"/>
        <v>1</v>
      </c>
      <c r="F1722" s="761"/>
    </row>
    <row r="1723" spans="1:6" x14ac:dyDescent="0.2">
      <c r="A1723" s="762" t="e">
        <f ca="1">IF($H1723="UNIDADE CONSTRUTIVA",OFFSET(A1723,-1,0)+1,LARGE(A$3:A1722,1))</f>
        <v>#NUM!</v>
      </c>
      <c r="B1723" s="762">
        <f t="shared" ca="1" si="350"/>
        <v>21</v>
      </c>
      <c r="C1723" s="762">
        <f t="shared" ca="1" si="351"/>
        <v>1</v>
      </c>
      <c r="D1723" s="763">
        <f t="shared" ca="1" si="352"/>
        <v>1</v>
      </c>
      <c r="E1723" s="763">
        <f t="shared" ca="1" si="353"/>
        <v>1</v>
      </c>
      <c r="F1723" s="761"/>
    </row>
    <row r="1724" spans="1:6" x14ac:dyDescent="0.2">
      <c r="A1724" s="762" t="e">
        <f ca="1">IF($H1724="UNIDADE CONSTRUTIVA",OFFSET(A1724,-1,0)+1,LARGE(A$3:A1723,1))</f>
        <v>#NUM!</v>
      </c>
      <c r="B1724" s="762">
        <f t="shared" ca="1" si="350"/>
        <v>21</v>
      </c>
      <c r="C1724" s="762">
        <f t="shared" ca="1" si="351"/>
        <v>1</v>
      </c>
      <c r="D1724" s="763">
        <f t="shared" ca="1" si="352"/>
        <v>1</v>
      </c>
      <c r="E1724" s="763">
        <f t="shared" ca="1" si="353"/>
        <v>1</v>
      </c>
      <c r="F1724" s="761"/>
    </row>
    <row r="1725" spans="1:6" x14ac:dyDescent="0.2">
      <c r="A1725" s="762" t="e">
        <f ca="1">IF($H1725="UNIDADE CONSTRUTIVA",OFFSET(A1725,-1,0)+1,LARGE(A$3:A1724,1))</f>
        <v>#NUM!</v>
      </c>
      <c r="B1725" s="762">
        <f t="shared" ca="1" si="350"/>
        <v>21</v>
      </c>
      <c r="C1725" s="762">
        <f t="shared" ca="1" si="351"/>
        <v>1</v>
      </c>
      <c r="D1725" s="763">
        <f t="shared" ca="1" si="352"/>
        <v>1</v>
      </c>
      <c r="E1725" s="763">
        <f t="shared" ca="1" si="353"/>
        <v>1</v>
      </c>
      <c r="F1725" s="761"/>
    </row>
    <row r="1726" spans="1:6" x14ac:dyDescent="0.2">
      <c r="A1726" s="762" t="e">
        <f ca="1">IF($H1726="UNIDADE CONSTRUTIVA",OFFSET(A1726,-1,0)+1,LARGE(A$3:A1725,1))</f>
        <v>#NUM!</v>
      </c>
      <c r="B1726" s="762">
        <f t="shared" ca="1" si="350"/>
        <v>21</v>
      </c>
      <c r="C1726" s="762">
        <f t="shared" ca="1" si="351"/>
        <v>1</v>
      </c>
      <c r="D1726" s="763">
        <f t="shared" ca="1" si="352"/>
        <v>1</v>
      </c>
      <c r="E1726" s="763">
        <f t="shared" ca="1" si="353"/>
        <v>1</v>
      </c>
      <c r="F1726" s="761"/>
    </row>
    <row r="1727" spans="1:6" x14ac:dyDescent="0.2">
      <c r="A1727" s="762" t="e">
        <f ca="1">IF($H1727="UNIDADE CONSTRUTIVA",OFFSET(A1727,-1,0)+1,LARGE(A$3:A1726,1))</f>
        <v>#NUM!</v>
      </c>
      <c r="B1727" s="762">
        <f t="shared" ca="1" si="350"/>
        <v>21</v>
      </c>
      <c r="C1727" s="762">
        <f t="shared" ca="1" si="351"/>
        <v>1</v>
      </c>
      <c r="D1727" s="763">
        <f t="shared" ca="1" si="352"/>
        <v>1</v>
      </c>
      <c r="E1727" s="763">
        <f t="shared" ca="1" si="353"/>
        <v>1</v>
      </c>
      <c r="F1727" s="761"/>
    </row>
    <row r="1728" spans="1:6" x14ac:dyDescent="0.2">
      <c r="A1728" s="762" t="e">
        <f ca="1">IF($H1728="UNIDADE CONSTRUTIVA",OFFSET(A1728,-1,0)+1,LARGE(A$3:A1727,1))</f>
        <v>#NUM!</v>
      </c>
      <c r="B1728" s="762">
        <f t="shared" ca="1" si="350"/>
        <v>21</v>
      </c>
      <c r="C1728" s="762">
        <f t="shared" ca="1" si="351"/>
        <v>1</v>
      </c>
      <c r="D1728" s="763">
        <f t="shared" ca="1" si="352"/>
        <v>1</v>
      </c>
      <c r="E1728" s="763">
        <f t="shared" ca="1" si="353"/>
        <v>1</v>
      </c>
      <c r="F1728" s="761"/>
    </row>
    <row r="1729" spans="1:6" x14ac:dyDescent="0.2">
      <c r="A1729" s="762" t="e">
        <f ca="1">IF($H1729="UNIDADE CONSTRUTIVA",OFFSET(A1729,-1,0)+1,LARGE(A$3:A1728,1))</f>
        <v>#NUM!</v>
      </c>
      <c r="B1729" s="762">
        <f t="shared" ca="1" si="350"/>
        <v>21</v>
      </c>
      <c r="C1729" s="762">
        <f t="shared" ca="1" si="351"/>
        <v>1</v>
      </c>
      <c r="D1729" s="763">
        <f t="shared" ca="1" si="352"/>
        <v>1</v>
      </c>
      <c r="E1729" s="763">
        <f t="shared" ca="1" si="353"/>
        <v>1</v>
      </c>
      <c r="F1729" s="761"/>
    </row>
    <row r="1730" spans="1:6" x14ac:dyDescent="0.2">
      <c r="A1730" s="762" t="e">
        <f ca="1">IF($H1730="UNIDADE CONSTRUTIVA",OFFSET(A1730,-1,0)+1,LARGE(A$3:A1729,1))</f>
        <v>#NUM!</v>
      </c>
      <c r="B1730" s="762">
        <f t="shared" ca="1" si="350"/>
        <v>21</v>
      </c>
      <c r="C1730" s="762">
        <f t="shared" ca="1" si="351"/>
        <v>1</v>
      </c>
      <c r="D1730" s="763">
        <f t="shared" ca="1" si="352"/>
        <v>1</v>
      </c>
      <c r="E1730" s="763">
        <f t="shared" ca="1" si="353"/>
        <v>1</v>
      </c>
      <c r="F1730" s="761"/>
    </row>
    <row r="1731" spans="1:6" x14ac:dyDescent="0.2">
      <c r="A1731" s="762" t="e">
        <f ca="1">IF($H1731="UNIDADE CONSTRUTIVA",OFFSET(A1731,-1,0)+1,LARGE(A$3:A1730,1))</f>
        <v>#NUM!</v>
      </c>
      <c r="B1731" s="762">
        <f t="shared" ca="1" si="350"/>
        <v>21</v>
      </c>
      <c r="C1731" s="762">
        <f t="shared" ca="1" si="351"/>
        <v>1</v>
      </c>
      <c r="D1731" s="763">
        <f t="shared" ca="1" si="352"/>
        <v>1</v>
      </c>
      <c r="E1731" s="763">
        <f t="shared" ca="1" si="353"/>
        <v>1</v>
      </c>
      <c r="F1731" s="761"/>
    </row>
    <row r="1732" spans="1:6" x14ac:dyDescent="0.2">
      <c r="A1732" s="762" t="e">
        <f ca="1">IF($H1732="UNIDADE CONSTRUTIVA",OFFSET(A1732,-1,0)+1,LARGE(A$3:A1731,1))</f>
        <v>#NUM!</v>
      </c>
      <c r="B1732" s="762">
        <f t="shared" ca="1" si="350"/>
        <v>21</v>
      </c>
      <c r="C1732" s="762">
        <f t="shared" ca="1" si="351"/>
        <v>1</v>
      </c>
      <c r="D1732" s="763">
        <f t="shared" ca="1" si="352"/>
        <v>1</v>
      </c>
      <c r="E1732" s="763">
        <f t="shared" ca="1" si="353"/>
        <v>1</v>
      </c>
      <c r="F1732" s="761"/>
    </row>
    <row r="1733" spans="1:6" x14ac:dyDescent="0.2">
      <c r="A1733" s="762" t="e">
        <f ca="1">IF($H1733="UNIDADE CONSTRUTIVA",OFFSET(A1733,-1,0)+1,LARGE(A$3:A1732,1))</f>
        <v>#NUM!</v>
      </c>
      <c r="B1733" s="762">
        <f t="shared" ca="1" si="350"/>
        <v>21</v>
      </c>
      <c r="C1733" s="762">
        <f t="shared" ca="1" si="351"/>
        <v>1</v>
      </c>
      <c r="D1733" s="763">
        <f t="shared" ca="1" si="352"/>
        <v>1</v>
      </c>
      <c r="E1733" s="763">
        <f t="shared" ca="1" si="353"/>
        <v>1</v>
      </c>
      <c r="F1733" s="761"/>
    </row>
    <row r="1734" spans="1:6" x14ac:dyDescent="0.2">
      <c r="A1734" s="762" t="e">
        <f ca="1">IF($H1734="UNIDADE CONSTRUTIVA",OFFSET(A1734,-1,0)+1,LARGE(A$3:A1733,1))</f>
        <v>#NUM!</v>
      </c>
      <c r="B1734" s="762">
        <f t="shared" ca="1" si="350"/>
        <v>21</v>
      </c>
      <c r="C1734" s="762">
        <f t="shared" ca="1" si="351"/>
        <v>1</v>
      </c>
      <c r="D1734" s="763">
        <f t="shared" ca="1" si="352"/>
        <v>1</v>
      </c>
      <c r="E1734" s="763">
        <f t="shared" ca="1" si="353"/>
        <v>1</v>
      </c>
      <c r="F1734" s="761"/>
    </row>
    <row r="1735" spans="1:6" x14ac:dyDescent="0.2">
      <c r="A1735" s="762" t="e">
        <f ca="1">IF($H1735="UNIDADE CONSTRUTIVA",OFFSET(A1735,-1,0)+1,LARGE(A$3:A1734,1))</f>
        <v>#NUM!</v>
      </c>
      <c r="B1735" s="762">
        <f t="shared" ca="1" si="350"/>
        <v>21</v>
      </c>
      <c r="C1735" s="762">
        <f t="shared" ca="1" si="351"/>
        <v>1</v>
      </c>
      <c r="D1735" s="763">
        <f t="shared" ca="1" si="352"/>
        <v>1</v>
      </c>
      <c r="E1735" s="763">
        <f t="shared" ca="1" si="353"/>
        <v>1</v>
      </c>
      <c r="F1735" s="761"/>
    </row>
    <row r="1736" spans="1:6" x14ac:dyDescent="0.2">
      <c r="A1736" s="762" t="e">
        <f ca="1">IF($H1736="UNIDADE CONSTRUTIVA",OFFSET(A1736,-1,0)+1,LARGE(A$3:A1735,1))</f>
        <v>#NUM!</v>
      </c>
      <c r="B1736" s="762">
        <f t="shared" ca="1" si="350"/>
        <v>21</v>
      </c>
      <c r="C1736" s="762">
        <f t="shared" ca="1" si="351"/>
        <v>1</v>
      </c>
      <c r="D1736" s="763">
        <f t="shared" ca="1" si="352"/>
        <v>1</v>
      </c>
      <c r="E1736" s="763">
        <f t="shared" ca="1" si="353"/>
        <v>1</v>
      </c>
      <c r="F1736" s="761"/>
    </row>
    <row r="1737" spans="1:6" x14ac:dyDescent="0.2">
      <c r="A1737" s="762" t="e">
        <f ca="1">IF($H1737="UNIDADE CONSTRUTIVA",OFFSET(A1737,-1,0)+1,LARGE(A$3:A1736,1))</f>
        <v>#NUM!</v>
      </c>
      <c r="B1737" s="762">
        <f t="shared" ca="1" si="350"/>
        <v>21</v>
      </c>
      <c r="C1737" s="762">
        <f t="shared" ca="1" si="351"/>
        <v>1</v>
      </c>
      <c r="D1737" s="763">
        <f t="shared" ca="1" si="352"/>
        <v>1</v>
      </c>
      <c r="E1737" s="763">
        <f t="shared" ca="1" si="353"/>
        <v>1</v>
      </c>
      <c r="F1737" s="761"/>
    </row>
    <row r="1738" spans="1:6" x14ac:dyDescent="0.2">
      <c r="A1738" s="762" t="e">
        <f ca="1">IF($H1738="UNIDADE CONSTRUTIVA",OFFSET(A1738,-1,0)+1,LARGE(A$3:A1737,1))</f>
        <v>#NUM!</v>
      </c>
      <c r="B1738" s="762">
        <f t="shared" ca="1" si="350"/>
        <v>21</v>
      </c>
      <c r="C1738" s="762">
        <f t="shared" ca="1" si="351"/>
        <v>1</v>
      </c>
      <c r="D1738" s="763">
        <f t="shared" ca="1" si="352"/>
        <v>1</v>
      </c>
      <c r="E1738" s="763">
        <f t="shared" ca="1" si="353"/>
        <v>1</v>
      </c>
      <c r="F1738" s="761"/>
    </row>
    <row r="1739" spans="1:6" x14ac:dyDescent="0.2">
      <c r="A1739" s="762" t="e">
        <f ca="1">IF($H1739="UNIDADE CONSTRUTIVA",OFFSET(A1739,-1,0)+1,LARGE(A$3:A1738,1))</f>
        <v>#NUM!</v>
      </c>
      <c r="B1739" s="762">
        <f t="shared" ca="1" si="350"/>
        <v>21</v>
      </c>
      <c r="C1739" s="762">
        <f t="shared" ca="1" si="351"/>
        <v>1</v>
      </c>
      <c r="D1739" s="763">
        <f t="shared" ca="1" si="352"/>
        <v>1</v>
      </c>
      <c r="E1739" s="763">
        <f t="shared" ca="1" si="353"/>
        <v>1</v>
      </c>
      <c r="F1739" s="761"/>
    </row>
    <row r="1740" spans="1:6" x14ac:dyDescent="0.2">
      <c r="A1740" s="762" t="e">
        <f ca="1">IF($H1740="UNIDADE CONSTRUTIVA",OFFSET(A1740,-1,0)+1,LARGE(A$3:A1739,1))</f>
        <v>#NUM!</v>
      </c>
      <c r="B1740" s="762">
        <f t="shared" ca="1" si="350"/>
        <v>21</v>
      </c>
      <c r="C1740" s="762">
        <f t="shared" ca="1" si="351"/>
        <v>1</v>
      </c>
      <c r="D1740" s="763">
        <f t="shared" ca="1" si="352"/>
        <v>1</v>
      </c>
      <c r="E1740" s="763">
        <f t="shared" ca="1" si="353"/>
        <v>1</v>
      </c>
      <c r="F1740" s="761"/>
    </row>
    <row r="1741" spans="1:6" x14ac:dyDescent="0.2">
      <c r="A1741" s="762" t="e">
        <f ca="1">IF($H1741="UNIDADE CONSTRUTIVA",OFFSET(A1741,-1,0)+1,LARGE(A$3:A1740,1))</f>
        <v>#NUM!</v>
      </c>
      <c r="B1741" s="762">
        <f t="shared" ca="1" si="350"/>
        <v>21</v>
      </c>
      <c r="C1741" s="762">
        <f t="shared" ca="1" si="351"/>
        <v>1</v>
      </c>
      <c r="D1741" s="763">
        <f t="shared" ca="1" si="352"/>
        <v>1</v>
      </c>
      <c r="E1741" s="763">
        <f t="shared" ca="1" si="353"/>
        <v>1</v>
      </c>
      <c r="F1741" s="761"/>
    </row>
    <row r="1742" spans="1:6" x14ac:dyDescent="0.2">
      <c r="A1742" s="762" t="e">
        <f ca="1">IF($H1742="UNIDADE CONSTRUTIVA",OFFSET(A1742,-1,0)+1,LARGE(A$3:A1741,1))</f>
        <v>#NUM!</v>
      </c>
      <c r="B1742" s="762">
        <f t="shared" ca="1" si="350"/>
        <v>21</v>
      </c>
      <c r="C1742" s="762">
        <f t="shared" ca="1" si="351"/>
        <v>1</v>
      </c>
      <c r="D1742" s="763">
        <f t="shared" ca="1" si="352"/>
        <v>1</v>
      </c>
      <c r="E1742" s="763">
        <f t="shared" ca="1" si="353"/>
        <v>1</v>
      </c>
      <c r="F1742" s="761"/>
    </row>
    <row r="1743" spans="1:6" x14ac:dyDescent="0.2">
      <c r="A1743" s="762" t="e">
        <f ca="1">IF($H1743="UNIDADE CONSTRUTIVA",OFFSET(A1743,-1,0)+1,LARGE(A$3:A1742,1))</f>
        <v>#NUM!</v>
      </c>
      <c r="B1743" s="762">
        <f t="shared" ca="1" si="350"/>
        <v>21</v>
      </c>
      <c r="C1743" s="762">
        <f t="shared" ca="1" si="351"/>
        <v>1</v>
      </c>
      <c r="D1743" s="763">
        <f t="shared" ca="1" si="352"/>
        <v>1</v>
      </c>
      <c r="E1743" s="763">
        <f t="shared" ca="1" si="353"/>
        <v>1</v>
      </c>
      <c r="F1743" s="761"/>
    </row>
    <row r="1744" spans="1:6" x14ac:dyDescent="0.2">
      <c r="A1744" s="762" t="e">
        <f ca="1">IF($H1744="UNIDADE CONSTRUTIVA",OFFSET(A1744,-1,0)+1,LARGE(A$3:A1743,1))</f>
        <v>#NUM!</v>
      </c>
      <c r="B1744" s="762">
        <f t="shared" ca="1" si="350"/>
        <v>21</v>
      </c>
      <c r="C1744" s="762">
        <f t="shared" ca="1" si="351"/>
        <v>1</v>
      </c>
      <c r="D1744" s="763">
        <f t="shared" ca="1" si="352"/>
        <v>1</v>
      </c>
      <c r="E1744" s="763">
        <f t="shared" ca="1" si="353"/>
        <v>1</v>
      </c>
      <c r="F1744" s="761"/>
    </row>
    <row r="1745" spans="1:6" x14ac:dyDescent="0.2">
      <c r="A1745" s="762" t="e">
        <f ca="1">IF($H1745="UNIDADE CONSTRUTIVA",OFFSET(A1745,-1,0)+1,LARGE(A$3:A1744,1))</f>
        <v>#NUM!</v>
      </c>
      <c r="B1745" s="762">
        <f t="shared" ca="1" si="350"/>
        <v>21</v>
      </c>
      <c r="C1745" s="762">
        <f t="shared" ca="1" si="351"/>
        <v>1</v>
      </c>
      <c r="D1745" s="763">
        <f t="shared" ca="1" si="352"/>
        <v>1</v>
      </c>
      <c r="E1745" s="763">
        <f t="shared" ca="1" si="353"/>
        <v>1</v>
      </c>
      <c r="F1745" s="761"/>
    </row>
    <row r="1746" spans="1:6" x14ac:dyDescent="0.2">
      <c r="A1746" s="762" t="e">
        <f ca="1">IF($H1746="UNIDADE CONSTRUTIVA",OFFSET(A1746,-1,0)+1,LARGE(A$3:A1745,1))</f>
        <v>#NUM!</v>
      </c>
      <c r="B1746" s="762">
        <f t="shared" ca="1" si="350"/>
        <v>21</v>
      </c>
      <c r="C1746" s="762">
        <f t="shared" ca="1" si="351"/>
        <v>1</v>
      </c>
      <c r="D1746" s="763">
        <f t="shared" ca="1" si="352"/>
        <v>1</v>
      </c>
      <c r="E1746" s="763">
        <f t="shared" ca="1" si="353"/>
        <v>1</v>
      </c>
      <c r="F1746" s="761"/>
    </row>
    <row r="1747" spans="1:6" x14ac:dyDescent="0.2">
      <c r="A1747" s="762" t="e">
        <f ca="1">IF($H1747="UNIDADE CONSTRUTIVA",OFFSET(A1747,-1,0)+1,LARGE(A$3:A1746,1))</f>
        <v>#NUM!</v>
      </c>
      <c r="B1747" s="762">
        <f t="shared" ca="1" si="350"/>
        <v>21</v>
      </c>
      <c r="C1747" s="762">
        <f t="shared" ca="1" si="351"/>
        <v>1</v>
      </c>
      <c r="D1747" s="763">
        <f t="shared" ca="1" si="352"/>
        <v>1</v>
      </c>
      <c r="E1747" s="763">
        <f t="shared" ca="1" si="353"/>
        <v>1</v>
      </c>
      <c r="F1747" s="761"/>
    </row>
    <row r="1748" spans="1:6" x14ac:dyDescent="0.2">
      <c r="A1748" s="762" t="e">
        <f ca="1">IF($H1748="UNIDADE CONSTRUTIVA",OFFSET(A1748,-1,0)+1,LARGE(A$3:A1747,1))</f>
        <v>#NUM!</v>
      </c>
      <c r="B1748" s="762">
        <f t="shared" ca="1" si="350"/>
        <v>21</v>
      </c>
      <c r="C1748" s="762">
        <f t="shared" ca="1" si="351"/>
        <v>1</v>
      </c>
      <c r="D1748" s="763">
        <f t="shared" ca="1" si="352"/>
        <v>1</v>
      </c>
      <c r="E1748" s="763">
        <f t="shared" ca="1" si="353"/>
        <v>1</v>
      </c>
      <c r="F1748" s="761"/>
    </row>
    <row r="1749" spans="1:6" x14ac:dyDescent="0.2">
      <c r="A1749" s="762" t="e">
        <f ca="1">IF($H1749="UNIDADE CONSTRUTIVA",OFFSET(A1749,-1,0)+1,LARGE(A$3:A1748,1))</f>
        <v>#NUM!</v>
      </c>
      <c r="B1749" s="762">
        <f t="shared" ca="1" si="350"/>
        <v>21</v>
      </c>
      <c r="C1749" s="762">
        <f t="shared" ca="1" si="351"/>
        <v>1</v>
      </c>
      <c r="D1749" s="763">
        <f t="shared" ca="1" si="352"/>
        <v>1</v>
      </c>
      <c r="E1749" s="763">
        <f t="shared" ca="1" si="353"/>
        <v>1</v>
      </c>
      <c r="F1749" s="761"/>
    </row>
    <row r="1750" spans="1:6" x14ac:dyDescent="0.2">
      <c r="A1750" s="762" t="e">
        <f ca="1">IF($H1750="UNIDADE CONSTRUTIVA",OFFSET(A1750,-1,0)+1,LARGE(A$3:A1749,1))</f>
        <v>#NUM!</v>
      </c>
      <c r="B1750" s="762">
        <f t="shared" ca="1" si="350"/>
        <v>21</v>
      </c>
      <c r="C1750" s="762">
        <f t="shared" ca="1" si="351"/>
        <v>1</v>
      </c>
      <c r="D1750" s="763">
        <f t="shared" ca="1" si="352"/>
        <v>1</v>
      </c>
      <c r="E1750" s="763">
        <f t="shared" ca="1" si="353"/>
        <v>1</v>
      </c>
      <c r="F1750" s="761"/>
    </row>
    <row r="1751" spans="1:6" x14ac:dyDescent="0.2">
      <c r="A1751" s="762" t="e">
        <f ca="1">IF($H1751="UNIDADE CONSTRUTIVA",OFFSET(A1751,-1,0)+1,LARGE(A$3:A1750,1))</f>
        <v>#NUM!</v>
      </c>
      <c r="B1751" s="762">
        <f t="shared" ca="1" si="350"/>
        <v>21</v>
      </c>
      <c r="C1751" s="762">
        <f t="shared" ca="1" si="351"/>
        <v>1</v>
      </c>
      <c r="D1751" s="763">
        <f t="shared" ca="1" si="352"/>
        <v>1</v>
      </c>
      <c r="E1751" s="763">
        <f t="shared" ca="1" si="353"/>
        <v>1</v>
      </c>
      <c r="F1751" s="761"/>
    </row>
    <row r="1752" spans="1:6" x14ac:dyDescent="0.2">
      <c r="A1752" s="762" t="e">
        <f ca="1">IF($H1752="UNIDADE CONSTRUTIVA",OFFSET(A1752,-1,0)+1,LARGE(A$3:A1751,1))</f>
        <v>#NUM!</v>
      </c>
      <c r="B1752" s="762">
        <f t="shared" ca="1" si="350"/>
        <v>21</v>
      </c>
      <c r="C1752" s="762">
        <f t="shared" ca="1" si="351"/>
        <v>1</v>
      </c>
      <c r="D1752" s="763">
        <f t="shared" ca="1" si="352"/>
        <v>1</v>
      </c>
      <c r="E1752" s="763">
        <f t="shared" ca="1" si="353"/>
        <v>1</v>
      </c>
      <c r="F1752" s="761"/>
    </row>
    <row r="1753" spans="1:6" x14ac:dyDescent="0.2">
      <c r="A1753" s="762" t="e">
        <f ca="1">IF($H1753="UNIDADE CONSTRUTIVA",OFFSET(A1753,-1,0)+1,LARGE(A$3:A1752,1))</f>
        <v>#NUM!</v>
      </c>
      <c r="B1753" s="762">
        <f t="shared" ca="1" si="350"/>
        <v>21</v>
      </c>
      <c r="C1753" s="762">
        <f t="shared" ca="1" si="351"/>
        <v>1</v>
      </c>
      <c r="D1753" s="763">
        <f t="shared" ca="1" si="352"/>
        <v>1</v>
      </c>
      <c r="E1753" s="763">
        <f t="shared" ca="1" si="353"/>
        <v>1</v>
      </c>
      <c r="F1753" s="761"/>
    </row>
    <row r="1754" spans="1:6" x14ac:dyDescent="0.2">
      <c r="A1754" s="762" t="e">
        <f ca="1">IF($H1754="UNIDADE CONSTRUTIVA",OFFSET(A1754,-1,0)+1,LARGE(A$3:A1753,1))</f>
        <v>#NUM!</v>
      </c>
      <c r="B1754" s="762">
        <f t="shared" ca="1" si="350"/>
        <v>21</v>
      </c>
      <c r="C1754" s="762">
        <f t="shared" ca="1" si="351"/>
        <v>1</v>
      </c>
      <c r="D1754" s="763">
        <f t="shared" ca="1" si="352"/>
        <v>1</v>
      </c>
      <c r="E1754" s="763">
        <f t="shared" ca="1" si="353"/>
        <v>1</v>
      </c>
      <c r="F1754" s="761"/>
    </row>
    <row r="1755" spans="1:6" x14ac:dyDescent="0.2">
      <c r="A1755" s="762" t="e">
        <f ca="1">IF($H1755="UNIDADE CONSTRUTIVA",OFFSET(A1755,-1,0)+1,LARGE(A$3:A1754,1))</f>
        <v>#NUM!</v>
      </c>
      <c r="B1755" s="762">
        <f t="shared" ca="1" si="350"/>
        <v>21</v>
      </c>
      <c r="C1755" s="762">
        <f t="shared" ca="1" si="351"/>
        <v>1</v>
      </c>
      <c r="D1755" s="763">
        <f t="shared" ca="1" si="352"/>
        <v>1</v>
      </c>
      <c r="E1755" s="763">
        <f t="shared" ca="1" si="353"/>
        <v>1</v>
      </c>
      <c r="F1755" s="761"/>
    </row>
    <row r="1756" spans="1:6" x14ac:dyDescent="0.2">
      <c r="A1756" s="762" t="e">
        <f ca="1">IF($H1756="UNIDADE CONSTRUTIVA",OFFSET(A1756,-1,0)+1,LARGE(A$3:A1755,1))</f>
        <v>#NUM!</v>
      </c>
      <c r="B1756" s="762">
        <f t="shared" ca="1" si="350"/>
        <v>21</v>
      </c>
      <c r="C1756" s="762">
        <f t="shared" ca="1" si="351"/>
        <v>1</v>
      </c>
      <c r="D1756" s="763">
        <f t="shared" ca="1" si="352"/>
        <v>1</v>
      </c>
      <c r="E1756" s="763">
        <f t="shared" ca="1" si="353"/>
        <v>1</v>
      </c>
      <c r="F1756" s="761"/>
    </row>
    <row r="1757" spans="1:6" x14ac:dyDescent="0.2">
      <c r="A1757" s="762" t="e">
        <f ca="1">IF($H1757="UNIDADE CONSTRUTIVA",OFFSET(A1757,-1,0)+1,LARGE(A$3:A1756,1))</f>
        <v>#NUM!</v>
      </c>
      <c r="B1757" s="762">
        <f t="shared" ca="1" si="350"/>
        <v>21</v>
      </c>
      <c r="C1757" s="762">
        <f t="shared" ca="1" si="351"/>
        <v>1</v>
      </c>
      <c r="D1757" s="763">
        <f t="shared" ca="1" si="352"/>
        <v>1</v>
      </c>
      <c r="E1757" s="763">
        <f t="shared" ca="1" si="353"/>
        <v>1</v>
      </c>
      <c r="F1757" s="761"/>
    </row>
    <row r="1758" spans="1:6" x14ac:dyDescent="0.2">
      <c r="A1758" s="762" t="e">
        <f ca="1">IF($H1758="UNIDADE CONSTRUTIVA",OFFSET(A1758,-1,0)+1,LARGE(A$3:A1757,1))</f>
        <v>#NUM!</v>
      </c>
      <c r="B1758" s="762">
        <f t="shared" ca="1" si="350"/>
        <v>21</v>
      </c>
      <c r="C1758" s="762">
        <f t="shared" ca="1" si="351"/>
        <v>1</v>
      </c>
      <c r="D1758" s="763">
        <f t="shared" ca="1" si="352"/>
        <v>1</v>
      </c>
      <c r="E1758" s="763">
        <f t="shared" ca="1" si="353"/>
        <v>1</v>
      </c>
      <c r="F1758" s="761"/>
    </row>
    <row r="1759" spans="1:6" x14ac:dyDescent="0.2">
      <c r="A1759" s="762" t="e">
        <f ca="1">IF($H1759="UNIDADE CONSTRUTIVA",OFFSET(A1759,-1,0)+1,LARGE(A$3:A1758,1))</f>
        <v>#NUM!</v>
      </c>
      <c r="B1759" s="762">
        <f t="shared" ca="1" si="350"/>
        <v>21</v>
      </c>
      <c r="C1759" s="762">
        <f t="shared" ca="1" si="351"/>
        <v>1</v>
      </c>
      <c r="D1759" s="763">
        <f t="shared" ca="1" si="352"/>
        <v>1</v>
      </c>
      <c r="E1759" s="763">
        <f t="shared" ca="1" si="353"/>
        <v>1</v>
      </c>
      <c r="F1759" s="761"/>
    </row>
    <row r="1760" spans="1:6" x14ac:dyDescent="0.2">
      <c r="A1760" s="762" t="e">
        <f ca="1">IF($H1760="UNIDADE CONSTRUTIVA",OFFSET(A1760,-1,0)+1,LARGE(A$3:A1759,1))</f>
        <v>#NUM!</v>
      </c>
      <c r="B1760" s="762">
        <f t="shared" ca="1" si="350"/>
        <v>21</v>
      </c>
      <c r="C1760" s="762">
        <f t="shared" ca="1" si="351"/>
        <v>1</v>
      </c>
      <c r="D1760" s="763">
        <f t="shared" ca="1" si="352"/>
        <v>1</v>
      </c>
      <c r="E1760" s="763">
        <f t="shared" ca="1" si="353"/>
        <v>1</v>
      </c>
      <c r="F1760" s="761"/>
    </row>
    <row r="1761" spans="1:6" x14ac:dyDescent="0.2">
      <c r="A1761" s="762" t="e">
        <f ca="1">IF($H1761="UNIDADE CONSTRUTIVA",OFFSET(A1761,-1,0)+1,LARGE(A$3:A1760,1))</f>
        <v>#NUM!</v>
      </c>
      <c r="B1761" s="762">
        <f t="shared" ca="1" si="350"/>
        <v>21</v>
      </c>
      <c r="C1761" s="762">
        <f t="shared" ca="1" si="351"/>
        <v>1</v>
      </c>
      <c r="D1761" s="763">
        <f t="shared" ca="1" si="352"/>
        <v>1</v>
      </c>
      <c r="E1761" s="763">
        <f t="shared" ca="1" si="353"/>
        <v>1</v>
      </c>
      <c r="F1761" s="761"/>
    </row>
    <row r="1762" spans="1:6" x14ac:dyDescent="0.2">
      <c r="A1762" s="762" t="e">
        <f ca="1">IF($H1762="UNIDADE CONSTRUTIVA",OFFSET(A1762,-1,0)+1,LARGE(A$3:A1761,1))</f>
        <v>#NUM!</v>
      </c>
      <c r="B1762" s="762">
        <f t="shared" ca="1" si="350"/>
        <v>21</v>
      </c>
      <c r="C1762" s="762">
        <f t="shared" ca="1" si="351"/>
        <v>1</v>
      </c>
      <c r="D1762" s="763">
        <f t="shared" ca="1" si="352"/>
        <v>1</v>
      </c>
      <c r="E1762" s="763">
        <f t="shared" ca="1" si="353"/>
        <v>1</v>
      </c>
      <c r="F1762" s="761"/>
    </row>
    <row r="1763" spans="1:6" x14ac:dyDescent="0.2">
      <c r="A1763" s="762" t="e">
        <f ca="1">IF($H1763="UNIDADE CONSTRUTIVA",OFFSET(A1763,-1,0)+1,LARGE(A$3:A1762,1))</f>
        <v>#NUM!</v>
      </c>
      <c r="B1763" s="762">
        <f t="shared" ca="1" si="350"/>
        <v>21</v>
      </c>
      <c r="C1763" s="762">
        <f t="shared" ca="1" si="351"/>
        <v>1</v>
      </c>
      <c r="D1763" s="763">
        <f t="shared" ca="1" si="352"/>
        <v>1</v>
      </c>
      <c r="E1763" s="763">
        <f t="shared" ca="1" si="353"/>
        <v>1</v>
      </c>
      <c r="F1763" s="761"/>
    </row>
    <row r="1764" spans="1:6" x14ac:dyDescent="0.2">
      <c r="A1764" s="762" t="e">
        <f ca="1">IF($H1764="UNIDADE CONSTRUTIVA",OFFSET(A1764,-1,0)+1,LARGE(A$3:A1763,1))</f>
        <v>#NUM!</v>
      </c>
      <c r="B1764" s="762">
        <f t="shared" ca="1" si="350"/>
        <v>21</v>
      </c>
      <c r="C1764" s="762">
        <f t="shared" ca="1" si="351"/>
        <v>1</v>
      </c>
      <c r="D1764" s="763">
        <f t="shared" ca="1" si="352"/>
        <v>1</v>
      </c>
      <c r="E1764" s="763">
        <f t="shared" ca="1" si="353"/>
        <v>1</v>
      </c>
      <c r="F1764" s="761"/>
    </row>
    <row r="1765" spans="1:6" x14ac:dyDescent="0.2">
      <c r="A1765" s="762" t="e">
        <f ca="1">IF($H1765="UNIDADE CONSTRUTIVA",OFFSET(A1765,-1,0)+1,LARGE(A$3:A1764,1))</f>
        <v>#NUM!</v>
      </c>
      <c r="B1765" s="762">
        <f t="shared" ca="1" si="350"/>
        <v>21</v>
      </c>
      <c r="C1765" s="762">
        <f t="shared" ca="1" si="351"/>
        <v>1</v>
      </c>
      <c r="D1765" s="763">
        <f t="shared" ca="1" si="352"/>
        <v>1</v>
      </c>
      <c r="E1765" s="763">
        <f t="shared" ca="1" si="353"/>
        <v>1</v>
      </c>
      <c r="F1765" s="761"/>
    </row>
    <row r="1766" spans="1:6" x14ac:dyDescent="0.2">
      <c r="A1766" s="762" t="e">
        <f ca="1">IF($H1766="UNIDADE CONSTRUTIVA",OFFSET(A1766,-1,0)+1,LARGE(A$3:A1765,1))</f>
        <v>#NUM!</v>
      </c>
      <c r="B1766" s="762">
        <f t="shared" ca="1" si="350"/>
        <v>21</v>
      </c>
      <c r="C1766" s="762">
        <f t="shared" ca="1" si="351"/>
        <v>1</v>
      </c>
      <c r="D1766" s="763">
        <f t="shared" ca="1" si="352"/>
        <v>1</v>
      </c>
      <c r="E1766" s="763">
        <f t="shared" ca="1" si="353"/>
        <v>1</v>
      </c>
      <c r="F1766" s="761"/>
    </row>
    <row r="1767" spans="1:6" x14ac:dyDescent="0.2">
      <c r="A1767" s="762" t="e">
        <f ca="1">IF($H1767="UNIDADE CONSTRUTIVA",OFFSET(A1767,-1,0)+1,LARGE(A$3:A1766,1))</f>
        <v>#NUM!</v>
      </c>
      <c r="B1767" s="762">
        <f t="shared" ca="1" si="350"/>
        <v>21</v>
      </c>
      <c r="C1767" s="762">
        <f t="shared" ca="1" si="351"/>
        <v>1</v>
      </c>
      <c r="D1767" s="763">
        <f t="shared" ca="1" si="352"/>
        <v>1</v>
      </c>
      <c r="E1767" s="763">
        <f t="shared" ca="1" si="353"/>
        <v>1</v>
      </c>
      <c r="F1767" s="761"/>
    </row>
    <row r="1768" spans="1:6" x14ac:dyDescent="0.2">
      <c r="A1768" s="762" t="e">
        <f ca="1">IF($H1768="UNIDADE CONSTRUTIVA",OFFSET(A1768,-1,0)+1,LARGE(A$3:A1767,1))</f>
        <v>#NUM!</v>
      </c>
      <c r="B1768" s="762">
        <f t="shared" ca="1" si="350"/>
        <v>21</v>
      </c>
      <c r="C1768" s="762">
        <f t="shared" ca="1" si="351"/>
        <v>1</v>
      </c>
      <c r="D1768" s="763">
        <f t="shared" ca="1" si="352"/>
        <v>1</v>
      </c>
      <c r="E1768" s="763">
        <f t="shared" ca="1" si="353"/>
        <v>1</v>
      </c>
      <c r="F1768" s="761"/>
    </row>
    <row r="1769" spans="1:6" x14ac:dyDescent="0.2">
      <c r="A1769" s="762" t="e">
        <f ca="1">IF($H1769="UNIDADE CONSTRUTIVA",OFFSET(A1769,-1,0)+1,LARGE(A$3:A1768,1))</f>
        <v>#NUM!</v>
      </c>
      <c r="B1769" s="762">
        <f t="shared" ca="1" si="350"/>
        <v>21</v>
      </c>
      <c r="C1769" s="762">
        <f t="shared" ca="1" si="351"/>
        <v>1</v>
      </c>
      <c r="D1769" s="763">
        <f t="shared" ca="1" si="352"/>
        <v>1</v>
      </c>
      <c r="E1769" s="763">
        <f t="shared" ca="1" si="353"/>
        <v>1</v>
      </c>
      <c r="F1769" s="761"/>
    </row>
    <row r="1770" spans="1:6" x14ac:dyDescent="0.2">
      <c r="A1770" s="762" t="e">
        <f ca="1">IF($H1770="UNIDADE CONSTRUTIVA",OFFSET(A1770,-1,0)+1,LARGE(A$3:A1769,1))</f>
        <v>#NUM!</v>
      </c>
      <c r="B1770" s="762">
        <f t="shared" ca="1" si="350"/>
        <v>21</v>
      </c>
      <c r="C1770" s="762">
        <f t="shared" ca="1" si="351"/>
        <v>1</v>
      </c>
      <c r="D1770" s="763">
        <f t="shared" ca="1" si="352"/>
        <v>1</v>
      </c>
      <c r="E1770" s="763">
        <f t="shared" ca="1" si="353"/>
        <v>1</v>
      </c>
      <c r="F1770" s="761"/>
    </row>
    <row r="1771" spans="1:6" x14ac:dyDescent="0.2">
      <c r="A1771" s="762" t="e">
        <f ca="1">IF($H1771="UNIDADE CONSTRUTIVA",OFFSET(A1771,-1,0)+1,LARGE(A$3:A1770,1))</f>
        <v>#NUM!</v>
      </c>
      <c r="B1771" s="762">
        <f t="shared" ca="1" si="350"/>
        <v>21</v>
      </c>
      <c r="C1771" s="762">
        <f t="shared" ca="1" si="351"/>
        <v>1</v>
      </c>
      <c r="D1771" s="763">
        <f t="shared" ca="1" si="352"/>
        <v>1</v>
      </c>
      <c r="E1771" s="763">
        <f t="shared" ca="1" si="353"/>
        <v>1</v>
      </c>
      <c r="F1771" s="761"/>
    </row>
    <row r="1772" spans="1:6" x14ac:dyDescent="0.2">
      <c r="A1772" s="762" t="e">
        <f ca="1">IF($H1772="UNIDADE CONSTRUTIVA",OFFSET(A1772,-1,0)+1,LARGE(A$3:A1771,1))</f>
        <v>#NUM!</v>
      </c>
      <c r="B1772" s="762">
        <f t="shared" ca="1" si="350"/>
        <v>21</v>
      </c>
      <c r="C1772" s="762">
        <f t="shared" ca="1" si="351"/>
        <v>1</v>
      </c>
      <c r="D1772" s="763">
        <f t="shared" ca="1" si="352"/>
        <v>1</v>
      </c>
      <c r="E1772" s="763">
        <f t="shared" ca="1" si="353"/>
        <v>1</v>
      </c>
      <c r="F1772" s="761"/>
    </row>
    <row r="1773" spans="1:6" x14ac:dyDescent="0.2">
      <c r="A1773" s="762" t="e">
        <f ca="1">IF($H1773="UNIDADE CONSTRUTIVA",OFFSET(A1773,-1,0)+1,LARGE(A$3:A1772,1))</f>
        <v>#NUM!</v>
      </c>
      <c r="B1773" s="762">
        <f t="shared" ca="1" si="350"/>
        <v>21</v>
      </c>
      <c r="C1773" s="762">
        <f t="shared" ca="1" si="351"/>
        <v>1</v>
      </c>
      <c r="D1773" s="763">
        <f t="shared" ca="1" si="352"/>
        <v>1</v>
      </c>
      <c r="E1773" s="763">
        <f t="shared" ca="1" si="353"/>
        <v>1</v>
      </c>
      <c r="F1773" s="761"/>
    </row>
    <row r="1774" spans="1:6" x14ac:dyDescent="0.2">
      <c r="A1774" s="762" t="e">
        <f ca="1">IF($H1774="UNIDADE CONSTRUTIVA",OFFSET(A1774,-1,0)+1,LARGE(A$3:A1773,1))</f>
        <v>#NUM!</v>
      </c>
      <c r="B1774" s="762">
        <f t="shared" ca="1" si="350"/>
        <v>21</v>
      </c>
      <c r="C1774" s="762">
        <f t="shared" ca="1" si="351"/>
        <v>1</v>
      </c>
      <c r="D1774" s="763">
        <f t="shared" ca="1" si="352"/>
        <v>1</v>
      </c>
      <c r="E1774" s="763">
        <f t="shared" ca="1" si="353"/>
        <v>1</v>
      </c>
      <c r="F1774" s="761"/>
    </row>
    <row r="1775" spans="1:6" x14ac:dyDescent="0.2">
      <c r="A1775" s="762" t="e">
        <f ca="1">IF($H1775="UNIDADE CONSTRUTIVA",OFFSET(A1775,-1,0)+1,LARGE(A$3:A1774,1))</f>
        <v>#NUM!</v>
      </c>
      <c r="B1775" s="762">
        <f t="shared" ca="1" si="350"/>
        <v>21</v>
      </c>
      <c r="C1775" s="762">
        <f t="shared" ca="1" si="351"/>
        <v>1</v>
      </c>
      <c r="D1775" s="763">
        <f t="shared" ca="1" si="352"/>
        <v>1</v>
      </c>
      <c r="E1775" s="763">
        <f t="shared" ca="1" si="353"/>
        <v>1</v>
      </c>
      <c r="F1775" s="761"/>
    </row>
    <row r="1776" spans="1:6" x14ac:dyDescent="0.2">
      <c r="A1776" s="762" t="e">
        <f ca="1">IF($H1776="UNIDADE CONSTRUTIVA",OFFSET(A1776,-1,0)+1,LARGE(A$3:A1775,1))</f>
        <v>#NUM!</v>
      </c>
      <c r="B1776" s="762">
        <f t="shared" ca="1" si="350"/>
        <v>21</v>
      </c>
      <c r="C1776" s="762">
        <f t="shared" ca="1" si="351"/>
        <v>1</v>
      </c>
      <c r="D1776" s="763">
        <f t="shared" ca="1" si="352"/>
        <v>1</v>
      </c>
      <c r="E1776" s="763">
        <f t="shared" ca="1" si="353"/>
        <v>1</v>
      </c>
      <c r="F1776" s="761"/>
    </row>
    <row r="1777" spans="1:6" x14ac:dyDescent="0.2">
      <c r="A1777" s="762" t="e">
        <f ca="1">IF($H1777="UNIDADE CONSTRUTIVA",OFFSET(A1777,-1,0)+1,LARGE(A$3:A1776,1))</f>
        <v>#NUM!</v>
      </c>
      <c r="B1777" s="762">
        <f t="shared" ca="1" si="350"/>
        <v>21</v>
      </c>
      <c r="C1777" s="762">
        <f t="shared" ca="1" si="351"/>
        <v>1</v>
      </c>
      <c r="D1777" s="763">
        <f t="shared" ca="1" si="352"/>
        <v>1</v>
      </c>
      <c r="E1777" s="763">
        <f t="shared" ca="1" si="353"/>
        <v>1</v>
      </c>
      <c r="F1777" s="761"/>
    </row>
    <row r="1778" spans="1:6" x14ac:dyDescent="0.2">
      <c r="A1778" s="762" t="e">
        <f ca="1">IF($H1778="UNIDADE CONSTRUTIVA",OFFSET(A1778,-1,0)+1,LARGE(A$3:A1777,1))</f>
        <v>#NUM!</v>
      </c>
      <c r="B1778" s="762">
        <f t="shared" ref="B1778:B1841" ca="1" si="354">IF(H1778="UNIDADE CONSTRUTIVA",0,IF(H1778="CÉLULA CONSTRUTIVA",OFFSET(B1778,-1,0)+1,OFFSET(B1778,-1,0)))</f>
        <v>21</v>
      </c>
      <c r="C1778" s="762">
        <f t="shared" ref="C1778:C1841" ca="1" si="355">IF(H1778="CÉLULA CONSTRUTIVA",0,IF(H1778="ETAPA",OFFSET(C1778,-1,0)+1,OFFSET(C1778,-1,0)))</f>
        <v>1</v>
      </c>
      <c r="D1778" s="763">
        <f t="shared" ref="D1778:D1841" ca="1" si="356">IF(H1778="ETAPA",0,IF(H1778="SUBETAPA",OFFSET(D1778,-1,0)+1,OFFSET(D1778,-1,0)))</f>
        <v>1</v>
      </c>
      <c r="E1778" s="763">
        <f t="shared" ref="E1778:E1841" ca="1" si="357">IF(H1778="Subetapa",0,IF(H1778="serviço",OFFSET(E1778,-1,0)+1,OFFSET(E1778,-1,0)))</f>
        <v>1</v>
      </c>
      <c r="F1778" s="761"/>
    </row>
    <row r="1779" spans="1:6" x14ac:dyDescent="0.2">
      <c r="A1779" s="762" t="e">
        <f ca="1">IF($H1779="UNIDADE CONSTRUTIVA",OFFSET(A1779,-1,0)+1,LARGE(A$3:A1778,1))</f>
        <v>#NUM!</v>
      </c>
      <c r="B1779" s="762">
        <f t="shared" ca="1" si="354"/>
        <v>21</v>
      </c>
      <c r="C1779" s="762">
        <f t="shared" ca="1" si="355"/>
        <v>1</v>
      </c>
      <c r="D1779" s="763">
        <f t="shared" ca="1" si="356"/>
        <v>1</v>
      </c>
      <c r="E1779" s="763">
        <f t="shared" ca="1" si="357"/>
        <v>1</v>
      </c>
      <c r="F1779" s="761"/>
    </row>
    <row r="1780" spans="1:6" x14ac:dyDescent="0.2">
      <c r="A1780" s="762" t="e">
        <f ca="1">IF($H1780="UNIDADE CONSTRUTIVA",OFFSET(A1780,-1,0)+1,LARGE(A$3:A1779,1))</f>
        <v>#NUM!</v>
      </c>
      <c r="B1780" s="762">
        <f t="shared" ca="1" si="354"/>
        <v>21</v>
      </c>
      <c r="C1780" s="762">
        <f t="shared" ca="1" si="355"/>
        <v>1</v>
      </c>
      <c r="D1780" s="763">
        <f t="shared" ca="1" si="356"/>
        <v>1</v>
      </c>
      <c r="E1780" s="763">
        <f t="shared" ca="1" si="357"/>
        <v>1</v>
      </c>
      <c r="F1780" s="761"/>
    </row>
    <row r="1781" spans="1:6" x14ac:dyDescent="0.2">
      <c r="A1781" s="762" t="e">
        <f ca="1">IF($H1781="UNIDADE CONSTRUTIVA",OFFSET(A1781,-1,0)+1,LARGE(A$3:A1780,1))</f>
        <v>#NUM!</v>
      </c>
      <c r="B1781" s="762">
        <f t="shared" ca="1" si="354"/>
        <v>21</v>
      </c>
      <c r="C1781" s="762">
        <f t="shared" ca="1" si="355"/>
        <v>1</v>
      </c>
      <c r="D1781" s="763">
        <f t="shared" ca="1" si="356"/>
        <v>1</v>
      </c>
      <c r="E1781" s="763">
        <f t="shared" ca="1" si="357"/>
        <v>1</v>
      </c>
      <c r="F1781" s="761"/>
    </row>
    <row r="1782" spans="1:6" x14ac:dyDescent="0.2">
      <c r="A1782" s="762" t="e">
        <f ca="1">IF($H1782="UNIDADE CONSTRUTIVA",OFFSET(A1782,-1,0)+1,LARGE(A$3:A1781,1))</f>
        <v>#NUM!</v>
      </c>
      <c r="B1782" s="762">
        <f t="shared" ca="1" si="354"/>
        <v>21</v>
      </c>
      <c r="C1782" s="762">
        <f t="shared" ca="1" si="355"/>
        <v>1</v>
      </c>
      <c r="D1782" s="763">
        <f t="shared" ca="1" si="356"/>
        <v>1</v>
      </c>
      <c r="E1782" s="763">
        <f t="shared" ca="1" si="357"/>
        <v>1</v>
      </c>
      <c r="F1782" s="761"/>
    </row>
    <row r="1783" spans="1:6" x14ac:dyDescent="0.2">
      <c r="A1783" s="762" t="e">
        <f ca="1">IF($H1783="UNIDADE CONSTRUTIVA",OFFSET(A1783,-1,0)+1,LARGE(A$3:A1782,1))</f>
        <v>#NUM!</v>
      </c>
      <c r="B1783" s="762">
        <f t="shared" ca="1" si="354"/>
        <v>21</v>
      </c>
      <c r="C1783" s="762">
        <f t="shared" ca="1" si="355"/>
        <v>1</v>
      </c>
      <c r="D1783" s="763">
        <f t="shared" ca="1" si="356"/>
        <v>1</v>
      </c>
      <c r="E1783" s="763">
        <f t="shared" ca="1" si="357"/>
        <v>1</v>
      </c>
      <c r="F1783" s="761"/>
    </row>
    <row r="1784" spans="1:6" x14ac:dyDescent="0.2">
      <c r="A1784" s="762" t="e">
        <f ca="1">IF($H1784="UNIDADE CONSTRUTIVA",OFFSET(A1784,-1,0)+1,LARGE(A$3:A1783,1))</f>
        <v>#NUM!</v>
      </c>
      <c r="B1784" s="762">
        <f t="shared" ca="1" si="354"/>
        <v>21</v>
      </c>
      <c r="C1784" s="762">
        <f t="shared" ca="1" si="355"/>
        <v>1</v>
      </c>
      <c r="D1784" s="763">
        <f t="shared" ca="1" si="356"/>
        <v>1</v>
      </c>
      <c r="E1784" s="763">
        <f t="shared" ca="1" si="357"/>
        <v>1</v>
      </c>
      <c r="F1784" s="761"/>
    </row>
    <row r="1785" spans="1:6" x14ac:dyDescent="0.2">
      <c r="A1785" s="762" t="e">
        <f ca="1">IF($H1785="UNIDADE CONSTRUTIVA",OFFSET(A1785,-1,0)+1,LARGE(A$3:A1784,1))</f>
        <v>#NUM!</v>
      </c>
      <c r="B1785" s="762">
        <f t="shared" ca="1" si="354"/>
        <v>21</v>
      </c>
      <c r="C1785" s="762">
        <f t="shared" ca="1" si="355"/>
        <v>1</v>
      </c>
      <c r="D1785" s="763">
        <f t="shared" ca="1" si="356"/>
        <v>1</v>
      </c>
      <c r="E1785" s="763">
        <f t="shared" ca="1" si="357"/>
        <v>1</v>
      </c>
      <c r="F1785" s="761"/>
    </row>
    <row r="1786" spans="1:6" x14ac:dyDescent="0.2">
      <c r="A1786" s="762" t="e">
        <f ca="1">IF($H1786="UNIDADE CONSTRUTIVA",OFFSET(A1786,-1,0)+1,LARGE(A$3:A1785,1))</f>
        <v>#NUM!</v>
      </c>
      <c r="B1786" s="762">
        <f t="shared" ca="1" si="354"/>
        <v>21</v>
      </c>
      <c r="C1786" s="762">
        <f t="shared" ca="1" si="355"/>
        <v>1</v>
      </c>
      <c r="D1786" s="763">
        <f t="shared" ca="1" si="356"/>
        <v>1</v>
      </c>
      <c r="E1786" s="763">
        <f t="shared" ca="1" si="357"/>
        <v>1</v>
      </c>
      <c r="F1786" s="761"/>
    </row>
    <row r="1787" spans="1:6" x14ac:dyDescent="0.2">
      <c r="A1787" s="762" t="e">
        <f ca="1">IF($H1787="UNIDADE CONSTRUTIVA",OFFSET(A1787,-1,0)+1,LARGE(A$3:A1786,1))</f>
        <v>#NUM!</v>
      </c>
      <c r="B1787" s="762">
        <f t="shared" ca="1" si="354"/>
        <v>21</v>
      </c>
      <c r="C1787" s="762">
        <f t="shared" ca="1" si="355"/>
        <v>1</v>
      </c>
      <c r="D1787" s="763">
        <f t="shared" ca="1" si="356"/>
        <v>1</v>
      </c>
      <c r="E1787" s="763">
        <f t="shared" ca="1" si="357"/>
        <v>1</v>
      </c>
      <c r="F1787" s="761"/>
    </row>
    <row r="1788" spans="1:6" x14ac:dyDescent="0.2">
      <c r="A1788" s="762" t="e">
        <f ca="1">IF($H1788="UNIDADE CONSTRUTIVA",OFFSET(A1788,-1,0)+1,LARGE(A$3:A1787,1))</f>
        <v>#NUM!</v>
      </c>
      <c r="B1788" s="762">
        <f t="shared" ca="1" si="354"/>
        <v>21</v>
      </c>
      <c r="C1788" s="762">
        <f t="shared" ca="1" si="355"/>
        <v>1</v>
      </c>
      <c r="D1788" s="763">
        <f t="shared" ca="1" si="356"/>
        <v>1</v>
      </c>
      <c r="E1788" s="763">
        <f t="shared" ca="1" si="357"/>
        <v>1</v>
      </c>
      <c r="F1788" s="761"/>
    </row>
    <row r="1789" spans="1:6" x14ac:dyDescent="0.2">
      <c r="A1789" s="762" t="e">
        <f ca="1">IF($H1789="UNIDADE CONSTRUTIVA",OFFSET(A1789,-1,0)+1,LARGE(A$3:A1788,1))</f>
        <v>#NUM!</v>
      </c>
      <c r="B1789" s="762">
        <f t="shared" ca="1" si="354"/>
        <v>21</v>
      </c>
      <c r="C1789" s="762">
        <f t="shared" ca="1" si="355"/>
        <v>1</v>
      </c>
      <c r="D1789" s="763">
        <f t="shared" ca="1" si="356"/>
        <v>1</v>
      </c>
      <c r="E1789" s="763">
        <f t="shared" ca="1" si="357"/>
        <v>1</v>
      </c>
      <c r="F1789" s="761"/>
    </row>
    <row r="1790" spans="1:6" x14ac:dyDescent="0.2">
      <c r="A1790" s="762" t="e">
        <f ca="1">IF($H1790="UNIDADE CONSTRUTIVA",OFFSET(A1790,-1,0)+1,LARGE(A$3:A1789,1))</f>
        <v>#NUM!</v>
      </c>
      <c r="B1790" s="762">
        <f t="shared" ca="1" si="354"/>
        <v>21</v>
      </c>
      <c r="C1790" s="762">
        <f t="shared" ca="1" si="355"/>
        <v>1</v>
      </c>
      <c r="D1790" s="763">
        <f t="shared" ca="1" si="356"/>
        <v>1</v>
      </c>
      <c r="E1790" s="763">
        <f t="shared" ca="1" si="357"/>
        <v>1</v>
      </c>
      <c r="F1790" s="761"/>
    </row>
    <row r="1791" spans="1:6" x14ac:dyDescent="0.2">
      <c r="A1791" s="762" t="e">
        <f ca="1">IF($H1791="UNIDADE CONSTRUTIVA",OFFSET(A1791,-1,0)+1,LARGE(A$3:A1790,1))</f>
        <v>#NUM!</v>
      </c>
      <c r="B1791" s="762">
        <f t="shared" ca="1" si="354"/>
        <v>21</v>
      </c>
      <c r="C1791" s="762">
        <f t="shared" ca="1" si="355"/>
        <v>1</v>
      </c>
      <c r="D1791" s="763">
        <f t="shared" ca="1" si="356"/>
        <v>1</v>
      </c>
      <c r="E1791" s="763">
        <f t="shared" ca="1" si="357"/>
        <v>1</v>
      </c>
      <c r="F1791" s="761"/>
    </row>
    <row r="1792" spans="1:6" x14ac:dyDescent="0.2">
      <c r="A1792" s="762" t="e">
        <f ca="1">IF($H1792="UNIDADE CONSTRUTIVA",OFFSET(A1792,-1,0)+1,LARGE(A$3:A1791,1))</f>
        <v>#NUM!</v>
      </c>
      <c r="B1792" s="762">
        <f t="shared" ca="1" si="354"/>
        <v>21</v>
      </c>
      <c r="C1792" s="762">
        <f t="shared" ca="1" si="355"/>
        <v>1</v>
      </c>
      <c r="D1792" s="763">
        <f t="shared" ca="1" si="356"/>
        <v>1</v>
      </c>
      <c r="E1792" s="763">
        <f t="shared" ca="1" si="357"/>
        <v>1</v>
      </c>
      <c r="F1792" s="761"/>
    </row>
    <row r="1793" spans="1:6" x14ac:dyDescent="0.2">
      <c r="A1793" s="762" t="e">
        <f ca="1">IF($H1793="UNIDADE CONSTRUTIVA",OFFSET(A1793,-1,0)+1,LARGE(A$3:A1792,1))</f>
        <v>#NUM!</v>
      </c>
      <c r="B1793" s="762">
        <f t="shared" ca="1" si="354"/>
        <v>21</v>
      </c>
      <c r="C1793" s="762">
        <f t="shared" ca="1" si="355"/>
        <v>1</v>
      </c>
      <c r="D1793" s="763">
        <f t="shared" ca="1" si="356"/>
        <v>1</v>
      </c>
      <c r="E1793" s="763">
        <f t="shared" ca="1" si="357"/>
        <v>1</v>
      </c>
      <c r="F1793" s="761"/>
    </row>
    <row r="1794" spans="1:6" x14ac:dyDescent="0.2">
      <c r="A1794" s="762" t="e">
        <f ca="1">IF($H1794="UNIDADE CONSTRUTIVA",OFFSET(A1794,-1,0)+1,LARGE(A$3:A1793,1))</f>
        <v>#NUM!</v>
      </c>
      <c r="B1794" s="762">
        <f t="shared" ca="1" si="354"/>
        <v>21</v>
      </c>
      <c r="C1794" s="762">
        <f t="shared" ca="1" si="355"/>
        <v>1</v>
      </c>
      <c r="D1794" s="763">
        <f t="shared" ca="1" si="356"/>
        <v>1</v>
      </c>
      <c r="E1794" s="763">
        <f t="shared" ca="1" si="357"/>
        <v>1</v>
      </c>
      <c r="F1794" s="761"/>
    </row>
    <row r="1795" spans="1:6" x14ac:dyDescent="0.2">
      <c r="A1795" s="762" t="e">
        <f ca="1">IF($H1795="UNIDADE CONSTRUTIVA",OFFSET(A1795,-1,0)+1,LARGE(A$3:A1794,1))</f>
        <v>#NUM!</v>
      </c>
      <c r="B1795" s="762">
        <f t="shared" ca="1" si="354"/>
        <v>21</v>
      </c>
      <c r="C1795" s="762">
        <f t="shared" ca="1" si="355"/>
        <v>1</v>
      </c>
      <c r="D1795" s="763">
        <f t="shared" ca="1" si="356"/>
        <v>1</v>
      </c>
      <c r="E1795" s="763">
        <f t="shared" ca="1" si="357"/>
        <v>1</v>
      </c>
      <c r="F1795" s="761"/>
    </row>
    <row r="1796" spans="1:6" x14ac:dyDescent="0.2">
      <c r="A1796" s="762" t="e">
        <f ca="1">IF($H1796="UNIDADE CONSTRUTIVA",OFFSET(A1796,-1,0)+1,LARGE(A$3:A1795,1))</f>
        <v>#NUM!</v>
      </c>
      <c r="B1796" s="762">
        <f t="shared" ca="1" si="354"/>
        <v>21</v>
      </c>
      <c r="C1796" s="762">
        <f t="shared" ca="1" si="355"/>
        <v>1</v>
      </c>
      <c r="D1796" s="763">
        <f t="shared" ca="1" si="356"/>
        <v>1</v>
      </c>
      <c r="E1796" s="763">
        <f t="shared" ca="1" si="357"/>
        <v>1</v>
      </c>
      <c r="F1796" s="761"/>
    </row>
    <row r="1797" spans="1:6" x14ac:dyDescent="0.2">
      <c r="A1797" s="762" t="e">
        <f ca="1">IF($H1797="UNIDADE CONSTRUTIVA",OFFSET(A1797,-1,0)+1,LARGE(A$3:A1796,1))</f>
        <v>#NUM!</v>
      </c>
      <c r="B1797" s="762">
        <f t="shared" ca="1" si="354"/>
        <v>21</v>
      </c>
      <c r="C1797" s="762">
        <f t="shared" ca="1" si="355"/>
        <v>1</v>
      </c>
      <c r="D1797" s="763">
        <f t="shared" ca="1" si="356"/>
        <v>1</v>
      </c>
      <c r="E1797" s="763">
        <f t="shared" ca="1" si="357"/>
        <v>1</v>
      </c>
      <c r="F1797" s="761"/>
    </row>
    <row r="1798" spans="1:6" x14ac:dyDescent="0.2">
      <c r="A1798" s="762" t="e">
        <f ca="1">IF($H1798="UNIDADE CONSTRUTIVA",OFFSET(A1798,-1,0)+1,LARGE(A$3:A1797,1))</f>
        <v>#NUM!</v>
      </c>
      <c r="B1798" s="762">
        <f t="shared" ca="1" si="354"/>
        <v>21</v>
      </c>
      <c r="C1798" s="762">
        <f t="shared" ca="1" si="355"/>
        <v>1</v>
      </c>
      <c r="D1798" s="763">
        <f t="shared" ca="1" si="356"/>
        <v>1</v>
      </c>
      <c r="E1798" s="763">
        <f t="shared" ca="1" si="357"/>
        <v>1</v>
      </c>
      <c r="F1798" s="761"/>
    </row>
    <row r="1799" spans="1:6" x14ac:dyDescent="0.2">
      <c r="A1799" s="762" t="e">
        <f ca="1">IF($H1799="UNIDADE CONSTRUTIVA",OFFSET(A1799,-1,0)+1,LARGE(A$3:A1798,1))</f>
        <v>#NUM!</v>
      </c>
      <c r="B1799" s="762">
        <f t="shared" ca="1" si="354"/>
        <v>21</v>
      </c>
      <c r="C1799" s="762">
        <f t="shared" ca="1" si="355"/>
        <v>1</v>
      </c>
      <c r="D1799" s="763">
        <f t="shared" ca="1" si="356"/>
        <v>1</v>
      </c>
      <c r="E1799" s="763">
        <f t="shared" ca="1" si="357"/>
        <v>1</v>
      </c>
      <c r="F1799" s="761"/>
    </row>
    <row r="1800" spans="1:6" x14ac:dyDescent="0.2">
      <c r="A1800" s="762" t="e">
        <f ca="1">IF($H1800="UNIDADE CONSTRUTIVA",OFFSET(A1800,-1,0)+1,LARGE(A$3:A1799,1))</f>
        <v>#NUM!</v>
      </c>
      <c r="B1800" s="762">
        <f t="shared" ca="1" si="354"/>
        <v>21</v>
      </c>
      <c r="C1800" s="762">
        <f t="shared" ca="1" si="355"/>
        <v>1</v>
      </c>
      <c r="D1800" s="763">
        <f t="shared" ca="1" si="356"/>
        <v>1</v>
      </c>
      <c r="E1800" s="763">
        <f t="shared" ca="1" si="357"/>
        <v>1</v>
      </c>
      <c r="F1800" s="761"/>
    </row>
    <row r="1801" spans="1:6" x14ac:dyDescent="0.2">
      <c r="A1801" s="762" t="e">
        <f ca="1">IF($H1801="UNIDADE CONSTRUTIVA",OFFSET(A1801,-1,0)+1,LARGE(A$3:A1800,1))</f>
        <v>#NUM!</v>
      </c>
      <c r="B1801" s="762">
        <f t="shared" ca="1" si="354"/>
        <v>21</v>
      </c>
      <c r="C1801" s="762">
        <f t="shared" ca="1" si="355"/>
        <v>1</v>
      </c>
      <c r="D1801" s="763">
        <f t="shared" ca="1" si="356"/>
        <v>1</v>
      </c>
      <c r="E1801" s="763">
        <f t="shared" ca="1" si="357"/>
        <v>1</v>
      </c>
      <c r="F1801" s="761"/>
    </row>
    <row r="1802" spans="1:6" x14ac:dyDescent="0.2">
      <c r="A1802" s="762" t="e">
        <f ca="1">IF($H1802="UNIDADE CONSTRUTIVA",OFFSET(A1802,-1,0)+1,LARGE(A$3:A1801,1))</f>
        <v>#NUM!</v>
      </c>
      <c r="B1802" s="762">
        <f t="shared" ca="1" si="354"/>
        <v>21</v>
      </c>
      <c r="C1802" s="762">
        <f t="shared" ca="1" si="355"/>
        <v>1</v>
      </c>
      <c r="D1802" s="763">
        <f t="shared" ca="1" si="356"/>
        <v>1</v>
      </c>
      <c r="E1802" s="763">
        <f t="shared" ca="1" si="357"/>
        <v>1</v>
      </c>
      <c r="F1802" s="761"/>
    </row>
    <row r="1803" spans="1:6" x14ac:dyDescent="0.2">
      <c r="A1803" s="762" t="e">
        <f ca="1">IF($H1803="UNIDADE CONSTRUTIVA",OFFSET(A1803,-1,0)+1,LARGE(A$3:A1802,1))</f>
        <v>#NUM!</v>
      </c>
      <c r="B1803" s="762">
        <f t="shared" ca="1" si="354"/>
        <v>21</v>
      </c>
      <c r="C1803" s="762">
        <f t="shared" ca="1" si="355"/>
        <v>1</v>
      </c>
      <c r="D1803" s="763">
        <f t="shared" ca="1" si="356"/>
        <v>1</v>
      </c>
      <c r="E1803" s="763">
        <f t="shared" ca="1" si="357"/>
        <v>1</v>
      </c>
      <c r="F1803" s="761"/>
    </row>
    <row r="1804" spans="1:6" x14ac:dyDescent="0.2">
      <c r="A1804" s="762" t="e">
        <f ca="1">IF($H1804="UNIDADE CONSTRUTIVA",OFFSET(A1804,-1,0)+1,LARGE(A$3:A1803,1))</f>
        <v>#NUM!</v>
      </c>
      <c r="B1804" s="762">
        <f t="shared" ca="1" si="354"/>
        <v>21</v>
      </c>
      <c r="C1804" s="762">
        <f t="shared" ca="1" si="355"/>
        <v>1</v>
      </c>
      <c r="D1804" s="763">
        <f t="shared" ca="1" si="356"/>
        <v>1</v>
      </c>
      <c r="E1804" s="763">
        <f t="shared" ca="1" si="357"/>
        <v>1</v>
      </c>
      <c r="F1804" s="761"/>
    </row>
    <row r="1805" spans="1:6" x14ac:dyDescent="0.2">
      <c r="A1805" s="762" t="e">
        <f ca="1">IF($H1805="UNIDADE CONSTRUTIVA",OFFSET(A1805,-1,0)+1,LARGE(A$3:A1804,1))</f>
        <v>#NUM!</v>
      </c>
      <c r="B1805" s="762">
        <f t="shared" ca="1" si="354"/>
        <v>21</v>
      </c>
      <c r="C1805" s="762">
        <f t="shared" ca="1" si="355"/>
        <v>1</v>
      </c>
      <c r="D1805" s="763">
        <f t="shared" ca="1" si="356"/>
        <v>1</v>
      </c>
      <c r="E1805" s="763">
        <f t="shared" ca="1" si="357"/>
        <v>1</v>
      </c>
      <c r="F1805" s="761"/>
    </row>
    <row r="1806" spans="1:6" x14ac:dyDescent="0.2">
      <c r="A1806" s="762" t="e">
        <f ca="1">IF($H1806="UNIDADE CONSTRUTIVA",OFFSET(A1806,-1,0)+1,LARGE(A$3:A1805,1))</f>
        <v>#NUM!</v>
      </c>
      <c r="B1806" s="762">
        <f t="shared" ca="1" si="354"/>
        <v>21</v>
      </c>
      <c r="C1806" s="762">
        <f t="shared" ca="1" si="355"/>
        <v>1</v>
      </c>
      <c r="D1806" s="763">
        <f t="shared" ca="1" si="356"/>
        <v>1</v>
      </c>
      <c r="E1806" s="763">
        <f t="shared" ca="1" si="357"/>
        <v>1</v>
      </c>
      <c r="F1806" s="761"/>
    </row>
    <row r="1807" spans="1:6" x14ac:dyDescent="0.2">
      <c r="A1807" s="762" t="e">
        <f ca="1">IF($H1807="UNIDADE CONSTRUTIVA",OFFSET(A1807,-1,0)+1,LARGE(A$3:A1806,1))</f>
        <v>#NUM!</v>
      </c>
      <c r="B1807" s="762">
        <f t="shared" ca="1" si="354"/>
        <v>21</v>
      </c>
      <c r="C1807" s="762">
        <f t="shared" ca="1" si="355"/>
        <v>1</v>
      </c>
      <c r="D1807" s="763">
        <f t="shared" ca="1" si="356"/>
        <v>1</v>
      </c>
      <c r="E1807" s="763">
        <f t="shared" ca="1" si="357"/>
        <v>1</v>
      </c>
      <c r="F1807" s="761"/>
    </row>
    <row r="1808" spans="1:6" x14ac:dyDescent="0.2">
      <c r="A1808" s="762" t="e">
        <f ca="1">IF($H1808="UNIDADE CONSTRUTIVA",OFFSET(A1808,-1,0)+1,LARGE(A$3:A1807,1))</f>
        <v>#NUM!</v>
      </c>
      <c r="B1808" s="762">
        <f t="shared" ca="1" si="354"/>
        <v>21</v>
      </c>
      <c r="C1808" s="762">
        <f t="shared" ca="1" si="355"/>
        <v>1</v>
      </c>
      <c r="D1808" s="763">
        <f t="shared" ca="1" si="356"/>
        <v>1</v>
      </c>
      <c r="E1808" s="763">
        <f t="shared" ca="1" si="357"/>
        <v>1</v>
      </c>
      <c r="F1808" s="761"/>
    </row>
    <row r="1809" spans="1:6" x14ac:dyDescent="0.2">
      <c r="A1809" s="762" t="e">
        <f ca="1">IF($H1809="UNIDADE CONSTRUTIVA",OFFSET(A1809,-1,0)+1,LARGE(A$3:A1808,1))</f>
        <v>#NUM!</v>
      </c>
      <c r="B1809" s="762">
        <f t="shared" ca="1" si="354"/>
        <v>21</v>
      </c>
      <c r="C1809" s="762">
        <f t="shared" ca="1" si="355"/>
        <v>1</v>
      </c>
      <c r="D1809" s="763">
        <f t="shared" ca="1" si="356"/>
        <v>1</v>
      </c>
      <c r="E1809" s="763">
        <f t="shared" ca="1" si="357"/>
        <v>1</v>
      </c>
      <c r="F1809" s="761"/>
    </row>
    <row r="1810" spans="1:6" x14ac:dyDescent="0.2">
      <c r="A1810" s="762" t="e">
        <f ca="1">IF($H1810="UNIDADE CONSTRUTIVA",OFFSET(A1810,-1,0)+1,LARGE(A$3:A1809,1))</f>
        <v>#NUM!</v>
      </c>
      <c r="B1810" s="762">
        <f t="shared" ca="1" si="354"/>
        <v>21</v>
      </c>
      <c r="C1810" s="762">
        <f t="shared" ca="1" si="355"/>
        <v>1</v>
      </c>
      <c r="D1810" s="763">
        <f t="shared" ca="1" si="356"/>
        <v>1</v>
      </c>
      <c r="E1810" s="763">
        <f t="shared" ca="1" si="357"/>
        <v>1</v>
      </c>
      <c r="F1810" s="761"/>
    </row>
    <row r="1811" spans="1:6" x14ac:dyDescent="0.2">
      <c r="A1811" s="762" t="e">
        <f ca="1">IF($H1811="UNIDADE CONSTRUTIVA",OFFSET(A1811,-1,0)+1,LARGE(A$3:A1810,1))</f>
        <v>#NUM!</v>
      </c>
      <c r="B1811" s="762">
        <f t="shared" ca="1" si="354"/>
        <v>21</v>
      </c>
      <c r="C1811" s="762">
        <f t="shared" ca="1" si="355"/>
        <v>1</v>
      </c>
      <c r="D1811" s="763">
        <f t="shared" ca="1" si="356"/>
        <v>1</v>
      </c>
      <c r="E1811" s="763">
        <f t="shared" ca="1" si="357"/>
        <v>1</v>
      </c>
      <c r="F1811" s="761"/>
    </row>
    <row r="1812" spans="1:6" x14ac:dyDescent="0.2">
      <c r="A1812" s="762" t="e">
        <f ca="1">IF($H1812="UNIDADE CONSTRUTIVA",OFFSET(A1812,-1,0)+1,LARGE(A$3:A1811,1))</f>
        <v>#NUM!</v>
      </c>
      <c r="B1812" s="762">
        <f t="shared" ca="1" si="354"/>
        <v>21</v>
      </c>
      <c r="C1812" s="762">
        <f t="shared" ca="1" si="355"/>
        <v>1</v>
      </c>
      <c r="D1812" s="763">
        <f t="shared" ca="1" si="356"/>
        <v>1</v>
      </c>
      <c r="E1812" s="763">
        <f t="shared" ca="1" si="357"/>
        <v>1</v>
      </c>
      <c r="F1812" s="761"/>
    </row>
    <row r="1813" spans="1:6" x14ac:dyDescent="0.2">
      <c r="A1813" s="762" t="e">
        <f ca="1">IF($H1813="UNIDADE CONSTRUTIVA",OFFSET(A1813,-1,0)+1,LARGE(A$3:A1812,1))</f>
        <v>#NUM!</v>
      </c>
      <c r="B1813" s="762">
        <f t="shared" ca="1" si="354"/>
        <v>21</v>
      </c>
      <c r="C1813" s="762">
        <f t="shared" ca="1" si="355"/>
        <v>1</v>
      </c>
      <c r="D1813" s="763">
        <f t="shared" ca="1" si="356"/>
        <v>1</v>
      </c>
      <c r="E1813" s="763">
        <f t="shared" ca="1" si="357"/>
        <v>1</v>
      </c>
      <c r="F1813" s="761"/>
    </row>
    <row r="1814" spans="1:6" x14ac:dyDescent="0.2">
      <c r="A1814" s="762" t="e">
        <f ca="1">IF($H1814="UNIDADE CONSTRUTIVA",OFFSET(A1814,-1,0)+1,LARGE(A$3:A1813,1))</f>
        <v>#NUM!</v>
      </c>
      <c r="B1814" s="762">
        <f t="shared" ca="1" si="354"/>
        <v>21</v>
      </c>
      <c r="C1814" s="762">
        <f t="shared" ca="1" si="355"/>
        <v>1</v>
      </c>
      <c r="D1814" s="763">
        <f t="shared" ca="1" si="356"/>
        <v>1</v>
      </c>
      <c r="E1814" s="763">
        <f t="shared" ca="1" si="357"/>
        <v>1</v>
      </c>
      <c r="F1814" s="761"/>
    </row>
    <row r="1815" spans="1:6" x14ac:dyDescent="0.2">
      <c r="A1815" s="762" t="e">
        <f ca="1">IF($H1815="UNIDADE CONSTRUTIVA",OFFSET(A1815,-1,0)+1,LARGE(A$3:A1814,1))</f>
        <v>#NUM!</v>
      </c>
      <c r="B1815" s="762">
        <f t="shared" ca="1" si="354"/>
        <v>21</v>
      </c>
      <c r="C1815" s="762">
        <f t="shared" ca="1" si="355"/>
        <v>1</v>
      </c>
      <c r="D1815" s="763">
        <f t="shared" ca="1" si="356"/>
        <v>1</v>
      </c>
      <c r="E1815" s="763">
        <f t="shared" ca="1" si="357"/>
        <v>1</v>
      </c>
      <c r="F1815" s="761"/>
    </row>
    <row r="1816" spans="1:6" x14ac:dyDescent="0.2">
      <c r="A1816" s="762" t="e">
        <f ca="1">IF($H1816="UNIDADE CONSTRUTIVA",OFFSET(A1816,-1,0)+1,LARGE(A$3:A1815,1))</f>
        <v>#NUM!</v>
      </c>
      <c r="B1816" s="762">
        <f t="shared" ca="1" si="354"/>
        <v>21</v>
      </c>
      <c r="C1816" s="762">
        <f t="shared" ca="1" si="355"/>
        <v>1</v>
      </c>
      <c r="D1816" s="763">
        <f t="shared" ca="1" si="356"/>
        <v>1</v>
      </c>
      <c r="E1816" s="763">
        <f t="shared" ca="1" si="357"/>
        <v>1</v>
      </c>
      <c r="F1816" s="761"/>
    </row>
    <row r="1817" spans="1:6" x14ac:dyDescent="0.2">
      <c r="A1817" s="762" t="e">
        <f ca="1">IF($H1817="UNIDADE CONSTRUTIVA",OFFSET(A1817,-1,0)+1,LARGE(A$3:A1816,1))</f>
        <v>#NUM!</v>
      </c>
      <c r="B1817" s="762">
        <f t="shared" ca="1" si="354"/>
        <v>21</v>
      </c>
      <c r="C1817" s="762">
        <f t="shared" ca="1" si="355"/>
        <v>1</v>
      </c>
      <c r="D1817" s="763">
        <f t="shared" ca="1" si="356"/>
        <v>1</v>
      </c>
      <c r="E1817" s="763">
        <f t="shared" ca="1" si="357"/>
        <v>1</v>
      </c>
      <c r="F1817" s="761"/>
    </row>
    <row r="1818" spans="1:6" x14ac:dyDescent="0.2">
      <c r="A1818" s="762" t="e">
        <f ca="1">IF($H1818="UNIDADE CONSTRUTIVA",OFFSET(A1818,-1,0)+1,LARGE(A$3:A1817,1))</f>
        <v>#NUM!</v>
      </c>
      <c r="B1818" s="762">
        <f t="shared" ca="1" si="354"/>
        <v>21</v>
      </c>
      <c r="C1818" s="762">
        <f t="shared" ca="1" si="355"/>
        <v>1</v>
      </c>
      <c r="D1818" s="763">
        <f t="shared" ca="1" si="356"/>
        <v>1</v>
      </c>
      <c r="E1818" s="763">
        <f t="shared" ca="1" si="357"/>
        <v>1</v>
      </c>
      <c r="F1818" s="761"/>
    </row>
    <row r="1819" spans="1:6" x14ac:dyDescent="0.2">
      <c r="A1819" s="762" t="e">
        <f ca="1">IF($H1819="UNIDADE CONSTRUTIVA",OFFSET(A1819,-1,0)+1,LARGE(A$3:A1818,1))</f>
        <v>#NUM!</v>
      </c>
      <c r="B1819" s="762">
        <f t="shared" ca="1" si="354"/>
        <v>21</v>
      </c>
      <c r="C1819" s="762">
        <f t="shared" ca="1" si="355"/>
        <v>1</v>
      </c>
      <c r="D1819" s="763">
        <f t="shared" ca="1" si="356"/>
        <v>1</v>
      </c>
      <c r="E1819" s="763">
        <f t="shared" ca="1" si="357"/>
        <v>1</v>
      </c>
      <c r="F1819" s="761"/>
    </row>
    <row r="1820" spans="1:6" x14ac:dyDescent="0.2">
      <c r="A1820" s="762" t="e">
        <f ca="1">IF($H1820="UNIDADE CONSTRUTIVA",OFFSET(A1820,-1,0)+1,LARGE(A$3:A1819,1))</f>
        <v>#NUM!</v>
      </c>
      <c r="B1820" s="762">
        <f t="shared" ca="1" si="354"/>
        <v>21</v>
      </c>
      <c r="C1820" s="762">
        <f t="shared" ca="1" si="355"/>
        <v>1</v>
      </c>
      <c r="D1820" s="763">
        <f t="shared" ca="1" si="356"/>
        <v>1</v>
      </c>
      <c r="E1820" s="763">
        <f t="shared" ca="1" si="357"/>
        <v>1</v>
      </c>
      <c r="F1820" s="761"/>
    </row>
    <row r="1821" spans="1:6" x14ac:dyDescent="0.2">
      <c r="A1821" s="762" t="e">
        <f ca="1">IF($H1821="UNIDADE CONSTRUTIVA",OFFSET(A1821,-1,0)+1,LARGE(A$3:A1820,1))</f>
        <v>#NUM!</v>
      </c>
      <c r="B1821" s="762">
        <f t="shared" ca="1" si="354"/>
        <v>21</v>
      </c>
      <c r="C1821" s="762">
        <f t="shared" ca="1" si="355"/>
        <v>1</v>
      </c>
      <c r="D1821" s="763">
        <f t="shared" ca="1" si="356"/>
        <v>1</v>
      </c>
      <c r="E1821" s="763">
        <f t="shared" ca="1" si="357"/>
        <v>1</v>
      </c>
      <c r="F1821" s="761"/>
    </row>
    <row r="1822" spans="1:6" x14ac:dyDescent="0.2">
      <c r="A1822" s="762" t="e">
        <f ca="1">IF($H1822="UNIDADE CONSTRUTIVA",OFFSET(A1822,-1,0)+1,LARGE(A$3:A1821,1))</f>
        <v>#NUM!</v>
      </c>
      <c r="B1822" s="762">
        <f t="shared" ca="1" si="354"/>
        <v>21</v>
      </c>
      <c r="C1822" s="762">
        <f t="shared" ca="1" si="355"/>
        <v>1</v>
      </c>
      <c r="D1822" s="763">
        <f t="shared" ca="1" si="356"/>
        <v>1</v>
      </c>
      <c r="E1822" s="763">
        <f t="shared" ca="1" si="357"/>
        <v>1</v>
      </c>
      <c r="F1822" s="761"/>
    </row>
    <row r="1823" spans="1:6" x14ac:dyDescent="0.2">
      <c r="A1823" s="762" t="e">
        <f ca="1">IF($H1823="UNIDADE CONSTRUTIVA",OFFSET(A1823,-1,0)+1,LARGE(A$3:A1822,1))</f>
        <v>#NUM!</v>
      </c>
      <c r="B1823" s="762">
        <f t="shared" ca="1" si="354"/>
        <v>21</v>
      </c>
      <c r="C1823" s="762">
        <f t="shared" ca="1" si="355"/>
        <v>1</v>
      </c>
      <c r="D1823" s="763">
        <f t="shared" ca="1" si="356"/>
        <v>1</v>
      </c>
      <c r="E1823" s="763">
        <f t="shared" ca="1" si="357"/>
        <v>1</v>
      </c>
      <c r="F1823" s="761"/>
    </row>
    <row r="1824" spans="1:6" x14ac:dyDescent="0.2">
      <c r="A1824" s="762" t="e">
        <f ca="1">IF($H1824="UNIDADE CONSTRUTIVA",OFFSET(A1824,-1,0)+1,LARGE(A$3:A1823,1))</f>
        <v>#NUM!</v>
      </c>
      <c r="B1824" s="762">
        <f t="shared" ca="1" si="354"/>
        <v>21</v>
      </c>
      <c r="C1824" s="762">
        <f t="shared" ca="1" si="355"/>
        <v>1</v>
      </c>
      <c r="D1824" s="763">
        <f t="shared" ca="1" si="356"/>
        <v>1</v>
      </c>
      <c r="E1824" s="763">
        <f t="shared" ca="1" si="357"/>
        <v>1</v>
      </c>
      <c r="F1824" s="761"/>
    </row>
    <row r="1825" spans="1:6" x14ac:dyDescent="0.2">
      <c r="A1825" s="762" t="e">
        <f ca="1">IF($H1825="UNIDADE CONSTRUTIVA",OFFSET(A1825,-1,0)+1,LARGE(A$3:A1824,1))</f>
        <v>#NUM!</v>
      </c>
      <c r="B1825" s="762">
        <f t="shared" ca="1" si="354"/>
        <v>21</v>
      </c>
      <c r="C1825" s="762">
        <f t="shared" ca="1" si="355"/>
        <v>1</v>
      </c>
      <c r="D1825" s="763">
        <f t="shared" ca="1" si="356"/>
        <v>1</v>
      </c>
      <c r="E1825" s="763">
        <f t="shared" ca="1" si="357"/>
        <v>1</v>
      </c>
      <c r="F1825" s="761"/>
    </row>
    <row r="1826" spans="1:6" x14ac:dyDescent="0.2">
      <c r="A1826" s="762" t="e">
        <f ca="1">IF($H1826="UNIDADE CONSTRUTIVA",OFFSET(A1826,-1,0)+1,LARGE(A$3:A1825,1))</f>
        <v>#NUM!</v>
      </c>
      <c r="B1826" s="762">
        <f t="shared" ca="1" si="354"/>
        <v>21</v>
      </c>
      <c r="C1826" s="762">
        <f t="shared" ca="1" si="355"/>
        <v>1</v>
      </c>
      <c r="D1826" s="763">
        <f t="shared" ca="1" si="356"/>
        <v>1</v>
      </c>
      <c r="E1826" s="763">
        <f t="shared" ca="1" si="357"/>
        <v>1</v>
      </c>
      <c r="F1826" s="761"/>
    </row>
    <row r="1827" spans="1:6" x14ac:dyDescent="0.2">
      <c r="A1827" s="762" t="e">
        <f ca="1">IF($H1827="UNIDADE CONSTRUTIVA",OFFSET(A1827,-1,0)+1,LARGE(A$3:A1826,1))</f>
        <v>#NUM!</v>
      </c>
      <c r="B1827" s="762">
        <f t="shared" ca="1" si="354"/>
        <v>21</v>
      </c>
      <c r="C1827" s="762">
        <f t="shared" ca="1" si="355"/>
        <v>1</v>
      </c>
      <c r="D1827" s="763">
        <f t="shared" ca="1" si="356"/>
        <v>1</v>
      </c>
      <c r="E1827" s="763">
        <f t="shared" ca="1" si="357"/>
        <v>1</v>
      </c>
      <c r="F1827" s="761"/>
    </row>
    <row r="1828" spans="1:6" x14ac:dyDescent="0.2">
      <c r="A1828" s="762" t="e">
        <f ca="1">IF($H1828="UNIDADE CONSTRUTIVA",OFFSET(A1828,-1,0)+1,LARGE(A$3:A1827,1))</f>
        <v>#NUM!</v>
      </c>
      <c r="B1828" s="762">
        <f t="shared" ca="1" si="354"/>
        <v>21</v>
      </c>
      <c r="C1828" s="762">
        <f t="shared" ca="1" si="355"/>
        <v>1</v>
      </c>
      <c r="D1828" s="763">
        <f t="shared" ca="1" si="356"/>
        <v>1</v>
      </c>
      <c r="E1828" s="763">
        <f t="shared" ca="1" si="357"/>
        <v>1</v>
      </c>
      <c r="F1828" s="761"/>
    </row>
    <row r="1829" spans="1:6" x14ac:dyDescent="0.2">
      <c r="A1829" s="762" t="e">
        <f ca="1">IF($H1829="UNIDADE CONSTRUTIVA",OFFSET(A1829,-1,0)+1,LARGE(A$3:A1828,1))</f>
        <v>#NUM!</v>
      </c>
      <c r="B1829" s="762">
        <f t="shared" ca="1" si="354"/>
        <v>21</v>
      </c>
      <c r="C1829" s="762">
        <f t="shared" ca="1" si="355"/>
        <v>1</v>
      </c>
      <c r="D1829" s="763">
        <f t="shared" ca="1" si="356"/>
        <v>1</v>
      </c>
      <c r="E1829" s="763">
        <f t="shared" ca="1" si="357"/>
        <v>1</v>
      </c>
      <c r="F1829" s="761"/>
    </row>
    <row r="1830" spans="1:6" x14ac:dyDescent="0.2">
      <c r="A1830" s="762" t="e">
        <f ca="1">IF($H1830="UNIDADE CONSTRUTIVA",OFFSET(A1830,-1,0)+1,LARGE(A$3:A1829,1))</f>
        <v>#NUM!</v>
      </c>
      <c r="B1830" s="762">
        <f t="shared" ca="1" si="354"/>
        <v>21</v>
      </c>
      <c r="C1830" s="762">
        <f t="shared" ca="1" si="355"/>
        <v>1</v>
      </c>
      <c r="D1830" s="763">
        <f t="shared" ca="1" si="356"/>
        <v>1</v>
      </c>
      <c r="E1830" s="763">
        <f t="shared" ca="1" si="357"/>
        <v>1</v>
      </c>
      <c r="F1830" s="761"/>
    </row>
    <row r="1831" spans="1:6" x14ac:dyDescent="0.2">
      <c r="A1831" s="762" t="e">
        <f ca="1">IF($H1831="UNIDADE CONSTRUTIVA",OFFSET(A1831,-1,0)+1,LARGE(A$3:A1830,1))</f>
        <v>#NUM!</v>
      </c>
      <c r="B1831" s="762">
        <f t="shared" ca="1" si="354"/>
        <v>21</v>
      </c>
      <c r="C1831" s="762">
        <f t="shared" ca="1" si="355"/>
        <v>1</v>
      </c>
      <c r="D1831" s="763">
        <f t="shared" ca="1" si="356"/>
        <v>1</v>
      </c>
      <c r="E1831" s="763">
        <f t="shared" ca="1" si="357"/>
        <v>1</v>
      </c>
      <c r="F1831" s="761"/>
    </row>
    <row r="1832" spans="1:6" x14ac:dyDescent="0.2">
      <c r="A1832" s="762" t="e">
        <f ca="1">IF($H1832="UNIDADE CONSTRUTIVA",OFFSET(A1832,-1,0)+1,LARGE(A$3:A1831,1))</f>
        <v>#NUM!</v>
      </c>
      <c r="B1832" s="762">
        <f t="shared" ca="1" si="354"/>
        <v>21</v>
      </c>
      <c r="C1832" s="762">
        <f t="shared" ca="1" si="355"/>
        <v>1</v>
      </c>
      <c r="D1832" s="763">
        <f t="shared" ca="1" si="356"/>
        <v>1</v>
      </c>
      <c r="E1832" s="763">
        <f t="shared" ca="1" si="357"/>
        <v>1</v>
      </c>
      <c r="F1832" s="761"/>
    </row>
    <row r="1833" spans="1:6" x14ac:dyDescent="0.2">
      <c r="A1833" s="762" t="e">
        <f ca="1">IF($H1833="UNIDADE CONSTRUTIVA",OFFSET(A1833,-1,0)+1,LARGE(A$3:A1832,1))</f>
        <v>#NUM!</v>
      </c>
      <c r="B1833" s="762">
        <f t="shared" ca="1" si="354"/>
        <v>21</v>
      </c>
      <c r="C1833" s="762">
        <f t="shared" ca="1" si="355"/>
        <v>1</v>
      </c>
      <c r="D1833" s="763">
        <f t="shared" ca="1" si="356"/>
        <v>1</v>
      </c>
      <c r="E1833" s="763">
        <f t="shared" ca="1" si="357"/>
        <v>1</v>
      </c>
      <c r="F1833" s="761"/>
    </row>
    <row r="1834" spans="1:6" x14ac:dyDescent="0.2">
      <c r="A1834" s="762" t="e">
        <f ca="1">IF($H1834="UNIDADE CONSTRUTIVA",OFFSET(A1834,-1,0)+1,LARGE(A$3:A1833,1))</f>
        <v>#NUM!</v>
      </c>
      <c r="B1834" s="762">
        <f t="shared" ca="1" si="354"/>
        <v>21</v>
      </c>
      <c r="C1834" s="762">
        <f t="shared" ca="1" si="355"/>
        <v>1</v>
      </c>
      <c r="D1834" s="763">
        <f t="shared" ca="1" si="356"/>
        <v>1</v>
      </c>
      <c r="E1834" s="763">
        <f t="shared" ca="1" si="357"/>
        <v>1</v>
      </c>
      <c r="F1834" s="761"/>
    </row>
    <row r="1835" spans="1:6" x14ac:dyDescent="0.2">
      <c r="A1835" s="762" t="e">
        <f ca="1">IF($H1835="UNIDADE CONSTRUTIVA",OFFSET(A1835,-1,0)+1,LARGE(A$3:A1834,1))</f>
        <v>#NUM!</v>
      </c>
      <c r="B1835" s="762">
        <f t="shared" ca="1" si="354"/>
        <v>21</v>
      </c>
      <c r="C1835" s="762">
        <f t="shared" ca="1" si="355"/>
        <v>1</v>
      </c>
      <c r="D1835" s="763">
        <f t="shared" ca="1" si="356"/>
        <v>1</v>
      </c>
      <c r="E1835" s="763">
        <f t="shared" ca="1" si="357"/>
        <v>1</v>
      </c>
      <c r="F1835" s="761"/>
    </row>
    <row r="1836" spans="1:6" x14ac:dyDescent="0.2">
      <c r="A1836" s="762" t="e">
        <f ca="1">IF($H1836="UNIDADE CONSTRUTIVA",OFFSET(A1836,-1,0)+1,LARGE(A$3:A1835,1))</f>
        <v>#NUM!</v>
      </c>
      <c r="B1836" s="762">
        <f t="shared" ca="1" si="354"/>
        <v>21</v>
      </c>
      <c r="C1836" s="762">
        <f t="shared" ca="1" si="355"/>
        <v>1</v>
      </c>
      <c r="D1836" s="763">
        <f t="shared" ca="1" si="356"/>
        <v>1</v>
      </c>
      <c r="E1836" s="763">
        <f t="shared" ca="1" si="357"/>
        <v>1</v>
      </c>
      <c r="F1836" s="761"/>
    </row>
    <row r="1837" spans="1:6" x14ac:dyDescent="0.2">
      <c r="A1837" s="762" t="e">
        <f ca="1">IF($H1837="UNIDADE CONSTRUTIVA",OFFSET(A1837,-1,0)+1,LARGE(A$3:A1836,1))</f>
        <v>#NUM!</v>
      </c>
      <c r="B1837" s="762">
        <f t="shared" ca="1" si="354"/>
        <v>21</v>
      </c>
      <c r="C1837" s="762">
        <f t="shared" ca="1" si="355"/>
        <v>1</v>
      </c>
      <c r="D1837" s="763">
        <f t="shared" ca="1" si="356"/>
        <v>1</v>
      </c>
      <c r="E1837" s="763">
        <f t="shared" ca="1" si="357"/>
        <v>1</v>
      </c>
      <c r="F1837" s="761"/>
    </row>
    <row r="1838" spans="1:6" x14ac:dyDescent="0.2">
      <c r="A1838" s="762" t="e">
        <f ca="1">IF($H1838="UNIDADE CONSTRUTIVA",OFFSET(A1838,-1,0)+1,LARGE(A$3:A1837,1))</f>
        <v>#NUM!</v>
      </c>
      <c r="B1838" s="762">
        <f t="shared" ca="1" si="354"/>
        <v>21</v>
      </c>
      <c r="C1838" s="762">
        <f t="shared" ca="1" si="355"/>
        <v>1</v>
      </c>
      <c r="D1838" s="763">
        <f t="shared" ca="1" si="356"/>
        <v>1</v>
      </c>
      <c r="E1838" s="763">
        <f t="shared" ca="1" si="357"/>
        <v>1</v>
      </c>
      <c r="F1838" s="761"/>
    </row>
    <row r="1839" spans="1:6" x14ac:dyDescent="0.2">
      <c r="A1839" s="762" t="e">
        <f ca="1">IF($H1839="UNIDADE CONSTRUTIVA",OFFSET(A1839,-1,0)+1,LARGE(A$3:A1838,1))</f>
        <v>#NUM!</v>
      </c>
      <c r="B1839" s="762">
        <f t="shared" ca="1" si="354"/>
        <v>21</v>
      </c>
      <c r="C1839" s="762">
        <f t="shared" ca="1" si="355"/>
        <v>1</v>
      </c>
      <c r="D1839" s="763">
        <f t="shared" ca="1" si="356"/>
        <v>1</v>
      </c>
      <c r="E1839" s="763">
        <f t="shared" ca="1" si="357"/>
        <v>1</v>
      </c>
      <c r="F1839" s="761"/>
    </row>
    <row r="1840" spans="1:6" x14ac:dyDescent="0.2">
      <c r="A1840" s="762" t="e">
        <f ca="1">IF($H1840="UNIDADE CONSTRUTIVA",OFFSET(A1840,-1,0)+1,LARGE(A$3:A1839,1))</f>
        <v>#NUM!</v>
      </c>
      <c r="B1840" s="762">
        <f t="shared" ca="1" si="354"/>
        <v>21</v>
      </c>
      <c r="C1840" s="762">
        <f t="shared" ca="1" si="355"/>
        <v>1</v>
      </c>
      <c r="D1840" s="763">
        <f t="shared" ca="1" si="356"/>
        <v>1</v>
      </c>
      <c r="E1840" s="763">
        <f t="shared" ca="1" si="357"/>
        <v>1</v>
      </c>
      <c r="F1840" s="761"/>
    </row>
    <row r="1841" spans="1:6" x14ac:dyDescent="0.2">
      <c r="A1841" s="762" t="e">
        <f ca="1">IF($H1841="UNIDADE CONSTRUTIVA",OFFSET(A1841,-1,0)+1,LARGE(A$3:A1840,1))</f>
        <v>#NUM!</v>
      </c>
      <c r="B1841" s="762">
        <f t="shared" ca="1" si="354"/>
        <v>21</v>
      </c>
      <c r="C1841" s="762">
        <f t="shared" ca="1" si="355"/>
        <v>1</v>
      </c>
      <c r="D1841" s="763">
        <f t="shared" ca="1" si="356"/>
        <v>1</v>
      </c>
      <c r="E1841" s="763">
        <f t="shared" ca="1" si="357"/>
        <v>1</v>
      </c>
      <c r="F1841" s="761"/>
    </row>
    <row r="1842" spans="1:6" x14ac:dyDescent="0.2">
      <c r="A1842" s="762" t="e">
        <f ca="1">IF($H1842="UNIDADE CONSTRUTIVA",OFFSET(A1842,-1,0)+1,LARGE(A$3:A1841,1))</f>
        <v>#NUM!</v>
      </c>
      <c r="B1842" s="762">
        <f t="shared" ref="B1842:B1905" ca="1" si="358">IF(H1842="UNIDADE CONSTRUTIVA",0,IF(H1842="CÉLULA CONSTRUTIVA",OFFSET(B1842,-1,0)+1,OFFSET(B1842,-1,0)))</f>
        <v>21</v>
      </c>
      <c r="C1842" s="762">
        <f t="shared" ref="C1842:C1905" ca="1" si="359">IF(H1842="CÉLULA CONSTRUTIVA",0,IF(H1842="ETAPA",OFFSET(C1842,-1,0)+1,OFFSET(C1842,-1,0)))</f>
        <v>1</v>
      </c>
      <c r="D1842" s="763">
        <f t="shared" ref="D1842:D1905" ca="1" si="360">IF(H1842="ETAPA",0,IF(H1842="SUBETAPA",OFFSET(D1842,-1,0)+1,OFFSET(D1842,-1,0)))</f>
        <v>1</v>
      </c>
      <c r="E1842" s="763">
        <f t="shared" ref="E1842:E1905" ca="1" si="361">IF(H1842="Subetapa",0,IF(H1842="serviço",OFFSET(E1842,-1,0)+1,OFFSET(E1842,-1,0)))</f>
        <v>1</v>
      </c>
      <c r="F1842" s="761"/>
    </row>
    <row r="1843" spans="1:6" x14ac:dyDescent="0.2">
      <c r="A1843" s="762" t="e">
        <f ca="1">IF($H1843="UNIDADE CONSTRUTIVA",OFFSET(A1843,-1,0)+1,LARGE(A$3:A1842,1))</f>
        <v>#NUM!</v>
      </c>
      <c r="B1843" s="762">
        <f t="shared" ca="1" si="358"/>
        <v>21</v>
      </c>
      <c r="C1843" s="762">
        <f t="shared" ca="1" si="359"/>
        <v>1</v>
      </c>
      <c r="D1843" s="763">
        <f t="shared" ca="1" si="360"/>
        <v>1</v>
      </c>
      <c r="E1843" s="763">
        <f t="shared" ca="1" si="361"/>
        <v>1</v>
      </c>
      <c r="F1843" s="761"/>
    </row>
    <row r="1844" spans="1:6" x14ac:dyDescent="0.2">
      <c r="A1844" s="762" t="e">
        <f ca="1">IF($H1844="UNIDADE CONSTRUTIVA",OFFSET(A1844,-1,0)+1,LARGE(A$3:A1843,1))</f>
        <v>#NUM!</v>
      </c>
      <c r="B1844" s="762">
        <f t="shared" ca="1" si="358"/>
        <v>21</v>
      </c>
      <c r="C1844" s="762">
        <f t="shared" ca="1" si="359"/>
        <v>1</v>
      </c>
      <c r="D1844" s="763">
        <f t="shared" ca="1" si="360"/>
        <v>1</v>
      </c>
      <c r="E1844" s="763">
        <f t="shared" ca="1" si="361"/>
        <v>1</v>
      </c>
      <c r="F1844" s="761"/>
    </row>
    <row r="1845" spans="1:6" x14ac:dyDescent="0.2">
      <c r="A1845" s="762" t="e">
        <f ca="1">IF($H1845="UNIDADE CONSTRUTIVA",OFFSET(A1845,-1,0)+1,LARGE(A$3:A1844,1))</f>
        <v>#NUM!</v>
      </c>
      <c r="B1845" s="762">
        <f t="shared" ca="1" si="358"/>
        <v>21</v>
      </c>
      <c r="C1845" s="762">
        <f t="shared" ca="1" si="359"/>
        <v>1</v>
      </c>
      <c r="D1845" s="763">
        <f t="shared" ca="1" si="360"/>
        <v>1</v>
      </c>
      <c r="E1845" s="763">
        <f t="shared" ca="1" si="361"/>
        <v>1</v>
      </c>
      <c r="F1845" s="761"/>
    </row>
    <row r="1846" spans="1:6" x14ac:dyDescent="0.2">
      <c r="A1846" s="762" t="e">
        <f ca="1">IF($H1846="UNIDADE CONSTRUTIVA",OFFSET(A1846,-1,0)+1,LARGE(A$3:A1845,1))</f>
        <v>#NUM!</v>
      </c>
      <c r="B1846" s="762">
        <f t="shared" ca="1" si="358"/>
        <v>21</v>
      </c>
      <c r="C1846" s="762">
        <f t="shared" ca="1" si="359"/>
        <v>1</v>
      </c>
      <c r="D1846" s="763">
        <f t="shared" ca="1" si="360"/>
        <v>1</v>
      </c>
      <c r="E1846" s="763">
        <f t="shared" ca="1" si="361"/>
        <v>1</v>
      </c>
      <c r="F1846" s="761"/>
    </row>
    <row r="1847" spans="1:6" x14ac:dyDescent="0.2">
      <c r="A1847" s="762" t="e">
        <f ca="1">IF($H1847="UNIDADE CONSTRUTIVA",OFFSET(A1847,-1,0)+1,LARGE(A$3:A1846,1))</f>
        <v>#NUM!</v>
      </c>
      <c r="B1847" s="762">
        <f t="shared" ca="1" si="358"/>
        <v>21</v>
      </c>
      <c r="C1847" s="762">
        <f t="shared" ca="1" si="359"/>
        <v>1</v>
      </c>
      <c r="D1847" s="763">
        <f t="shared" ca="1" si="360"/>
        <v>1</v>
      </c>
      <c r="E1847" s="763">
        <f t="shared" ca="1" si="361"/>
        <v>1</v>
      </c>
      <c r="F1847" s="761"/>
    </row>
    <row r="1848" spans="1:6" x14ac:dyDescent="0.2">
      <c r="A1848" s="762" t="e">
        <f ca="1">IF($H1848="UNIDADE CONSTRUTIVA",OFFSET(A1848,-1,0)+1,LARGE(A$3:A1847,1))</f>
        <v>#NUM!</v>
      </c>
      <c r="B1848" s="762">
        <f t="shared" ca="1" si="358"/>
        <v>21</v>
      </c>
      <c r="C1848" s="762">
        <f t="shared" ca="1" si="359"/>
        <v>1</v>
      </c>
      <c r="D1848" s="763">
        <f t="shared" ca="1" si="360"/>
        <v>1</v>
      </c>
      <c r="E1848" s="763">
        <f t="shared" ca="1" si="361"/>
        <v>1</v>
      </c>
      <c r="F1848" s="761"/>
    </row>
    <row r="1849" spans="1:6" x14ac:dyDescent="0.2">
      <c r="A1849" s="762" t="e">
        <f ca="1">IF($H1849="UNIDADE CONSTRUTIVA",OFFSET(A1849,-1,0)+1,LARGE(A$3:A1848,1))</f>
        <v>#NUM!</v>
      </c>
      <c r="B1849" s="762">
        <f t="shared" ca="1" si="358"/>
        <v>21</v>
      </c>
      <c r="C1849" s="762">
        <f t="shared" ca="1" si="359"/>
        <v>1</v>
      </c>
      <c r="D1849" s="763">
        <f t="shared" ca="1" si="360"/>
        <v>1</v>
      </c>
      <c r="E1849" s="763">
        <f t="shared" ca="1" si="361"/>
        <v>1</v>
      </c>
      <c r="F1849" s="761"/>
    </row>
    <row r="1850" spans="1:6" x14ac:dyDescent="0.2">
      <c r="A1850" s="762" t="e">
        <f ca="1">IF($H1850="UNIDADE CONSTRUTIVA",OFFSET(A1850,-1,0)+1,LARGE(A$3:A1849,1))</f>
        <v>#NUM!</v>
      </c>
      <c r="B1850" s="762">
        <f t="shared" ca="1" si="358"/>
        <v>21</v>
      </c>
      <c r="C1850" s="762">
        <f t="shared" ca="1" si="359"/>
        <v>1</v>
      </c>
      <c r="D1850" s="763">
        <f t="shared" ca="1" si="360"/>
        <v>1</v>
      </c>
      <c r="E1850" s="763">
        <f t="shared" ca="1" si="361"/>
        <v>1</v>
      </c>
      <c r="F1850" s="761"/>
    </row>
    <row r="1851" spans="1:6" x14ac:dyDescent="0.2">
      <c r="A1851" s="762" t="e">
        <f ca="1">IF($H1851="UNIDADE CONSTRUTIVA",OFFSET(A1851,-1,0)+1,LARGE(A$3:A1850,1))</f>
        <v>#NUM!</v>
      </c>
      <c r="B1851" s="762">
        <f t="shared" ca="1" si="358"/>
        <v>21</v>
      </c>
      <c r="C1851" s="762">
        <f t="shared" ca="1" si="359"/>
        <v>1</v>
      </c>
      <c r="D1851" s="763">
        <f t="shared" ca="1" si="360"/>
        <v>1</v>
      </c>
      <c r="E1851" s="763">
        <f t="shared" ca="1" si="361"/>
        <v>1</v>
      </c>
      <c r="F1851" s="761"/>
    </row>
    <row r="1852" spans="1:6" x14ac:dyDescent="0.2">
      <c r="A1852" s="762" t="e">
        <f ca="1">IF($H1852="UNIDADE CONSTRUTIVA",OFFSET(A1852,-1,0)+1,LARGE(A$3:A1851,1))</f>
        <v>#NUM!</v>
      </c>
      <c r="B1852" s="762">
        <f t="shared" ca="1" si="358"/>
        <v>21</v>
      </c>
      <c r="C1852" s="762">
        <f t="shared" ca="1" si="359"/>
        <v>1</v>
      </c>
      <c r="D1852" s="763">
        <f t="shared" ca="1" si="360"/>
        <v>1</v>
      </c>
      <c r="E1852" s="763">
        <f t="shared" ca="1" si="361"/>
        <v>1</v>
      </c>
      <c r="F1852" s="761"/>
    </row>
    <row r="1853" spans="1:6" x14ac:dyDescent="0.2">
      <c r="A1853" s="762" t="e">
        <f ca="1">IF($H1853="UNIDADE CONSTRUTIVA",OFFSET(A1853,-1,0)+1,LARGE(A$3:A1852,1))</f>
        <v>#NUM!</v>
      </c>
      <c r="B1853" s="762">
        <f t="shared" ca="1" si="358"/>
        <v>21</v>
      </c>
      <c r="C1853" s="762">
        <f t="shared" ca="1" si="359"/>
        <v>1</v>
      </c>
      <c r="D1853" s="763">
        <f t="shared" ca="1" si="360"/>
        <v>1</v>
      </c>
      <c r="E1853" s="763">
        <f t="shared" ca="1" si="361"/>
        <v>1</v>
      </c>
      <c r="F1853" s="761"/>
    </row>
    <row r="1854" spans="1:6" x14ac:dyDescent="0.2">
      <c r="A1854" s="762" t="e">
        <f ca="1">IF($H1854="UNIDADE CONSTRUTIVA",OFFSET(A1854,-1,0)+1,LARGE(A$3:A1853,1))</f>
        <v>#NUM!</v>
      </c>
      <c r="B1854" s="762">
        <f t="shared" ca="1" si="358"/>
        <v>21</v>
      </c>
      <c r="C1854" s="762">
        <f t="shared" ca="1" si="359"/>
        <v>1</v>
      </c>
      <c r="D1854" s="763">
        <f t="shared" ca="1" si="360"/>
        <v>1</v>
      </c>
      <c r="E1854" s="763">
        <f t="shared" ca="1" si="361"/>
        <v>1</v>
      </c>
      <c r="F1854" s="761"/>
    </row>
    <row r="1855" spans="1:6" x14ac:dyDescent="0.2">
      <c r="A1855" s="762" t="e">
        <f ca="1">IF($H1855="UNIDADE CONSTRUTIVA",OFFSET(A1855,-1,0)+1,LARGE(A$3:A1854,1))</f>
        <v>#NUM!</v>
      </c>
      <c r="B1855" s="762">
        <f t="shared" ca="1" si="358"/>
        <v>21</v>
      </c>
      <c r="C1855" s="762">
        <f t="shared" ca="1" si="359"/>
        <v>1</v>
      </c>
      <c r="D1855" s="763">
        <f t="shared" ca="1" si="360"/>
        <v>1</v>
      </c>
      <c r="E1855" s="763">
        <f t="shared" ca="1" si="361"/>
        <v>1</v>
      </c>
      <c r="F1855" s="761"/>
    </row>
    <row r="1856" spans="1:6" x14ac:dyDescent="0.2">
      <c r="A1856" s="762" t="e">
        <f ca="1">IF($H1856="UNIDADE CONSTRUTIVA",OFFSET(A1856,-1,0)+1,LARGE(A$3:A1855,1))</f>
        <v>#NUM!</v>
      </c>
      <c r="B1856" s="762">
        <f t="shared" ca="1" si="358"/>
        <v>21</v>
      </c>
      <c r="C1856" s="762">
        <f t="shared" ca="1" si="359"/>
        <v>1</v>
      </c>
      <c r="D1856" s="763">
        <f t="shared" ca="1" si="360"/>
        <v>1</v>
      </c>
      <c r="E1856" s="763">
        <f t="shared" ca="1" si="361"/>
        <v>1</v>
      </c>
      <c r="F1856" s="761"/>
    </row>
    <row r="1857" spans="1:6" x14ac:dyDescent="0.2">
      <c r="A1857" s="762" t="e">
        <f ca="1">IF($H1857="UNIDADE CONSTRUTIVA",OFFSET(A1857,-1,0)+1,LARGE(A$3:A1856,1))</f>
        <v>#NUM!</v>
      </c>
      <c r="B1857" s="762">
        <f t="shared" ca="1" si="358"/>
        <v>21</v>
      </c>
      <c r="C1857" s="762">
        <f t="shared" ca="1" si="359"/>
        <v>1</v>
      </c>
      <c r="D1857" s="763">
        <f t="shared" ca="1" si="360"/>
        <v>1</v>
      </c>
      <c r="E1857" s="763">
        <f t="shared" ca="1" si="361"/>
        <v>1</v>
      </c>
      <c r="F1857" s="761"/>
    </row>
    <row r="1858" spans="1:6" x14ac:dyDescent="0.2">
      <c r="A1858" s="762" t="e">
        <f ca="1">IF($H1858="UNIDADE CONSTRUTIVA",OFFSET(A1858,-1,0)+1,LARGE(A$3:A1857,1))</f>
        <v>#NUM!</v>
      </c>
      <c r="B1858" s="762">
        <f t="shared" ca="1" si="358"/>
        <v>21</v>
      </c>
      <c r="C1858" s="762">
        <f t="shared" ca="1" si="359"/>
        <v>1</v>
      </c>
      <c r="D1858" s="763">
        <f t="shared" ca="1" si="360"/>
        <v>1</v>
      </c>
      <c r="E1858" s="763">
        <f t="shared" ca="1" si="361"/>
        <v>1</v>
      </c>
      <c r="F1858" s="761"/>
    </row>
    <row r="1859" spans="1:6" x14ac:dyDescent="0.2">
      <c r="A1859" s="762" t="e">
        <f ca="1">IF($H1859="UNIDADE CONSTRUTIVA",OFFSET(A1859,-1,0)+1,LARGE(A$3:A1858,1))</f>
        <v>#NUM!</v>
      </c>
      <c r="B1859" s="762">
        <f t="shared" ca="1" si="358"/>
        <v>21</v>
      </c>
      <c r="C1859" s="762">
        <f t="shared" ca="1" si="359"/>
        <v>1</v>
      </c>
      <c r="D1859" s="763">
        <f t="shared" ca="1" si="360"/>
        <v>1</v>
      </c>
      <c r="E1859" s="763">
        <f t="shared" ca="1" si="361"/>
        <v>1</v>
      </c>
      <c r="F1859" s="761"/>
    </row>
    <row r="1860" spans="1:6" x14ac:dyDescent="0.2">
      <c r="A1860" s="762" t="e">
        <f ca="1">IF($H1860="UNIDADE CONSTRUTIVA",OFFSET(A1860,-1,0)+1,LARGE(A$3:A1859,1))</f>
        <v>#NUM!</v>
      </c>
      <c r="B1860" s="762">
        <f t="shared" ca="1" si="358"/>
        <v>21</v>
      </c>
      <c r="C1860" s="762">
        <f t="shared" ca="1" si="359"/>
        <v>1</v>
      </c>
      <c r="D1860" s="763">
        <f t="shared" ca="1" si="360"/>
        <v>1</v>
      </c>
      <c r="E1860" s="763">
        <f t="shared" ca="1" si="361"/>
        <v>1</v>
      </c>
      <c r="F1860" s="761"/>
    </row>
    <row r="1861" spans="1:6" x14ac:dyDescent="0.2">
      <c r="A1861" s="762" t="e">
        <f ca="1">IF($H1861="UNIDADE CONSTRUTIVA",OFFSET(A1861,-1,0)+1,LARGE(A$3:A1860,1))</f>
        <v>#NUM!</v>
      </c>
      <c r="B1861" s="762">
        <f t="shared" ca="1" si="358"/>
        <v>21</v>
      </c>
      <c r="C1861" s="762">
        <f t="shared" ca="1" si="359"/>
        <v>1</v>
      </c>
      <c r="D1861" s="763">
        <f t="shared" ca="1" si="360"/>
        <v>1</v>
      </c>
      <c r="E1861" s="763">
        <f t="shared" ca="1" si="361"/>
        <v>1</v>
      </c>
      <c r="F1861" s="761"/>
    </row>
    <row r="1862" spans="1:6" x14ac:dyDescent="0.2">
      <c r="A1862" s="762" t="e">
        <f ca="1">IF($H1862="UNIDADE CONSTRUTIVA",OFFSET(A1862,-1,0)+1,LARGE(A$3:A1861,1))</f>
        <v>#NUM!</v>
      </c>
      <c r="B1862" s="762">
        <f t="shared" ca="1" si="358"/>
        <v>21</v>
      </c>
      <c r="C1862" s="762">
        <f t="shared" ca="1" si="359"/>
        <v>1</v>
      </c>
      <c r="D1862" s="763">
        <f t="shared" ca="1" si="360"/>
        <v>1</v>
      </c>
      <c r="E1862" s="763">
        <f t="shared" ca="1" si="361"/>
        <v>1</v>
      </c>
      <c r="F1862" s="761"/>
    </row>
    <row r="1863" spans="1:6" x14ac:dyDescent="0.2">
      <c r="A1863" s="762" t="e">
        <f ca="1">IF($H1863="UNIDADE CONSTRUTIVA",OFFSET(A1863,-1,0)+1,LARGE(A$3:A1862,1))</f>
        <v>#NUM!</v>
      </c>
      <c r="B1863" s="762">
        <f t="shared" ca="1" si="358"/>
        <v>21</v>
      </c>
      <c r="C1863" s="762">
        <f t="shared" ca="1" si="359"/>
        <v>1</v>
      </c>
      <c r="D1863" s="763">
        <f t="shared" ca="1" si="360"/>
        <v>1</v>
      </c>
      <c r="E1863" s="763">
        <f t="shared" ca="1" si="361"/>
        <v>1</v>
      </c>
      <c r="F1863" s="761"/>
    </row>
    <row r="1864" spans="1:6" x14ac:dyDescent="0.2">
      <c r="A1864" s="762" t="e">
        <f ca="1">IF($H1864="UNIDADE CONSTRUTIVA",OFFSET(A1864,-1,0)+1,LARGE(A$3:A1863,1))</f>
        <v>#NUM!</v>
      </c>
      <c r="B1864" s="762">
        <f t="shared" ca="1" si="358"/>
        <v>21</v>
      </c>
      <c r="C1864" s="762">
        <f t="shared" ca="1" si="359"/>
        <v>1</v>
      </c>
      <c r="D1864" s="763">
        <f t="shared" ca="1" si="360"/>
        <v>1</v>
      </c>
      <c r="E1864" s="763">
        <f t="shared" ca="1" si="361"/>
        <v>1</v>
      </c>
      <c r="F1864" s="761"/>
    </row>
    <row r="1865" spans="1:6" x14ac:dyDescent="0.2">
      <c r="A1865" s="762" t="e">
        <f ca="1">IF($H1865="UNIDADE CONSTRUTIVA",OFFSET(A1865,-1,0)+1,LARGE(A$3:A1864,1))</f>
        <v>#NUM!</v>
      </c>
      <c r="B1865" s="762">
        <f t="shared" ca="1" si="358"/>
        <v>21</v>
      </c>
      <c r="C1865" s="762">
        <f t="shared" ca="1" si="359"/>
        <v>1</v>
      </c>
      <c r="D1865" s="763">
        <f t="shared" ca="1" si="360"/>
        <v>1</v>
      </c>
      <c r="E1865" s="763">
        <f t="shared" ca="1" si="361"/>
        <v>1</v>
      </c>
      <c r="F1865" s="761"/>
    </row>
    <row r="1866" spans="1:6" x14ac:dyDescent="0.2">
      <c r="A1866" s="762" t="e">
        <f ca="1">IF($H1866="UNIDADE CONSTRUTIVA",OFFSET(A1866,-1,0)+1,LARGE(A$3:A1865,1))</f>
        <v>#NUM!</v>
      </c>
      <c r="B1866" s="762">
        <f t="shared" ca="1" si="358"/>
        <v>21</v>
      </c>
      <c r="C1866" s="762">
        <f t="shared" ca="1" si="359"/>
        <v>1</v>
      </c>
      <c r="D1866" s="763">
        <f t="shared" ca="1" si="360"/>
        <v>1</v>
      </c>
      <c r="E1866" s="763">
        <f t="shared" ca="1" si="361"/>
        <v>1</v>
      </c>
      <c r="F1866" s="761"/>
    </row>
    <row r="1867" spans="1:6" x14ac:dyDescent="0.2">
      <c r="A1867" s="762" t="e">
        <f ca="1">IF($H1867="UNIDADE CONSTRUTIVA",OFFSET(A1867,-1,0)+1,LARGE(A$3:A1866,1))</f>
        <v>#NUM!</v>
      </c>
      <c r="B1867" s="762">
        <f t="shared" ca="1" si="358"/>
        <v>21</v>
      </c>
      <c r="C1867" s="762">
        <f t="shared" ca="1" si="359"/>
        <v>1</v>
      </c>
      <c r="D1867" s="763">
        <f t="shared" ca="1" si="360"/>
        <v>1</v>
      </c>
      <c r="E1867" s="763">
        <f t="shared" ca="1" si="361"/>
        <v>1</v>
      </c>
      <c r="F1867" s="761"/>
    </row>
    <row r="1868" spans="1:6" x14ac:dyDescent="0.2">
      <c r="A1868" s="762" t="e">
        <f ca="1">IF($H1868="UNIDADE CONSTRUTIVA",OFFSET(A1868,-1,0)+1,LARGE(A$3:A1867,1))</f>
        <v>#NUM!</v>
      </c>
      <c r="B1868" s="762">
        <f t="shared" ca="1" si="358"/>
        <v>21</v>
      </c>
      <c r="C1868" s="762">
        <f t="shared" ca="1" si="359"/>
        <v>1</v>
      </c>
      <c r="D1868" s="763">
        <f t="shared" ca="1" si="360"/>
        <v>1</v>
      </c>
      <c r="E1868" s="763">
        <f t="shared" ca="1" si="361"/>
        <v>1</v>
      </c>
      <c r="F1868" s="761"/>
    </row>
    <row r="1869" spans="1:6" x14ac:dyDescent="0.2">
      <c r="A1869" s="762" t="e">
        <f ca="1">IF($H1869="UNIDADE CONSTRUTIVA",OFFSET(A1869,-1,0)+1,LARGE(A$3:A1868,1))</f>
        <v>#NUM!</v>
      </c>
      <c r="B1869" s="762">
        <f t="shared" ca="1" si="358"/>
        <v>21</v>
      </c>
      <c r="C1869" s="762">
        <f t="shared" ca="1" si="359"/>
        <v>1</v>
      </c>
      <c r="D1869" s="763">
        <f t="shared" ca="1" si="360"/>
        <v>1</v>
      </c>
      <c r="E1869" s="763">
        <f t="shared" ca="1" si="361"/>
        <v>1</v>
      </c>
      <c r="F1869" s="761"/>
    </row>
    <row r="1870" spans="1:6" x14ac:dyDescent="0.2">
      <c r="A1870" s="762" t="e">
        <f ca="1">IF($H1870="UNIDADE CONSTRUTIVA",OFFSET(A1870,-1,0)+1,LARGE(A$3:A1869,1))</f>
        <v>#NUM!</v>
      </c>
      <c r="B1870" s="762">
        <f t="shared" ca="1" si="358"/>
        <v>21</v>
      </c>
      <c r="C1870" s="762">
        <f t="shared" ca="1" si="359"/>
        <v>1</v>
      </c>
      <c r="D1870" s="763">
        <f t="shared" ca="1" si="360"/>
        <v>1</v>
      </c>
      <c r="E1870" s="763">
        <f t="shared" ca="1" si="361"/>
        <v>1</v>
      </c>
      <c r="F1870" s="761"/>
    </row>
    <row r="1871" spans="1:6" x14ac:dyDescent="0.2">
      <c r="A1871" s="762" t="e">
        <f ca="1">IF($H1871="UNIDADE CONSTRUTIVA",OFFSET(A1871,-1,0)+1,LARGE(A$3:A1870,1))</f>
        <v>#NUM!</v>
      </c>
      <c r="B1871" s="762">
        <f t="shared" ca="1" si="358"/>
        <v>21</v>
      </c>
      <c r="C1871" s="762">
        <f t="shared" ca="1" si="359"/>
        <v>1</v>
      </c>
      <c r="D1871" s="763">
        <f t="shared" ca="1" si="360"/>
        <v>1</v>
      </c>
      <c r="E1871" s="763">
        <f t="shared" ca="1" si="361"/>
        <v>1</v>
      </c>
      <c r="F1871" s="761"/>
    </row>
    <row r="1872" spans="1:6" x14ac:dyDescent="0.2">
      <c r="A1872" s="762" t="e">
        <f ca="1">IF($H1872="UNIDADE CONSTRUTIVA",OFFSET(A1872,-1,0)+1,LARGE(A$3:A1871,1))</f>
        <v>#NUM!</v>
      </c>
      <c r="B1872" s="762">
        <f t="shared" ca="1" si="358"/>
        <v>21</v>
      </c>
      <c r="C1872" s="762">
        <f t="shared" ca="1" si="359"/>
        <v>1</v>
      </c>
      <c r="D1872" s="763">
        <f t="shared" ca="1" si="360"/>
        <v>1</v>
      </c>
      <c r="E1872" s="763">
        <f t="shared" ca="1" si="361"/>
        <v>1</v>
      </c>
      <c r="F1872" s="761"/>
    </row>
    <row r="1873" spans="1:6" x14ac:dyDescent="0.2">
      <c r="A1873" s="762" t="e">
        <f ca="1">IF($H1873="UNIDADE CONSTRUTIVA",OFFSET(A1873,-1,0)+1,LARGE(A$3:A1872,1))</f>
        <v>#NUM!</v>
      </c>
      <c r="B1873" s="762">
        <f t="shared" ca="1" si="358"/>
        <v>21</v>
      </c>
      <c r="C1873" s="762">
        <f t="shared" ca="1" si="359"/>
        <v>1</v>
      </c>
      <c r="D1873" s="763">
        <f t="shared" ca="1" si="360"/>
        <v>1</v>
      </c>
      <c r="E1873" s="763">
        <f t="shared" ca="1" si="361"/>
        <v>1</v>
      </c>
      <c r="F1873" s="761"/>
    </row>
    <row r="1874" spans="1:6" x14ac:dyDescent="0.2">
      <c r="A1874" s="762" t="e">
        <f ca="1">IF($H1874="UNIDADE CONSTRUTIVA",OFFSET(A1874,-1,0)+1,LARGE(A$3:A1873,1))</f>
        <v>#NUM!</v>
      </c>
      <c r="B1874" s="762">
        <f t="shared" ca="1" si="358"/>
        <v>21</v>
      </c>
      <c r="C1874" s="762">
        <f t="shared" ca="1" si="359"/>
        <v>1</v>
      </c>
      <c r="D1874" s="763">
        <f t="shared" ca="1" si="360"/>
        <v>1</v>
      </c>
      <c r="E1874" s="763">
        <f t="shared" ca="1" si="361"/>
        <v>1</v>
      </c>
      <c r="F1874" s="761"/>
    </row>
    <row r="1875" spans="1:6" x14ac:dyDescent="0.2">
      <c r="A1875" s="762" t="e">
        <f ca="1">IF($H1875="UNIDADE CONSTRUTIVA",OFFSET(A1875,-1,0)+1,LARGE(A$3:A1874,1))</f>
        <v>#NUM!</v>
      </c>
      <c r="B1875" s="762">
        <f t="shared" ca="1" si="358"/>
        <v>21</v>
      </c>
      <c r="C1875" s="762">
        <f t="shared" ca="1" si="359"/>
        <v>1</v>
      </c>
      <c r="D1875" s="763">
        <f t="shared" ca="1" si="360"/>
        <v>1</v>
      </c>
      <c r="E1875" s="763">
        <f t="shared" ca="1" si="361"/>
        <v>1</v>
      </c>
      <c r="F1875" s="761"/>
    </row>
    <row r="1876" spans="1:6" x14ac:dyDescent="0.2">
      <c r="A1876" s="762" t="e">
        <f ca="1">IF($H1876="UNIDADE CONSTRUTIVA",OFFSET(A1876,-1,0)+1,LARGE(A$3:A1875,1))</f>
        <v>#NUM!</v>
      </c>
      <c r="B1876" s="762">
        <f t="shared" ca="1" si="358"/>
        <v>21</v>
      </c>
      <c r="C1876" s="762">
        <f t="shared" ca="1" si="359"/>
        <v>1</v>
      </c>
      <c r="D1876" s="763">
        <f t="shared" ca="1" si="360"/>
        <v>1</v>
      </c>
      <c r="E1876" s="763">
        <f t="shared" ca="1" si="361"/>
        <v>1</v>
      </c>
      <c r="F1876" s="761"/>
    </row>
    <row r="1877" spans="1:6" x14ac:dyDescent="0.2">
      <c r="A1877" s="762" t="e">
        <f ca="1">IF($H1877="UNIDADE CONSTRUTIVA",OFFSET(A1877,-1,0)+1,LARGE(A$3:A1876,1))</f>
        <v>#NUM!</v>
      </c>
      <c r="B1877" s="762">
        <f t="shared" ca="1" si="358"/>
        <v>21</v>
      </c>
      <c r="C1877" s="762">
        <f t="shared" ca="1" si="359"/>
        <v>1</v>
      </c>
      <c r="D1877" s="763">
        <f t="shared" ca="1" si="360"/>
        <v>1</v>
      </c>
      <c r="E1877" s="763">
        <f t="shared" ca="1" si="361"/>
        <v>1</v>
      </c>
      <c r="F1877" s="761"/>
    </row>
    <row r="1878" spans="1:6" x14ac:dyDescent="0.2">
      <c r="A1878" s="762" t="e">
        <f ca="1">IF($H1878="UNIDADE CONSTRUTIVA",OFFSET(A1878,-1,0)+1,LARGE(A$3:A1877,1))</f>
        <v>#NUM!</v>
      </c>
      <c r="B1878" s="762">
        <f t="shared" ca="1" si="358"/>
        <v>21</v>
      </c>
      <c r="C1878" s="762">
        <f t="shared" ca="1" si="359"/>
        <v>1</v>
      </c>
      <c r="D1878" s="763">
        <f t="shared" ca="1" si="360"/>
        <v>1</v>
      </c>
      <c r="E1878" s="763">
        <f t="shared" ca="1" si="361"/>
        <v>1</v>
      </c>
      <c r="F1878" s="761"/>
    </row>
    <row r="1879" spans="1:6" x14ac:dyDescent="0.2">
      <c r="A1879" s="762" t="e">
        <f ca="1">IF($H1879="UNIDADE CONSTRUTIVA",OFFSET(A1879,-1,0)+1,LARGE(A$3:A1878,1))</f>
        <v>#NUM!</v>
      </c>
      <c r="B1879" s="762">
        <f t="shared" ca="1" si="358"/>
        <v>21</v>
      </c>
      <c r="C1879" s="762">
        <f t="shared" ca="1" si="359"/>
        <v>1</v>
      </c>
      <c r="D1879" s="763">
        <f t="shared" ca="1" si="360"/>
        <v>1</v>
      </c>
      <c r="E1879" s="763">
        <f t="shared" ca="1" si="361"/>
        <v>1</v>
      </c>
      <c r="F1879" s="761"/>
    </row>
    <row r="1880" spans="1:6" x14ac:dyDescent="0.2">
      <c r="A1880" s="762" t="e">
        <f ca="1">IF($H1880="UNIDADE CONSTRUTIVA",OFFSET(A1880,-1,0)+1,LARGE(A$3:A1879,1))</f>
        <v>#NUM!</v>
      </c>
      <c r="B1880" s="762">
        <f t="shared" ca="1" si="358"/>
        <v>21</v>
      </c>
      <c r="C1880" s="762">
        <f t="shared" ca="1" si="359"/>
        <v>1</v>
      </c>
      <c r="D1880" s="763">
        <f t="shared" ca="1" si="360"/>
        <v>1</v>
      </c>
      <c r="E1880" s="763">
        <f t="shared" ca="1" si="361"/>
        <v>1</v>
      </c>
      <c r="F1880" s="761"/>
    </row>
    <row r="1881" spans="1:6" x14ac:dyDescent="0.2">
      <c r="A1881" s="762" t="e">
        <f ca="1">IF($H1881="UNIDADE CONSTRUTIVA",OFFSET(A1881,-1,0)+1,LARGE(A$3:A1880,1))</f>
        <v>#NUM!</v>
      </c>
      <c r="B1881" s="762">
        <f t="shared" ca="1" si="358"/>
        <v>21</v>
      </c>
      <c r="C1881" s="762">
        <f t="shared" ca="1" si="359"/>
        <v>1</v>
      </c>
      <c r="D1881" s="763">
        <f t="shared" ca="1" si="360"/>
        <v>1</v>
      </c>
      <c r="E1881" s="763">
        <f t="shared" ca="1" si="361"/>
        <v>1</v>
      </c>
      <c r="F1881" s="761"/>
    </row>
    <row r="1882" spans="1:6" x14ac:dyDescent="0.2">
      <c r="A1882" s="762" t="e">
        <f ca="1">IF($H1882="UNIDADE CONSTRUTIVA",OFFSET(A1882,-1,0)+1,LARGE(A$3:A1881,1))</f>
        <v>#NUM!</v>
      </c>
      <c r="B1882" s="762">
        <f t="shared" ca="1" si="358"/>
        <v>21</v>
      </c>
      <c r="C1882" s="762">
        <f t="shared" ca="1" si="359"/>
        <v>1</v>
      </c>
      <c r="D1882" s="763">
        <f t="shared" ca="1" si="360"/>
        <v>1</v>
      </c>
      <c r="E1882" s="763">
        <f t="shared" ca="1" si="361"/>
        <v>1</v>
      </c>
      <c r="F1882" s="761"/>
    </row>
    <row r="1883" spans="1:6" x14ac:dyDescent="0.2">
      <c r="A1883" s="762" t="e">
        <f ca="1">IF($H1883="UNIDADE CONSTRUTIVA",OFFSET(A1883,-1,0)+1,LARGE(A$3:A1882,1))</f>
        <v>#NUM!</v>
      </c>
      <c r="B1883" s="762">
        <f t="shared" ca="1" si="358"/>
        <v>21</v>
      </c>
      <c r="C1883" s="762">
        <f t="shared" ca="1" si="359"/>
        <v>1</v>
      </c>
      <c r="D1883" s="763">
        <f t="shared" ca="1" si="360"/>
        <v>1</v>
      </c>
      <c r="E1883" s="763">
        <f t="shared" ca="1" si="361"/>
        <v>1</v>
      </c>
      <c r="F1883" s="761"/>
    </row>
    <row r="1884" spans="1:6" x14ac:dyDescent="0.2">
      <c r="A1884" s="762" t="e">
        <f ca="1">IF($H1884="UNIDADE CONSTRUTIVA",OFFSET(A1884,-1,0)+1,LARGE(A$3:A1883,1))</f>
        <v>#NUM!</v>
      </c>
      <c r="B1884" s="762">
        <f t="shared" ca="1" si="358"/>
        <v>21</v>
      </c>
      <c r="C1884" s="762">
        <f t="shared" ca="1" si="359"/>
        <v>1</v>
      </c>
      <c r="D1884" s="763">
        <f t="shared" ca="1" si="360"/>
        <v>1</v>
      </c>
      <c r="E1884" s="763">
        <f t="shared" ca="1" si="361"/>
        <v>1</v>
      </c>
      <c r="F1884" s="761"/>
    </row>
    <row r="1885" spans="1:6" x14ac:dyDescent="0.2">
      <c r="A1885" s="762" t="e">
        <f ca="1">IF($H1885="UNIDADE CONSTRUTIVA",OFFSET(A1885,-1,0)+1,LARGE(A$3:A1884,1))</f>
        <v>#NUM!</v>
      </c>
      <c r="B1885" s="762">
        <f t="shared" ca="1" si="358"/>
        <v>21</v>
      </c>
      <c r="C1885" s="762">
        <f t="shared" ca="1" si="359"/>
        <v>1</v>
      </c>
      <c r="D1885" s="763">
        <f t="shared" ca="1" si="360"/>
        <v>1</v>
      </c>
      <c r="E1885" s="763">
        <f t="shared" ca="1" si="361"/>
        <v>1</v>
      </c>
      <c r="F1885" s="761"/>
    </row>
    <row r="1886" spans="1:6" x14ac:dyDescent="0.2">
      <c r="A1886" s="762" t="e">
        <f ca="1">IF($H1886="UNIDADE CONSTRUTIVA",OFFSET(A1886,-1,0)+1,LARGE(A$3:A1885,1))</f>
        <v>#NUM!</v>
      </c>
      <c r="B1886" s="762">
        <f t="shared" ca="1" si="358"/>
        <v>21</v>
      </c>
      <c r="C1886" s="762">
        <f t="shared" ca="1" si="359"/>
        <v>1</v>
      </c>
      <c r="D1886" s="763">
        <f t="shared" ca="1" si="360"/>
        <v>1</v>
      </c>
      <c r="E1886" s="763">
        <f t="shared" ca="1" si="361"/>
        <v>1</v>
      </c>
      <c r="F1886" s="761"/>
    </row>
    <row r="1887" spans="1:6" x14ac:dyDescent="0.2">
      <c r="A1887" s="762" t="e">
        <f ca="1">IF($H1887="UNIDADE CONSTRUTIVA",OFFSET(A1887,-1,0)+1,LARGE(A$3:A1886,1))</f>
        <v>#NUM!</v>
      </c>
      <c r="B1887" s="762">
        <f t="shared" ca="1" si="358"/>
        <v>21</v>
      </c>
      <c r="C1887" s="762">
        <f t="shared" ca="1" si="359"/>
        <v>1</v>
      </c>
      <c r="D1887" s="763">
        <f t="shared" ca="1" si="360"/>
        <v>1</v>
      </c>
      <c r="E1887" s="763">
        <f t="shared" ca="1" si="361"/>
        <v>1</v>
      </c>
      <c r="F1887" s="761"/>
    </row>
    <row r="1888" spans="1:6" x14ac:dyDescent="0.2">
      <c r="A1888" s="762" t="e">
        <f ca="1">IF($H1888="UNIDADE CONSTRUTIVA",OFFSET(A1888,-1,0)+1,LARGE(A$3:A1887,1))</f>
        <v>#NUM!</v>
      </c>
      <c r="B1888" s="762">
        <f t="shared" ca="1" si="358"/>
        <v>21</v>
      </c>
      <c r="C1888" s="762">
        <f t="shared" ca="1" si="359"/>
        <v>1</v>
      </c>
      <c r="D1888" s="763">
        <f t="shared" ca="1" si="360"/>
        <v>1</v>
      </c>
      <c r="E1888" s="763">
        <f t="shared" ca="1" si="361"/>
        <v>1</v>
      </c>
      <c r="F1888" s="761"/>
    </row>
    <row r="1889" spans="1:6" x14ac:dyDescent="0.2">
      <c r="A1889" s="762" t="e">
        <f ca="1">IF($H1889="UNIDADE CONSTRUTIVA",OFFSET(A1889,-1,0)+1,LARGE(A$3:A1888,1))</f>
        <v>#NUM!</v>
      </c>
      <c r="B1889" s="762">
        <f t="shared" ca="1" si="358"/>
        <v>21</v>
      </c>
      <c r="C1889" s="762">
        <f t="shared" ca="1" si="359"/>
        <v>1</v>
      </c>
      <c r="D1889" s="763">
        <f t="shared" ca="1" si="360"/>
        <v>1</v>
      </c>
      <c r="E1889" s="763">
        <f t="shared" ca="1" si="361"/>
        <v>1</v>
      </c>
      <c r="F1889" s="761"/>
    </row>
    <row r="1890" spans="1:6" x14ac:dyDescent="0.2">
      <c r="A1890" s="762" t="e">
        <f ca="1">IF($H1890="UNIDADE CONSTRUTIVA",OFFSET(A1890,-1,0)+1,LARGE(A$3:A1889,1))</f>
        <v>#NUM!</v>
      </c>
      <c r="B1890" s="762">
        <f t="shared" ca="1" si="358"/>
        <v>21</v>
      </c>
      <c r="C1890" s="762">
        <f t="shared" ca="1" si="359"/>
        <v>1</v>
      </c>
      <c r="D1890" s="763">
        <f t="shared" ca="1" si="360"/>
        <v>1</v>
      </c>
      <c r="E1890" s="763">
        <f t="shared" ca="1" si="361"/>
        <v>1</v>
      </c>
      <c r="F1890" s="761"/>
    </row>
    <row r="1891" spans="1:6" x14ac:dyDescent="0.2">
      <c r="A1891" s="762" t="e">
        <f ca="1">IF($H1891="UNIDADE CONSTRUTIVA",OFFSET(A1891,-1,0)+1,LARGE(A$3:A1890,1))</f>
        <v>#NUM!</v>
      </c>
      <c r="B1891" s="762">
        <f t="shared" ca="1" si="358"/>
        <v>21</v>
      </c>
      <c r="C1891" s="762">
        <f t="shared" ca="1" si="359"/>
        <v>1</v>
      </c>
      <c r="D1891" s="763">
        <f t="shared" ca="1" si="360"/>
        <v>1</v>
      </c>
      <c r="E1891" s="763">
        <f t="shared" ca="1" si="361"/>
        <v>1</v>
      </c>
      <c r="F1891" s="761"/>
    </row>
    <row r="1892" spans="1:6" x14ac:dyDescent="0.2">
      <c r="A1892" s="762" t="e">
        <f ca="1">IF($H1892="UNIDADE CONSTRUTIVA",OFFSET(A1892,-1,0)+1,LARGE(A$3:A1891,1))</f>
        <v>#NUM!</v>
      </c>
      <c r="B1892" s="762">
        <f t="shared" ca="1" si="358"/>
        <v>21</v>
      </c>
      <c r="C1892" s="762">
        <f t="shared" ca="1" si="359"/>
        <v>1</v>
      </c>
      <c r="D1892" s="763">
        <f t="shared" ca="1" si="360"/>
        <v>1</v>
      </c>
      <c r="E1892" s="763">
        <f t="shared" ca="1" si="361"/>
        <v>1</v>
      </c>
      <c r="F1892" s="761"/>
    </row>
    <row r="1893" spans="1:6" x14ac:dyDescent="0.2">
      <c r="A1893" s="762" t="e">
        <f ca="1">IF($H1893="UNIDADE CONSTRUTIVA",OFFSET(A1893,-1,0)+1,LARGE(A$3:A1892,1))</f>
        <v>#NUM!</v>
      </c>
      <c r="B1893" s="762">
        <f t="shared" ca="1" si="358"/>
        <v>21</v>
      </c>
      <c r="C1893" s="762">
        <f t="shared" ca="1" si="359"/>
        <v>1</v>
      </c>
      <c r="D1893" s="763">
        <f t="shared" ca="1" si="360"/>
        <v>1</v>
      </c>
      <c r="E1893" s="763">
        <f t="shared" ca="1" si="361"/>
        <v>1</v>
      </c>
      <c r="F1893" s="761"/>
    </row>
    <row r="1894" spans="1:6" x14ac:dyDescent="0.2">
      <c r="A1894" s="762" t="e">
        <f ca="1">IF($H1894="UNIDADE CONSTRUTIVA",OFFSET(A1894,-1,0)+1,LARGE(A$3:A1893,1))</f>
        <v>#NUM!</v>
      </c>
      <c r="B1894" s="762">
        <f t="shared" ca="1" si="358"/>
        <v>21</v>
      </c>
      <c r="C1894" s="762">
        <f t="shared" ca="1" si="359"/>
        <v>1</v>
      </c>
      <c r="D1894" s="763">
        <f t="shared" ca="1" si="360"/>
        <v>1</v>
      </c>
      <c r="E1894" s="763">
        <f t="shared" ca="1" si="361"/>
        <v>1</v>
      </c>
      <c r="F1894" s="761"/>
    </row>
    <row r="1895" spans="1:6" x14ac:dyDescent="0.2">
      <c r="A1895" s="762" t="e">
        <f ca="1">IF($H1895="UNIDADE CONSTRUTIVA",OFFSET(A1895,-1,0)+1,LARGE(A$3:A1894,1))</f>
        <v>#NUM!</v>
      </c>
      <c r="B1895" s="762">
        <f t="shared" ca="1" si="358"/>
        <v>21</v>
      </c>
      <c r="C1895" s="762">
        <f t="shared" ca="1" si="359"/>
        <v>1</v>
      </c>
      <c r="D1895" s="763">
        <f t="shared" ca="1" si="360"/>
        <v>1</v>
      </c>
      <c r="E1895" s="763">
        <f t="shared" ca="1" si="361"/>
        <v>1</v>
      </c>
      <c r="F1895" s="761"/>
    </row>
    <row r="1896" spans="1:6" x14ac:dyDescent="0.2">
      <c r="A1896" s="762" t="e">
        <f ca="1">IF($H1896="UNIDADE CONSTRUTIVA",OFFSET(A1896,-1,0)+1,LARGE(A$3:A1895,1))</f>
        <v>#NUM!</v>
      </c>
      <c r="B1896" s="762">
        <f t="shared" ca="1" si="358"/>
        <v>21</v>
      </c>
      <c r="C1896" s="762">
        <f t="shared" ca="1" si="359"/>
        <v>1</v>
      </c>
      <c r="D1896" s="763">
        <f t="shared" ca="1" si="360"/>
        <v>1</v>
      </c>
      <c r="E1896" s="763">
        <f t="shared" ca="1" si="361"/>
        <v>1</v>
      </c>
      <c r="F1896" s="761"/>
    </row>
    <row r="1897" spans="1:6" x14ac:dyDescent="0.2">
      <c r="A1897" s="762" t="e">
        <f ca="1">IF($H1897="UNIDADE CONSTRUTIVA",OFFSET(A1897,-1,0)+1,LARGE(A$3:A1896,1))</f>
        <v>#NUM!</v>
      </c>
      <c r="B1897" s="762">
        <f t="shared" ca="1" si="358"/>
        <v>21</v>
      </c>
      <c r="C1897" s="762">
        <f t="shared" ca="1" si="359"/>
        <v>1</v>
      </c>
      <c r="D1897" s="763">
        <f t="shared" ca="1" si="360"/>
        <v>1</v>
      </c>
      <c r="E1897" s="763">
        <f t="shared" ca="1" si="361"/>
        <v>1</v>
      </c>
      <c r="F1897" s="761"/>
    </row>
    <row r="1898" spans="1:6" x14ac:dyDescent="0.2">
      <c r="A1898" s="762" t="e">
        <f ca="1">IF($H1898="UNIDADE CONSTRUTIVA",OFFSET(A1898,-1,0)+1,LARGE(A$3:A1897,1))</f>
        <v>#NUM!</v>
      </c>
      <c r="B1898" s="762">
        <f t="shared" ca="1" si="358"/>
        <v>21</v>
      </c>
      <c r="C1898" s="762">
        <f t="shared" ca="1" si="359"/>
        <v>1</v>
      </c>
      <c r="D1898" s="763">
        <f t="shared" ca="1" si="360"/>
        <v>1</v>
      </c>
      <c r="E1898" s="763">
        <f t="shared" ca="1" si="361"/>
        <v>1</v>
      </c>
      <c r="F1898" s="761"/>
    </row>
    <row r="1899" spans="1:6" x14ac:dyDescent="0.2">
      <c r="A1899" s="762" t="e">
        <f ca="1">IF($H1899="UNIDADE CONSTRUTIVA",OFFSET(A1899,-1,0)+1,LARGE(A$3:A1898,1))</f>
        <v>#NUM!</v>
      </c>
      <c r="B1899" s="762">
        <f t="shared" ca="1" si="358"/>
        <v>21</v>
      </c>
      <c r="C1899" s="762">
        <f t="shared" ca="1" si="359"/>
        <v>1</v>
      </c>
      <c r="D1899" s="763">
        <f t="shared" ca="1" si="360"/>
        <v>1</v>
      </c>
      <c r="E1899" s="763">
        <f t="shared" ca="1" si="361"/>
        <v>1</v>
      </c>
      <c r="F1899" s="761"/>
    </row>
    <row r="1900" spans="1:6" x14ac:dyDescent="0.2">
      <c r="A1900" s="762" t="e">
        <f ca="1">IF($H1900="UNIDADE CONSTRUTIVA",OFFSET(A1900,-1,0)+1,LARGE(A$3:A1899,1))</f>
        <v>#NUM!</v>
      </c>
      <c r="B1900" s="762">
        <f t="shared" ca="1" si="358"/>
        <v>21</v>
      </c>
      <c r="C1900" s="762">
        <f t="shared" ca="1" si="359"/>
        <v>1</v>
      </c>
      <c r="D1900" s="763">
        <f t="shared" ca="1" si="360"/>
        <v>1</v>
      </c>
      <c r="E1900" s="763">
        <f t="shared" ca="1" si="361"/>
        <v>1</v>
      </c>
    </row>
    <row r="1901" spans="1:6" x14ac:dyDescent="0.2">
      <c r="A1901" s="762" t="e">
        <f ca="1">IF($H1901="UNIDADE CONSTRUTIVA",OFFSET(A1901,-1,0)+1,LARGE(A$3:A1900,1))</f>
        <v>#NUM!</v>
      </c>
      <c r="B1901" s="762">
        <f t="shared" ca="1" si="358"/>
        <v>21</v>
      </c>
      <c r="C1901" s="762">
        <f t="shared" ca="1" si="359"/>
        <v>1</v>
      </c>
      <c r="D1901" s="763">
        <f t="shared" ca="1" si="360"/>
        <v>1</v>
      </c>
      <c r="E1901" s="763">
        <f t="shared" ca="1" si="361"/>
        <v>1</v>
      </c>
    </row>
    <row r="1902" spans="1:6" x14ac:dyDescent="0.2">
      <c r="A1902" s="762" t="e">
        <f ca="1">IF($H1902="UNIDADE CONSTRUTIVA",OFFSET(A1902,-1,0)+1,LARGE(A$3:A1901,1))</f>
        <v>#NUM!</v>
      </c>
      <c r="B1902" s="762">
        <f t="shared" ca="1" si="358"/>
        <v>21</v>
      </c>
      <c r="C1902" s="762">
        <f t="shared" ca="1" si="359"/>
        <v>1</v>
      </c>
      <c r="D1902" s="763">
        <f t="shared" ca="1" si="360"/>
        <v>1</v>
      </c>
      <c r="E1902" s="763">
        <f t="shared" ca="1" si="361"/>
        <v>1</v>
      </c>
    </row>
    <row r="1903" spans="1:6" x14ac:dyDescent="0.2">
      <c r="A1903" s="762" t="e">
        <f ca="1">IF($H1903="UNIDADE CONSTRUTIVA",OFFSET(A1903,-1,0)+1,LARGE(A$3:A1902,1))</f>
        <v>#NUM!</v>
      </c>
      <c r="B1903" s="762">
        <f t="shared" ca="1" si="358"/>
        <v>21</v>
      </c>
      <c r="C1903" s="762">
        <f t="shared" ca="1" si="359"/>
        <v>1</v>
      </c>
      <c r="D1903" s="763">
        <f t="shared" ca="1" si="360"/>
        <v>1</v>
      </c>
      <c r="E1903" s="763">
        <f t="shared" ca="1" si="361"/>
        <v>1</v>
      </c>
    </row>
    <row r="1904" spans="1:6" x14ac:dyDescent="0.2">
      <c r="A1904" s="762" t="e">
        <f ca="1">IF($H1904="UNIDADE CONSTRUTIVA",OFFSET(A1904,-1,0)+1,LARGE(A$3:A1903,1))</f>
        <v>#NUM!</v>
      </c>
      <c r="B1904" s="762">
        <f t="shared" ca="1" si="358"/>
        <v>21</v>
      </c>
      <c r="C1904" s="762">
        <f t="shared" ca="1" si="359"/>
        <v>1</v>
      </c>
      <c r="D1904" s="763">
        <f t="shared" ca="1" si="360"/>
        <v>1</v>
      </c>
      <c r="E1904" s="763">
        <f t="shared" ca="1" si="361"/>
        <v>1</v>
      </c>
    </row>
    <row r="1905" spans="1:5" x14ac:dyDescent="0.2">
      <c r="A1905" s="762" t="e">
        <f ca="1">IF($H1905="UNIDADE CONSTRUTIVA",OFFSET(A1905,-1,0)+1,LARGE(A$3:A1904,1))</f>
        <v>#NUM!</v>
      </c>
      <c r="B1905" s="762">
        <f t="shared" ca="1" si="358"/>
        <v>21</v>
      </c>
      <c r="C1905" s="762">
        <f t="shared" ca="1" si="359"/>
        <v>1</v>
      </c>
      <c r="D1905" s="763">
        <f t="shared" ca="1" si="360"/>
        <v>1</v>
      </c>
      <c r="E1905" s="763">
        <f t="shared" ca="1" si="361"/>
        <v>1</v>
      </c>
    </row>
    <row r="1906" spans="1:5" x14ac:dyDescent="0.2">
      <c r="A1906" s="762" t="e">
        <f ca="1">IF($H1906="UNIDADE CONSTRUTIVA",OFFSET(A1906,-1,0)+1,LARGE(A$3:A1905,1))</f>
        <v>#NUM!</v>
      </c>
      <c r="B1906" s="762">
        <f t="shared" ref="B1906:B1957" ca="1" si="362">IF(H1906="UNIDADE CONSTRUTIVA",0,IF(H1906="CÉLULA CONSTRUTIVA",OFFSET(B1906,-1,0)+1,OFFSET(B1906,-1,0)))</f>
        <v>21</v>
      </c>
      <c r="C1906" s="762">
        <f t="shared" ref="C1906:C1957" ca="1" si="363">IF(H1906="CÉLULA CONSTRUTIVA",0,IF(H1906="ETAPA",OFFSET(C1906,-1,0)+1,OFFSET(C1906,-1,0)))</f>
        <v>1</v>
      </c>
      <c r="D1906" s="763">
        <f t="shared" ref="D1906:D1957" ca="1" si="364">IF(H1906="ETAPA",0,IF(H1906="SUBETAPA",OFFSET(D1906,-1,0)+1,OFFSET(D1906,-1,0)))</f>
        <v>1</v>
      </c>
      <c r="E1906" s="763">
        <f t="shared" ref="E1906:E1957" ca="1" si="365">IF(H1906="Subetapa",0,IF(H1906="serviço",OFFSET(E1906,-1,0)+1,OFFSET(E1906,-1,0)))</f>
        <v>1</v>
      </c>
    </row>
    <row r="1907" spans="1:5" x14ac:dyDescent="0.2">
      <c r="A1907" s="762" t="e">
        <f ca="1">IF($H1907="UNIDADE CONSTRUTIVA",OFFSET(A1907,-1,0)+1,LARGE(A$3:A1906,1))</f>
        <v>#NUM!</v>
      </c>
      <c r="B1907" s="762">
        <f t="shared" ca="1" si="362"/>
        <v>21</v>
      </c>
      <c r="C1907" s="762">
        <f t="shared" ca="1" si="363"/>
        <v>1</v>
      </c>
      <c r="D1907" s="763">
        <f t="shared" ca="1" si="364"/>
        <v>1</v>
      </c>
      <c r="E1907" s="763">
        <f t="shared" ca="1" si="365"/>
        <v>1</v>
      </c>
    </row>
    <row r="1908" spans="1:5" x14ac:dyDescent="0.2">
      <c r="A1908" s="762" t="e">
        <f ca="1">IF($H1908="UNIDADE CONSTRUTIVA",OFFSET(A1908,-1,0)+1,LARGE(A$3:A1907,1))</f>
        <v>#NUM!</v>
      </c>
      <c r="B1908" s="762">
        <f t="shared" ca="1" si="362"/>
        <v>21</v>
      </c>
      <c r="C1908" s="762">
        <f t="shared" ca="1" si="363"/>
        <v>1</v>
      </c>
      <c r="D1908" s="763">
        <f t="shared" ca="1" si="364"/>
        <v>1</v>
      </c>
      <c r="E1908" s="763">
        <f t="shared" ca="1" si="365"/>
        <v>1</v>
      </c>
    </row>
    <row r="1909" spans="1:5" x14ac:dyDescent="0.2">
      <c r="A1909" s="762" t="e">
        <f ca="1">IF($H1909="UNIDADE CONSTRUTIVA",OFFSET(A1909,-1,0)+1,LARGE(A$3:A1908,1))</f>
        <v>#NUM!</v>
      </c>
      <c r="B1909" s="762">
        <f t="shared" ca="1" si="362"/>
        <v>21</v>
      </c>
      <c r="C1909" s="762">
        <f t="shared" ca="1" si="363"/>
        <v>1</v>
      </c>
      <c r="D1909" s="763">
        <f t="shared" ca="1" si="364"/>
        <v>1</v>
      </c>
      <c r="E1909" s="763">
        <f t="shared" ca="1" si="365"/>
        <v>1</v>
      </c>
    </row>
    <row r="1910" spans="1:5" x14ac:dyDescent="0.2">
      <c r="A1910" s="762" t="e">
        <f ca="1">IF($H1910="UNIDADE CONSTRUTIVA",OFFSET(A1910,-1,0)+1,LARGE(A$3:A1909,1))</f>
        <v>#NUM!</v>
      </c>
      <c r="B1910" s="762">
        <f t="shared" ca="1" si="362"/>
        <v>21</v>
      </c>
      <c r="C1910" s="762">
        <f t="shared" ca="1" si="363"/>
        <v>1</v>
      </c>
      <c r="D1910" s="763">
        <f t="shared" ca="1" si="364"/>
        <v>1</v>
      </c>
      <c r="E1910" s="763">
        <f t="shared" ca="1" si="365"/>
        <v>1</v>
      </c>
    </row>
    <row r="1911" spans="1:5" x14ac:dyDescent="0.2">
      <c r="A1911" s="762" t="e">
        <f ca="1">IF($H1911="UNIDADE CONSTRUTIVA",OFFSET(A1911,-1,0)+1,LARGE(A$3:A1910,1))</f>
        <v>#NUM!</v>
      </c>
      <c r="B1911" s="762">
        <f t="shared" ca="1" si="362"/>
        <v>21</v>
      </c>
      <c r="C1911" s="762">
        <f t="shared" ca="1" si="363"/>
        <v>1</v>
      </c>
      <c r="D1911" s="763">
        <f t="shared" ca="1" si="364"/>
        <v>1</v>
      </c>
      <c r="E1911" s="763">
        <f t="shared" ca="1" si="365"/>
        <v>1</v>
      </c>
    </row>
    <row r="1912" spans="1:5" x14ac:dyDescent="0.2">
      <c r="A1912" s="762" t="e">
        <f ca="1">IF($H1912="UNIDADE CONSTRUTIVA",OFFSET(A1912,-1,0)+1,LARGE(A$3:A1911,1))</f>
        <v>#NUM!</v>
      </c>
      <c r="B1912" s="762">
        <f t="shared" ca="1" si="362"/>
        <v>21</v>
      </c>
      <c r="C1912" s="762">
        <f t="shared" ca="1" si="363"/>
        <v>1</v>
      </c>
      <c r="D1912" s="763">
        <f t="shared" ca="1" si="364"/>
        <v>1</v>
      </c>
      <c r="E1912" s="763">
        <f t="shared" ca="1" si="365"/>
        <v>1</v>
      </c>
    </row>
    <row r="1913" spans="1:5" x14ac:dyDescent="0.2">
      <c r="A1913" s="762" t="e">
        <f ca="1">IF($H1913="UNIDADE CONSTRUTIVA",OFFSET(A1913,-1,0)+1,LARGE(A$3:A1912,1))</f>
        <v>#NUM!</v>
      </c>
      <c r="B1913" s="762">
        <f t="shared" ca="1" si="362"/>
        <v>21</v>
      </c>
      <c r="C1913" s="762">
        <f t="shared" ca="1" si="363"/>
        <v>1</v>
      </c>
      <c r="D1913" s="763">
        <f t="shared" ca="1" si="364"/>
        <v>1</v>
      </c>
      <c r="E1913" s="763">
        <f t="shared" ca="1" si="365"/>
        <v>1</v>
      </c>
    </row>
    <row r="1914" spans="1:5" x14ac:dyDescent="0.2">
      <c r="A1914" s="762" t="e">
        <f ca="1">IF($H1914="UNIDADE CONSTRUTIVA",OFFSET(A1914,-1,0)+1,LARGE(A$3:A1913,1))</f>
        <v>#NUM!</v>
      </c>
      <c r="B1914" s="762">
        <f t="shared" ca="1" si="362"/>
        <v>21</v>
      </c>
      <c r="C1914" s="762">
        <f t="shared" ca="1" si="363"/>
        <v>1</v>
      </c>
      <c r="D1914" s="763">
        <f t="shared" ca="1" si="364"/>
        <v>1</v>
      </c>
      <c r="E1914" s="763">
        <f t="shared" ca="1" si="365"/>
        <v>1</v>
      </c>
    </row>
    <row r="1915" spans="1:5" x14ac:dyDescent="0.2">
      <c r="A1915" s="762" t="e">
        <f ca="1">IF($H1915="UNIDADE CONSTRUTIVA",OFFSET(A1915,-1,0)+1,LARGE(A$3:A1914,1))</f>
        <v>#NUM!</v>
      </c>
      <c r="B1915" s="762">
        <f t="shared" ca="1" si="362"/>
        <v>21</v>
      </c>
      <c r="C1915" s="762">
        <f t="shared" ca="1" si="363"/>
        <v>1</v>
      </c>
      <c r="D1915" s="763">
        <f t="shared" ca="1" si="364"/>
        <v>1</v>
      </c>
      <c r="E1915" s="763">
        <f t="shared" ca="1" si="365"/>
        <v>1</v>
      </c>
    </row>
    <row r="1916" spans="1:5" x14ac:dyDescent="0.2">
      <c r="A1916" s="762" t="e">
        <f ca="1">IF($H1916="UNIDADE CONSTRUTIVA",OFFSET(A1916,-1,0)+1,LARGE(A$3:A1915,1))</f>
        <v>#NUM!</v>
      </c>
      <c r="B1916" s="762">
        <f t="shared" ca="1" si="362"/>
        <v>21</v>
      </c>
      <c r="C1916" s="762">
        <f t="shared" ca="1" si="363"/>
        <v>1</v>
      </c>
      <c r="D1916" s="763">
        <f t="shared" ca="1" si="364"/>
        <v>1</v>
      </c>
      <c r="E1916" s="763">
        <f t="shared" ca="1" si="365"/>
        <v>1</v>
      </c>
    </row>
    <row r="1917" spans="1:5" x14ac:dyDescent="0.2">
      <c r="A1917" s="762" t="e">
        <f ca="1">IF($H1917="UNIDADE CONSTRUTIVA",OFFSET(A1917,-1,0)+1,LARGE(A$3:A1916,1))</f>
        <v>#NUM!</v>
      </c>
      <c r="B1917" s="762">
        <f t="shared" ca="1" si="362"/>
        <v>21</v>
      </c>
      <c r="C1917" s="762">
        <f t="shared" ca="1" si="363"/>
        <v>1</v>
      </c>
      <c r="D1917" s="763">
        <f t="shared" ca="1" si="364"/>
        <v>1</v>
      </c>
      <c r="E1917" s="763">
        <f t="shared" ca="1" si="365"/>
        <v>1</v>
      </c>
    </row>
    <row r="1918" spans="1:5" x14ac:dyDescent="0.2">
      <c r="A1918" s="762" t="e">
        <f ca="1">IF($H1918="UNIDADE CONSTRUTIVA",OFFSET(A1918,-1,0)+1,LARGE(A$3:A1917,1))</f>
        <v>#NUM!</v>
      </c>
      <c r="B1918" s="762">
        <f t="shared" ca="1" si="362"/>
        <v>21</v>
      </c>
      <c r="C1918" s="762">
        <f t="shared" ca="1" si="363"/>
        <v>1</v>
      </c>
      <c r="D1918" s="763">
        <f t="shared" ca="1" si="364"/>
        <v>1</v>
      </c>
      <c r="E1918" s="763">
        <f t="shared" ca="1" si="365"/>
        <v>1</v>
      </c>
    </row>
    <row r="1919" spans="1:5" x14ac:dyDescent="0.2">
      <c r="A1919" s="762" t="e">
        <f ca="1">IF($H1919="UNIDADE CONSTRUTIVA",OFFSET(A1919,-1,0)+1,LARGE(A$3:A1918,1))</f>
        <v>#NUM!</v>
      </c>
      <c r="B1919" s="762">
        <f t="shared" ca="1" si="362"/>
        <v>21</v>
      </c>
      <c r="C1919" s="762">
        <f t="shared" ca="1" si="363"/>
        <v>1</v>
      </c>
      <c r="D1919" s="763">
        <f t="shared" ca="1" si="364"/>
        <v>1</v>
      </c>
      <c r="E1919" s="763">
        <f t="shared" ca="1" si="365"/>
        <v>1</v>
      </c>
    </row>
    <row r="1920" spans="1:5" x14ac:dyDescent="0.2">
      <c r="A1920" s="762" t="e">
        <f ca="1">IF($H1920="UNIDADE CONSTRUTIVA",OFFSET(A1920,-1,0)+1,LARGE(A$3:A1919,1))</f>
        <v>#NUM!</v>
      </c>
      <c r="B1920" s="762">
        <f t="shared" ca="1" si="362"/>
        <v>21</v>
      </c>
      <c r="C1920" s="762">
        <f t="shared" ca="1" si="363"/>
        <v>1</v>
      </c>
      <c r="D1920" s="763">
        <f t="shared" ca="1" si="364"/>
        <v>1</v>
      </c>
      <c r="E1920" s="763">
        <f t="shared" ca="1" si="365"/>
        <v>1</v>
      </c>
    </row>
    <row r="1921" spans="1:5" x14ac:dyDescent="0.2">
      <c r="A1921" s="762" t="e">
        <f ca="1">IF($H1921="UNIDADE CONSTRUTIVA",OFFSET(A1921,-1,0)+1,LARGE(A$3:A1920,1))</f>
        <v>#NUM!</v>
      </c>
      <c r="B1921" s="762">
        <f t="shared" ca="1" si="362"/>
        <v>21</v>
      </c>
      <c r="C1921" s="762">
        <f t="shared" ca="1" si="363"/>
        <v>1</v>
      </c>
      <c r="D1921" s="763">
        <f t="shared" ca="1" si="364"/>
        <v>1</v>
      </c>
      <c r="E1921" s="763">
        <f t="shared" ca="1" si="365"/>
        <v>1</v>
      </c>
    </row>
    <row r="1922" spans="1:5" x14ac:dyDescent="0.2">
      <c r="A1922" s="762" t="e">
        <f ca="1">IF($H1922="UNIDADE CONSTRUTIVA",OFFSET(A1922,-1,0)+1,LARGE(A$3:A1921,1))</f>
        <v>#NUM!</v>
      </c>
      <c r="B1922" s="762">
        <f t="shared" ca="1" si="362"/>
        <v>21</v>
      </c>
      <c r="C1922" s="762">
        <f t="shared" ca="1" si="363"/>
        <v>1</v>
      </c>
      <c r="D1922" s="763">
        <f t="shared" ca="1" si="364"/>
        <v>1</v>
      </c>
      <c r="E1922" s="763">
        <f t="shared" ca="1" si="365"/>
        <v>1</v>
      </c>
    </row>
    <row r="1923" spans="1:5" x14ac:dyDescent="0.2">
      <c r="A1923" s="762" t="e">
        <f ca="1">IF($H1923="UNIDADE CONSTRUTIVA",OFFSET(A1923,-1,0)+1,LARGE(A$3:A1922,1))</f>
        <v>#NUM!</v>
      </c>
      <c r="B1923" s="762">
        <f t="shared" ca="1" si="362"/>
        <v>21</v>
      </c>
      <c r="C1923" s="762">
        <f t="shared" ca="1" si="363"/>
        <v>1</v>
      </c>
      <c r="D1923" s="763">
        <f t="shared" ca="1" si="364"/>
        <v>1</v>
      </c>
      <c r="E1923" s="763">
        <f t="shared" ca="1" si="365"/>
        <v>1</v>
      </c>
    </row>
    <row r="1924" spans="1:5" x14ac:dyDescent="0.2">
      <c r="A1924" s="762" t="e">
        <f ca="1">IF($H1924="UNIDADE CONSTRUTIVA",OFFSET(A1924,-1,0)+1,LARGE(A$3:A1923,1))</f>
        <v>#NUM!</v>
      </c>
      <c r="B1924" s="762">
        <f t="shared" ca="1" si="362"/>
        <v>21</v>
      </c>
      <c r="C1924" s="762">
        <f t="shared" ca="1" si="363"/>
        <v>1</v>
      </c>
      <c r="D1924" s="763">
        <f t="shared" ca="1" si="364"/>
        <v>1</v>
      </c>
      <c r="E1924" s="763">
        <f t="shared" ca="1" si="365"/>
        <v>1</v>
      </c>
    </row>
    <row r="1925" spans="1:5" x14ac:dyDescent="0.2">
      <c r="A1925" s="762" t="e">
        <f ca="1">IF($H1925="UNIDADE CONSTRUTIVA",OFFSET(A1925,-1,0)+1,LARGE(A$3:A1924,1))</f>
        <v>#NUM!</v>
      </c>
      <c r="B1925" s="762">
        <f t="shared" ca="1" si="362"/>
        <v>21</v>
      </c>
      <c r="C1925" s="762">
        <f t="shared" ca="1" si="363"/>
        <v>1</v>
      </c>
      <c r="D1925" s="763">
        <f t="shared" ca="1" si="364"/>
        <v>1</v>
      </c>
      <c r="E1925" s="763">
        <f t="shared" ca="1" si="365"/>
        <v>1</v>
      </c>
    </row>
    <row r="1926" spans="1:5" x14ac:dyDescent="0.2">
      <c r="A1926" s="762" t="e">
        <f ca="1">IF($H1926="UNIDADE CONSTRUTIVA",OFFSET(A1926,-1,0)+1,LARGE(A$3:A1925,1))</f>
        <v>#NUM!</v>
      </c>
      <c r="B1926" s="762">
        <f t="shared" ca="1" si="362"/>
        <v>21</v>
      </c>
      <c r="C1926" s="762">
        <f t="shared" ca="1" si="363"/>
        <v>1</v>
      </c>
      <c r="D1926" s="763">
        <f t="shared" ca="1" si="364"/>
        <v>1</v>
      </c>
      <c r="E1926" s="763">
        <f t="shared" ca="1" si="365"/>
        <v>1</v>
      </c>
    </row>
    <row r="1927" spans="1:5" x14ac:dyDescent="0.2">
      <c r="A1927" s="762" t="e">
        <f ca="1">IF($H1927="UNIDADE CONSTRUTIVA",OFFSET(A1927,-1,0)+1,LARGE(A$3:A1926,1))</f>
        <v>#NUM!</v>
      </c>
      <c r="B1927" s="762">
        <f t="shared" ca="1" si="362"/>
        <v>21</v>
      </c>
      <c r="C1927" s="762">
        <f t="shared" ca="1" si="363"/>
        <v>1</v>
      </c>
      <c r="D1927" s="763">
        <f t="shared" ca="1" si="364"/>
        <v>1</v>
      </c>
      <c r="E1927" s="763">
        <f t="shared" ca="1" si="365"/>
        <v>1</v>
      </c>
    </row>
    <row r="1928" spans="1:5" x14ac:dyDescent="0.2">
      <c r="A1928" s="762" t="e">
        <f ca="1">IF($H1928="UNIDADE CONSTRUTIVA",OFFSET(A1928,-1,0)+1,LARGE(A$3:A1927,1))</f>
        <v>#NUM!</v>
      </c>
      <c r="B1928" s="762">
        <f t="shared" ca="1" si="362"/>
        <v>21</v>
      </c>
      <c r="C1928" s="762">
        <f t="shared" ca="1" si="363"/>
        <v>1</v>
      </c>
      <c r="D1928" s="763">
        <f t="shared" ca="1" si="364"/>
        <v>1</v>
      </c>
      <c r="E1928" s="763">
        <f t="shared" ca="1" si="365"/>
        <v>1</v>
      </c>
    </row>
    <row r="1929" spans="1:5" x14ac:dyDescent="0.2">
      <c r="A1929" s="762" t="e">
        <f ca="1">IF($H1929="UNIDADE CONSTRUTIVA",OFFSET(A1929,-1,0)+1,LARGE(A$3:A1928,1))</f>
        <v>#NUM!</v>
      </c>
      <c r="B1929" s="762">
        <f t="shared" ca="1" si="362"/>
        <v>21</v>
      </c>
      <c r="C1929" s="762">
        <f t="shared" ca="1" si="363"/>
        <v>1</v>
      </c>
      <c r="D1929" s="763">
        <f t="shared" ca="1" si="364"/>
        <v>1</v>
      </c>
      <c r="E1929" s="763">
        <f t="shared" ca="1" si="365"/>
        <v>1</v>
      </c>
    </row>
    <row r="1930" spans="1:5" x14ac:dyDescent="0.2">
      <c r="A1930" s="762" t="e">
        <f ca="1">IF($H1930="UNIDADE CONSTRUTIVA",OFFSET(A1930,-1,0)+1,LARGE(A$3:A1929,1))</f>
        <v>#NUM!</v>
      </c>
      <c r="B1930" s="762">
        <f t="shared" ca="1" si="362"/>
        <v>21</v>
      </c>
      <c r="C1930" s="762">
        <f t="shared" ca="1" si="363"/>
        <v>1</v>
      </c>
      <c r="D1930" s="763">
        <f t="shared" ca="1" si="364"/>
        <v>1</v>
      </c>
      <c r="E1930" s="763">
        <f t="shared" ca="1" si="365"/>
        <v>1</v>
      </c>
    </row>
    <row r="1931" spans="1:5" x14ac:dyDescent="0.2">
      <c r="A1931" s="762" t="e">
        <f ca="1">IF($H1931="UNIDADE CONSTRUTIVA",OFFSET(A1931,-1,0)+1,LARGE(A$3:A1930,1))</f>
        <v>#NUM!</v>
      </c>
      <c r="B1931" s="762">
        <f t="shared" ca="1" si="362"/>
        <v>21</v>
      </c>
      <c r="C1931" s="762">
        <f t="shared" ca="1" si="363"/>
        <v>1</v>
      </c>
      <c r="D1931" s="763">
        <f t="shared" ca="1" si="364"/>
        <v>1</v>
      </c>
      <c r="E1931" s="763">
        <f t="shared" ca="1" si="365"/>
        <v>1</v>
      </c>
    </row>
    <row r="1932" spans="1:5" x14ac:dyDescent="0.2">
      <c r="A1932" s="762" t="e">
        <f ca="1">IF($H1932="UNIDADE CONSTRUTIVA",OFFSET(A1932,-1,0)+1,LARGE(A$3:A1931,1))</f>
        <v>#NUM!</v>
      </c>
      <c r="B1932" s="762">
        <f t="shared" ca="1" si="362"/>
        <v>21</v>
      </c>
      <c r="C1932" s="762">
        <f t="shared" ca="1" si="363"/>
        <v>1</v>
      </c>
      <c r="D1932" s="763">
        <f t="shared" ca="1" si="364"/>
        <v>1</v>
      </c>
      <c r="E1932" s="763">
        <f t="shared" ca="1" si="365"/>
        <v>1</v>
      </c>
    </row>
    <row r="1933" spans="1:5" x14ac:dyDescent="0.2">
      <c r="A1933" s="762" t="e">
        <f ca="1">IF($H1933="UNIDADE CONSTRUTIVA",OFFSET(A1933,-1,0)+1,LARGE(A$3:A1932,1))</f>
        <v>#NUM!</v>
      </c>
      <c r="B1933" s="762">
        <f t="shared" ca="1" si="362"/>
        <v>21</v>
      </c>
      <c r="C1933" s="762">
        <f t="shared" ca="1" si="363"/>
        <v>1</v>
      </c>
      <c r="D1933" s="763">
        <f t="shared" ca="1" si="364"/>
        <v>1</v>
      </c>
      <c r="E1933" s="763">
        <f t="shared" ca="1" si="365"/>
        <v>1</v>
      </c>
    </row>
    <row r="1934" spans="1:5" x14ac:dyDescent="0.2">
      <c r="A1934" s="762" t="e">
        <f ca="1">IF($H1934="UNIDADE CONSTRUTIVA",OFFSET(A1934,-1,0)+1,LARGE(A$3:A1933,1))</f>
        <v>#NUM!</v>
      </c>
      <c r="B1934" s="762">
        <f t="shared" ca="1" si="362"/>
        <v>21</v>
      </c>
      <c r="C1934" s="762">
        <f t="shared" ca="1" si="363"/>
        <v>1</v>
      </c>
      <c r="D1934" s="763">
        <f t="shared" ca="1" si="364"/>
        <v>1</v>
      </c>
      <c r="E1934" s="763">
        <f t="shared" ca="1" si="365"/>
        <v>1</v>
      </c>
    </row>
    <row r="1935" spans="1:5" x14ac:dyDescent="0.2">
      <c r="A1935" s="762" t="e">
        <f ca="1">IF($H1935="UNIDADE CONSTRUTIVA",OFFSET(A1935,-1,0)+1,LARGE(A$3:A1934,1))</f>
        <v>#NUM!</v>
      </c>
      <c r="B1935" s="762">
        <f t="shared" ca="1" si="362"/>
        <v>21</v>
      </c>
      <c r="C1935" s="762">
        <f t="shared" ca="1" si="363"/>
        <v>1</v>
      </c>
      <c r="D1935" s="763">
        <f t="shared" ca="1" si="364"/>
        <v>1</v>
      </c>
      <c r="E1935" s="763">
        <f t="shared" ca="1" si="365"/>
        <v>1</v>
      </c>
    </row>
    <row r="1936" spans="1:5" x14ac:dyDescent="0.2">
      <c r="A1936" s="762" t="e">
        <f ca="1">IF($H1936="UNIDADE CONSTRUTIVA",OFFSET(A1936,-1,0)+1,LARGE(A$3:A1935,1))</f>
        <v>#NUM!</v>
      </c>
      <c r="B1936" s="762">
        <f t="shared" ca="1" si="362"/>
        <v>21</v>
      </c>
      <c r="C1936" s="762">
        <f t="shared" ca="1" si="363"/>
        <v>1</v>
      </c>
      <c r="D1936" s="763">
        <f t="shared" ca="1" si="364"/>
        <v>1</v>
      </c>
      <c r="E1936" s="763">
        <f t="shared" ca="1" si="365"/>
        <v>1</v>
      </c>
    </row>
    <row r="1937" spans="1:5" x14ac:dyDescent="0.2">
      <c r="A1937" s="762" t="e">
        <f ca="1">IF($H1937="UNIDADE CONSTRUTIVA",OFFSET(A1937,-1,0)+1,LARGE(A$3:A1936,1))</f>
        <v>#NUM!</v>
      </c>
      <c r="B1937" s="762">
        <f t="shared" ca="1" si="362"/>
        <v>21</v>
      </c>
      <c r="C1937" s="762">
        <f t="shared" ca="1" si="363"/>
        <v>1</v>
      </c>
      <c r="D1937" s="763">
        <f t="shared" ca="1" si="364"/>
        <v>1</v>
      </c>
      <c r="E1937" s="763">
        <f t="shared" ca="1" si="365"/>
        <v>1</v>
      </c>
    </row>
    <row r="1938" spans="1:5" x14ac:dyDescent="0.2">
      <c r="A1938" s="762" t="e">
        <f ca="1">IF($H1938="UNIDADE CONSTRUTIVA",OFFSET(A1938,-1,0)+1,LARGE(A$3:A1937,1))</f>
        <v>#NUM!</v>
      </c>
      <c r="B1938" s="762">
        <f t="shared" ca="1" si="362"/>
        <v>21</v>
      </c>
      <c r="C1938" s="762">
        <f t="shared" ca="1" si="363"/>
        <v>1</v>
      </c>
      <c r="D1938" s="763">
        <f t="shared" ca="1" si="364"/>
        <v>1</v>
      </c>
      <c r="E1938" s="763">
        <f t="shared" ca="1" si="365"/>
        <v>1</v>
      </c>
    </row>
    <row r="1939" spans="1:5" x14ac:dyDescent="0.2">
      <c r="A1939" s="762" t="e">
        <f ca="1">IF($H1939="UNIDADE CONSTRUTIVA",OFFSET(A1939,-1,0)+1,LARGE(A$3:A1938,1))</f>
        <v>#NUM!</v>
      </c>
      <c r="B1939" s="762">
        <f t="shared" ca="1" si="362"/>
        <v>21</v>
      </c>
      <c r="C1939" s="762">
        <f t="shared" ca="1" si="363"/>
        <v>1</v>
      </c>
      <c r="D1939" s="763">
        <f t="shared" ca="1" si="364"/>
        <v>1</v>
      </c>
      <c r="E1939" s="763">
        <f t="shared" ca="1" si="365"/>
        <v>1</v>
      </c>
    </row>
    <row r="1940" spans="1:5" x14ac:dyDescent="0.2">
      <c r="A1940" s="762" t="e">
        <f ca="1">IF($H1940="UNIDADE CONSTRUTIVA",OFFSET(A1940,-1,0)+1,LARGE(A$3:A1939,1))</f>
        <v>#NUM!</v>
      </c>
      <c r="B1940" s="762">
        <f t="shared" ca="1" si="362"/>
        <v>21</v>
      </c>
      <c r="C1940" s="762">
        <f t="shared" ca="1" si="363"/>
        <v>1</v>
      </c>
      <c r="D1940" s="763">
        <f t="shared" ca="1" si="364"/>
        <v>1</v>
      </c>
      <c r="E1940" s="763">
        <f t="shared" ca="1" si="365"/>
        <v>1</v>
      </c>
    </row>
    <row r="1941" spans="1:5" x14ac:dyDescent="0.2">
      <c r="A1941" s="762" t="e">
        <f ca="1">IF($H1941="UNIDADE CONSTRUTIVA",OFFSET(A1941,-1,0)+1,LARGE(A$3:A1940,1))</f>
        <v>#NUM!</v>
      </c>
      <c r="B1941" s="762">
        <f t="shared" ca="1" si="362"/>
        <v>21</v>
      </c>
      <c r="C1941" s="762">
        <f t="shared" ca="1" si="363"/>
        <v>1</v>
      </c>
      <c r="D1941" s="763">
        <f t="shared" ca="1" si="364"/>
        <v>1</v>
      </c>
      <c r="E1941" s="763">
        <f t="shared" ca="1" si="365"/>
        <v>1</v>
      </c>
    </row>
    <row r="1942" spans="1:5" x14ac:dyDescent="0.2">
      <c r="A1942" s="762" t="e">
        <f ca="1">IF($H1942="UNIDADE CONSTRUTIVA",OFFSET(A1942,-1,0)+1,LARGE(A$3:A1941,1))</f>
        <v>#NUM!</v>
      </c>
      <c r="B1942" s="762">
        <f t="shared" ca="1" si="362"/>
        <v>21</v>
      </c>
      <c r="C1942" s="762">
        <f t="shared" ca="1" si="363"/>
        <v>1</v>
      </c>
      <c r="D1942" s="763">
        <f t="shared" ca="1" si="364"/>
        <v>1</v>
      </c>
      <c r="E1942" s="763">
        <f t="shared" ca="1" si="365"/>
        <v>1</v>
      </c>
    </row>
    <row r="1943" spans="1:5" x14ac:dyDescent="0.2">
      <c r="A1943" s="762" t="e">
        <f ca="1">IF($H1943="UNIDADE CONSTRUTIVA",OFFSET(A1943,-1,0)+1,LARGE(A$3:A1942,1))</f>
        <v>#NUM!</v>
      </c>
      <c r="B1943" s="762">
        <f t="shared" ca="1" si="362"/>
        <v>21</v>
      </c>
      <c r="C1943" s="762">
        <f t="shared" ca="1" si="363"/>
        <v>1</v>
      </c>
      <c r="D1943" s="763">
        <f t="shared" ca="1" si="364"/>
        <v>1</v>
      </c>
      <c r="E1943" s="763">
        <f t="shared" ca="1" si="365"/>
        <v>1</v>
      </c>
    </row>
    <row r="1944" spans="1:5" x14ac:dyDescent="0.2">
      <c r="A1944" s="762" t="e">
        <f ca="1">IF($H1944="UNIDADE CONSTRUTIVA",OFFSET(A1944,-1,0)+1,LARGE(A$3:A1943,1))</f>
        <v>#NUM!</v>
      </c>
      <c r="B1944" s="762">
        <f t="shared" ca="1" si="362"/>
        <v>21</v>
      </c>
      <c r="C1944" s="762">
        <f t="shared" ca="1" si="363"/>
        <v>1</v>
      </c>
      <c r="D1944" s="763">
        <f t="shared" ca="1" si="364"/>
        <v>1</v>
      </c>
      <c r="E1944" s="763">
        <f t="shared" ca="1" si="365"/>
        <v>1</v>
      </c>
    </row>
    <row r="1945" spans="1:5" x14ac:dyDescent="0.2">
      <c r="A1945" s="762" t="e">
        <f ca="1">IF($H1945="UNIDADE CONSTRUTIVA",OFFSET(A1945,-1,0)+1,LARGE(A$3:A1944,1))</f>
        <v>#NUM!</v>
      </c>
      <c r="B1945" s="762">
        <f t="shared" ca="1" si="362"/>
        <v>21</v>
      </c>
      <c r="C1945" s="762">
        <f t="shared" ca="1" si="363"/>
        <v>1</v>
      </c>
      <c r="D1945" s="763">
        <f t="shared" ca="1" si="364"/>
        <v>1</v>
      </c>
      <c r="E1945" s="763">
        <f t="shared" ca="1" si="365"/>
        <v>1</v>
      </c>
    </row>
    <row r="1946" spans="1:5" x14ac:dyDescent="0.2">
      <c r="A1946" s="762" t="e">
        <f ca="1">IF($H1946="UNIDADE CONSTRUTIVA",OFFSET(A1946,-1,0)+1,LARGE(A$3:A1945,1))</f>
        <v>#NUM!</v>
      </c>
      <c r="B1946" s="762">
        <f t="shared" ca="1" si="362"/>
        <v>21</v>
      </c>
      <c r="C1946" s="762">
        <f t="shared" ca="1" si="363"/>
        <v>1</v>
      </c>
      <c r="D1946" s="763">
        <f t="shared" ca="1" si="364"/>
        <v>1</v>
      </c>
      <c r="E1946" s="763">
        <f t="shared" ca="1" si="365"/>
        <v>1</v>
      </c>
    </row>
    <row r="1947" spans="1:5" x14ac:dyDescent="0.2">
      <c r="A1947" s="762" t="e">
        <f ca="1">IF($H1947="UNIDADE CONSTRUTIVA",OFFSET(A1947,-1,0)+1,LARGE(A$3:A1946,1))</f>
        <v>#NUM!</v>
      </c>
      <c r="B1947" s="762">
        <f t="shared" ca="1" si="362"/>
        <v>21</v>
      </c>
      <c r="C1947" s="762">
        <f t="shared" ca="1" si="363"/>
        <v>1</v>
      </c>
      <c r="D1947" s="763">
        <f t="shared" ca="1" si="364"/>
        <v>1</v>
      </c>
      <c r="E1947" s="763">
        <f t="shared" ca="1" si="365"/>
        <v>1</v>
      </c>
    </row>
    <row r="1948" spans="1:5" x14ac:dyDescent="0.2">
      <c r="A1948" s="762" t="e">
        <f ca="1">IF($H1948="UNIDADE CONSTRUTIVA",OFFSET(A1948,-1,0)+1,LARGE(A$3:A1947,1))</f>
        <v>#NUM!</v>
      </c>
      <c r="B1948" s="762">
        <f t="shared" ca="1" si="362"/>
        <v>21</v>
      </c>
      <c r="C1948" s="762">
        <f t="shared" ca="1" si="363"/>
        <v>1</v>
      </c>
      <c r="D1948" s="763">
        <f t="shared" ca="1" si="364"/>
        <v>1</v>
      </c>
      <c r="E1948" s="763">
        <f t="shared" ca="1" si="365"/>
        <v>1</v>
      </c>
    </row>
    <row r="1949" spans="1:5" x14ac:dyDescent="0.2">
      <c r="A1949" s="762" t="e">
        <f ca="1">IF($H1949="UNIDADE CONSTRUTIVA",OFFSET(A1949,-1,0)+1,LARGE(A$3:A1948,1))</f>
        <v>#NUM!</v>
      </c>
      <c r="B1949" s="762">
        <f t="shared" ca="1" si="362"/>
        <v>21</v>
      </c>
      <c r="C1949" s="762">
        <f t="shared" ca="1" si="363"/>
        <v>1</v>
      </c>
      <c r="D1949" s="763">
        <f t="shared" ca="1" si="364"/>
        <v>1</v>
      </c>
      <c r="E1949" s="763">
        <f t="shared" ca="1" si="365"/>
        <v>1</v>
      </c>
    </row>
    <row r="1950" spans="1:5" x14ac:dyDescent="0.2">
      <c r="A1950" s="762" t="e">
        <f ca="1">IF($H1950="UNIDADE CONSTRUTIVA",OFFSET(A1950,-1,0)+1,LARGE(A$3:A1949,1))</f>
        <v>#NUM!</v>
      </c>
      <c r="B1950" s="762">
        <f t="shared" ca="1" si="362"/>
        <v>21</v>
      </c>
      <c r="C1950" s="762">
        <f t="shared" ca="1" si="363"/>
        <v>1</v>
      </c>
      <c r="D1950" s="763">
        <f t="shared" ca="1" si="364"/>
        <v>1</v>
      </c>
      <c r="E1950" s="763">
        <f t="shared" ca="1" si="365"/>
        <v>1</v>
      </c>
    </row>
    <row r="1951" spans="1:5" x14ac:dyDescent="0.2">
      <c r="A1951" s="762" t="e">
        <f ca="1">IF($H1951="UNIDADE CONSTRUTIVA",OFFSET(A1951,-1,0)+1,LARGE(A$3:A1950,1))</f>
        <v>#NUM!</v>
      </c>
      <c r="B1951" s="762">
        <f t="shared" ca="1" si="362"/>
        <v>21</v>
      </c>
      <c r="C1951" s="762">
        <f t="shared" ca="1" si="363"/>
        <v>1</v>
      </c>
      <c r="D1951" s="763">
        <f t="shared" ca="1" si="364"/>
        <v>1</v>
      </c>
      <c r="E1951" s="763">
        <f t="shared" ca="1" si="365"/>
        <v>1</v>
      </c>
    </row>
    <row r="1952" spans="1:5" x14ac:dyDescent="0.2">
      <c r="A1952" s="762" t="e">
        <f ca="1">IF($H1952="UNIDADE CONSTRUTIVA",OFFSET(A1952,-1,0)+1,LARGE(A$3:A1951,1))</f>
        <v>#NUM!</v>
      </c>
      <c r="B1952" s="762">
        <f t="shared" ca="1" si="362"/>
        <v>21</v>
      </c>
      <c r="C1952" s="762">
        <f t="shared" ca="1" si="363"/>
        <v>1</v>
      </c>
      <c r="D1952" s="763">
        <f t="shared" ca="1" si="364"/>
        <v>1</v>
      </c>
      <c r="E1952" s="763">
        <f t="shared" ca="1" si="365"/>
        <v>1</v>
      </c>
    </row>
    <row r="1953" spans="1:5" x14ac:dyDescent="0.2">
      <c r="A1953" s="762" t="e">
        <f ca="1">IF($H1953="UNIDADE CONSTRUTIVA",OFFSET(A1953,-1,0)+1,LARGE(A$3:A1952,1))</f>
        <v>#NUM!</v>
      </c>
      <c r="B1953" s="762">
        <f t="shared" ca="1" si="362"/>
        <v>21</v>
      </c>
      <c r="C1953" s="762">
        <f t="shared" ca="1" si="363"/>
        <v>1</v>
      </c>
      <c r="D1953" s="763">
        <f t="shared" ca="1" si="364"/>
        <v>1</v>
      </c>
      <c r="E1953" s="763">
        <f t="shared" ca="1" si="365"/>
        <v>1</v>
      </c>
    </row>
    <row r="1954" spans="1:5" x14ac:dyDescent="0.2">
      <c r="A1954" s="762" t="e">
        <f ca="1">IF($H1954="UNIDADE CONSTRUTIVA",OFFSET(A1954,-1,0)+1,LARGE(A$3:A1953,1))</f>
        <v>#NUM!</v>
      </c>
      <c r="B1954" s="762">
        <f t="shared" ca="1" si="362"/>
        <v>21</v>
      </c>
      <c r="C1954" s="762">
        <f t="shared" ca="1" si="363"/>
        <v>1</v>
      </c>
      <c r="D1954" s="763">
        <f t="shared" ca="1" si="364"/>
        <v>1</v>
      </c>
      <c r="E1954" s="763">
        <f t="shared" ca="1" si="365"/>
        <v>1</v>
      </c>
    </row>
    <row r="1955" spans="1:5" x14ac:dyDescent="0.2">
      <c r="A1955" s="762" t="e">
        <f ca="1">IF($H1955="UNIDADE CONSTRUTIVA",OFFSET(A1955,-1,0)+1,LARGE(A$3:A1954,1))</f>
        <v>#NUM!</v>
      </c>
      <c r="B1955" s="762">
        <f t="shared" ca="1" si="362"/>
        <v>21</v>
      </c>
      <c r="C1955" s="762">
        <f t="shared" ca="1" si="363"/>
        <v>1</v>
      </c>
      <c r="D1955" s="763">
        <f t="shared" ca="1" si="364"/>
        <v>1</v>
      </c>
      <c r="E1955" s="763">
        <f t="shared" ca="1" si="365"/>
        <v>1</v>
      </c>
    </row>
    <row r="1956" spans="1:5" x14ac:dyDescent="0.2">
      <c r="A1956" s="762" t="e">
        <f ca="1">IF($H1956="UNIDADE CONSTRUTIVA",OFFSET(A1956,-1,0)+1,LARGE(A$3:A1955,1))</f>
        <v>#NUM!</v>
      </c>
      <c r="B1956" s="762">
        <f t="shared" ca="1" si="362"/>
        <v>21</v>
      </c>
      <c r="C1956" s="762">
        <f t="shared" ca="1" si="363"/>
        <v>1</v>
      </c>
      <c r="D1956" s="763">
        <f t="shared" ca="1" si="364"/>
        <v>1</v>
      </c>
      <c r="E1956" s="763">
        <f t="shared" ca="1" si="365"/>
        <v>1</v>
      </c>
    </row>
    <row r="1957" spans="1:5" x14ac:dyDescent="0.2">
      <c r="A1957" s="762" t="e">
        <f ca="1">IF($H1957="UNIDADE CONSTRUTIVA",OFFSET(A1957,-1,0)+1,LARGE(A$3:A1956,1))</f>
        <v>#NUM!</v>
      </c>
      <c r="B1957" s="762">
        <f t="shared" ca="1" si="362"/>
        <v>21</v>
      </c>
      <c r="C1957" s="762">
        <f t="shared" ca="1" si="363"/>
        <v>1</v>
      </c>
      <c r="D1957" s="763">
        <f t="shared" ca="1" si="364"/>
        <v>1</v>
      </c>
      <c r="E1957" s="763">
        <f t="shared" ca="1" si="365"/>
        <v>1</v>
      </c>
    </row>
  </sheetData>
  <autoFilter ref="G7:P253" xr:uid="{00000000-0009-0000-0000-000004000000}">
    <filterColumn colId="3" showButton="0"/>
  </autoFilter>
  <mergeCells count="1">
    <mergeCell ref="G6:P6"/>
  </mergeCells>
  <phoneticPr fontId="30" type="noConversion"/>
  <conditionalFormatting sqref="G721 O721">
    <cfRule type="expression" dxfId="7562" priority="10445">
      <formula>$H721="SUBETAPA"</formula>
    </cfRule>
    <cfRule type="expression" dxfId="7561" priority="10446">
      <formula>$H721="CÉLULA CONSTRUTIVA"</formula>
    </cfRule>
    <cfRule type="expression" dxfId="7560" priority="10447">
      <formula>$H721="ETAPA"</formula>
    </cfRule>
  </conditionalFormatting>
  <conditionalFormatting sqref="G733:G734 L734 O733:O734">
    <cfRule type="expression" dxfId="7559" priority="10988">
      <formula>$H733="ETAPA"</formula>
    </cfRule>
    <cfRule type="expression" dxfId="7558" priority="10986">
      <formula>$H733="SUBETAPA"</formula>
    </cfRule>
    <cfRule type="expression" dxfId="7557" priority="10987">
      <formula>$H733="CÉLULA CONSTRUTIVA"</formula>
    </cfRule>
  </conditionalFormatting>
  <conditionalFormatting sqref="G735 L735 O735">
    <cfRule type="expression" dxfId="7556" priority="10977">
      <formula>$H735="ETAPA"</formula>
    </cfRule>
    <cfRule type="expression" dxfId="7555" priority="10975">
      <formula>$H735="SUBETAPA"</formula>
    </cfRule>
    <cfRule type="expression" dxfId="7554" priority="10976">
      <formula>$H735="CÉLULA CONSTRUTIVA"</formula>
    </cfRule>
  </conditionalFormatting>
  <conditionalFormatting sqref="G738 O738">
    <cfRule type="expression" dxfId="7553" priority="10465">
      <formula>$H738="SUBETAPA"</formula>
    </cfRule>
    <cfRule type="expression" dxfId="7552" priority="10466">
      <formula>$H738="CÉLULA CONSTRUTIVA"</formula>
    </cfRule>
    <cfRule type="expression" dxfId="7551" priority="10467">
      <formula>$H738="ETAPA"</formula>
    </cfRule>
  </conditionalFormatting>
  <conditionalFormatting sqref="G743:G745 M743 N744:O745 O743:P743">
    <cfRule type="expression" dxfId="7550" priority="11059">
      <formula>$H743="CÉLULA CONSTRUTIVA"</formula>
    </cfRule>
    <cfRule type="expression" dxfId="7549" priority="11058">
      <formula>$H743="SUBETAPA"</formula>
    </cfRule>
    <cfRule type="expression" dxfId="7548" priority="11060">
      <formula>$H743="ETAPA"</formula>
    </cfRule>
  </conditionalFormatting>
  <conditionalFormatting sqref="G746 N746:O746">
    <cfRule type="expression" dxfId="7547" priority="2926">
      <formula>$H746="ETAPA"</formula>
    </cfRule>
    <cfRule type="expression" dxfId="7546" priority="2924">
      <formula>$H746="SUBETAPA"</formula>
    </cfRule>
    <cfRule type="expression" dxfId="7545" priority="2925">
      <formula>$H746="CÉLULA CONSTRUTIVA"</formula>
    </cfRule>
  </conditionalFormatting>
  <conditionalFormatting sqref="G747 O747">
    <cfRule type="expression" dxfId="7544" priority="11044">
      <formula>$H747="SUBETAPA"</formula>
    </cfRule>
    <cfRule type="expression" dxfId="7543" priority="11045">
      <formula>$H747="CÉLULA CONSTRUTIVA"</formula>
    </cfRule>
    <cfRule type="expression" dxfId="7542" priority="11046">
      <formula>$H747="ETAPA"</formula>
    </cfRule>
  </conditionalFormatting>
  <conditionalFormatting sqref="G755 O755">
    <cfRule type="expression" dxfId="7541" priority="10491">
      <formula>$H755="SUBETAPA"</formula>
    </cfRule>
    <cfRule type="expression" dxfId="7540" priority="10492">
      <formula>$H755="CÉLULA CONSTRUTIVA"</formula>
    </cfRule>
    <cfRule type="expression" dxfId="7539" priority="10493">
      <formula>$H755="ETAPA"</formula>
    </cfRule>
  </conditionalFormatting>
  <conditionalFormatting sqref="G763:G764 O763:O764">
    <cfRule type="expression" dxfId="7538" priority="11093">
      <formula>$H763="ETAPA"</formula>
    </cfRule>
    <cfRule type="expression" dxfId="7537" priority="11092">
      <formula>$H763="CÉLULA CONSTRUTIVA"</formula>
    </cfRule>
    <cfRule type="expression" dxfId="7536" priority="11091">
      <formula>$H763="SUBETAPA"</formula>
    </cfRule>
  </conditionalFormatting>
  <conditionalFormatting sqref="G770:G771 O771 M770 O770:P770">
    <cfRule type="expression" dxfId="7535" priority="11082">
      <formula>$H770="ETAPA"</formula>
    </cfRule>
    <cfRule type="expression" dxfId="7534" priority="11081">
      <formula>$H770="CÉLULA CONSTRUTIVA"</formula>
    </cfRule>
    <cfRule type="expression" dxfId="7533" priority="11080">
      <formula>$H770="SUBETAPA"</formula>
    </cfRule>
  </conditionalFormatting>
  <conditionalFormatting sqref="G772 O772">
    <cfRule type="expression" dxfId="7532" priority="10508">
      <formula>$H772="SUBETAPA"</formula>
    </cfRule>
    <cfRule type="expression" dxfId="7531" priority="10509">
      <formula>$H772="CÉLULA CONSTRUTIVA"</formula>
    </cfRule>
    <cfRule type="expression" dxfId="7530" priority="10510">
      <formula>$H772="ETAPA"</formula>
    </cfRule>
  </conditionalFormatting>
  <conditionalFormatting sqref="G773:G774 M773 O773:O774">
    <cfRule type="expression" dxfId="7529" priority="11071">
      <formula>$H773="ETAPA"</formula>
    </cfRule>
    <cfRule type="expression" dxfId="7528" priority="11070">
      <formula>$H773="CÉLULA CONSTRUTIVA"</formula>
    </cfRule>
    <cfRule type="expression" dxfId="7527" priority="11069">
      <formula>$H773="SUBETAPA"</formula>
    </cfRule>
  </conditionalFormatting>
  <conditionalFormatting sqref="G777 M777:P777 G779:G780 N779:O780 N781:N782">
    <cfRule type="expression" dxfId="7526" priority="11152">
      <formula>$H777="SUBETAPA"</formula>
    </cfRule>
  </conditionalFormatting>
  <conditionalFormatting sqref="G777 M777:P777 N779:O780 G779:G780 N781:N782">
    <cfRule type="expression" dxfId="7525" priority="11153">
      <formula>$H777="CÉLULA CONSTRUTIVA"</formula>
    </cfRule>
    <cfRule type="expression" dxfId="7524" priority="11154">
      <formula>$H777="ETAPA"</formula>
    </cfRule>
  </conditionalFormatting>
  <conditionalFormatting sqref="G781 O781">
    <cfRule type="expression" dxfId="7523" priority="10784">
      <formula>$H781="SUBETAPA"</formula>
    </cfRule>
    <cfRule type="expression" dxfId="7522" priority="10785">
      <formula>$H781="CÉLULA CONSTRUTIVA"</formula>
    </cfRule>
    <cfRule type="expression" dxfId="7521" priority="10786">
      <formula>$H781="ETAPA"</formula>
    </cfRule>
  </conditionalFormatting>
  <conditionalFormatting sqref="G788:G789 O789 M788 O788:P788">
    <cfRule type="expression" dxfId="7520" priority="11129">
      <formula>$H788="ETAPA"</formula>
    </cfRule>
    <cfRule type="expression" dxfId="7519" priority="11128">
      <formula>$H788="CÉLULA CONSTRUTIVA"</formula>
    </cfRule>
    <cfRule type="expression" dxfId="7518" priority="11127">
      <formula>$H788="SUBETAPA"</formula>
    </cfRule>
  </conditionalFormatting>
  <conditionalFormatting sqref="G790:G791 M790 O790:O791">
    <cfRule type="expression" dxfId="7517" priority="11117">
      <formula>$H790="CÉLULA CONSTRUTIVA"</formula>
    </cfRule>
    <cfRule type="expression" dxfId="7516" priority="11118">
      <formula>$H790="ETAPA"</formula>
    </cfRule>
    <cfRule type="expression" dxfId="7515" priority="11116">
      <formula>$H790="SUBETAPA"</formula>
    </cfRule>
  </conditionalFormatting>
  <conditionalFormatting sqref="G799:G801 O799:O801">
    <cfRule type="expression" dxfId="7514" priority="2861">
      <formula>$H799="SUBETAPA"</formula>
    </cfRule>
    <cfRule type="expression" dxfId="7513" priority="2862">
      <formula>$H799="CÉLULA CONSTRUTIVA"</formula>
    </cfRule>
    <cfRule type="expression" dxfId="7512" priority="2863">
      <formula>$H799="ETAPA"</formula>
    </cfRule>
  </conditionalFormatting>
  <conditionalFormatting sqref="G802 O802">
    <cfRule type="expression" dxfId="7511" priority="11176">
      <formula>$H802="ETAPA"</formula>
    </cfRule>
    <cfRule type="expression" dxfId="7510" priority="11175">
      <formula>$H802="CÉLULA CONSTRUTIVA"</formula>
    </cfRule>
  </conditionalFormatting>
  <conditionalFormatting sqref="G802:G804 M803:P803">
    <cfRule type="expression" dxfId="7509" priority="11163">
      <formula>$H802="SUBETAPA"</formula>
    </cfRule>
  </conditionalFormatting>
  <conditionalFormatting sqref="G803:G804 O804 M803:P803">
    <cfRule type="expression" dxfId="7508" priority="11164">
      <formula>$H803="CÉLULA CONSTRUTIVA"</formula>
    </cfRule>
    <cfRule type="expression" dxfId="7507" priority="11165">
      <formula>$H803="ETAPA"</formula>
    </cfRule>
  </conditionalFormatting>
  <conditionalFormatting sqref="G805:G806 M805 O805:O806">
    <cfRule type="expression" dxfId="7506" priority="10727">
      <formula>$H805="ETAPA"</formula>
    </cfRule>
    <cfRule type="expression" dxfId="7505" priority="10725">
      <formula>$H805="SUBETAPA"</formula>
    </cfRule>
    <cfRule type="expression" dxfId="7504" priority="10726">
      <formula>$H805="CÉLULA CONSTRUTIVA"</formula>
    </cfRule>
  </conditionalFormatting>
  <conditionalFormatting sqref="G811 K811:L811 N811:O811">
    <cfRule type="expression" dxfId="7503" priority="2838">
      <formula>$H811="SUBETAPA"</formula>
    </cfRule>
    <cfRule type="expression" dxfId="7502" priority="2839">
      <formula>$H811="CÉLULA CONSTRUTIVA"</formula>
    </cfRule>
    <cfRule type="expression" dxfId="7501" priority="2840">
      <formula>$H811="ETAPA"</formula>
    </cfRule>
  </conditionalFormatting>
  <conditionalFormatting sqref="G812:G819 M818:P818">
    <cfRule type="expression" dxfId="7500" priority="11210">
      <formula>$H812="SUBETAPA"</formula>
    </cfRule>
  </conditionalFormatting>
  <conditionalFormatting sqref="G816:G817 O817 M816:P816">
    <cfRule type="expression" dxfId="7499" priority="11222">
      <formula>$H816="CÉLULA CONSTRUTIVA"</formula>
    </cfRule>
    <cfRule type="expression" dxfId="7498" priority="11223">
      <formula>$H816="ETAPA"</formula>
    </cfRule>
  </conditionalFormatting>
  <conditionalFormatting sqref="G818:G819 O819 M818:P818">
    <cfRule type="expression" dxfId="7497" priority="11211">
      <formula>$H818="CÉLULA CONSTRUTIVA"</formula>
    </cfRule>
    <cfRule type="expression" dxfId="7496" priority="11212">
      <formula>$H818="ETAPA"</formula>
    </cfRule>
  </conditionalFormatting>
  <conditionalFormatting sqref="G827 O827">
    <cfRule type="expression" dxfId="7495" priority="10597">
      <formula>$H827="CÉLULA CONSTRUTIVA"</formula>
    </cfRule>
    <cfRule type="expression" dxfId="7494" priority="10598">
      <formula>$H827="ETAPA"</formula>
    </cfRule>
    <cfRule type="expression" dxfId="7493" priority="10596">
      <formula>$H827="SUBETAPA"</formula>
    </cfRule>
  </conditionalFormatting>
  <conditionalFormatting sqref="G828:G829 O829 M828 O828:P828">
    <cfRule type="expression" dxfId="7492" priority="10179">
      <formula>$H828="ETAPA"</formula>
    </cfRule>
    <cfRule type="expression" dxfId="7491" priority="10178">
      <formula>$H828="CÉLULA CONSTRUTIVA"</formula>
    </cfRule>
    <cfRule type="expression" dxfId="7490" priority="10177">
      <formula>$H828="SUBETAPA"</formula>
    </cfRule>
  </conditionalFormatting>
  <conditionalFormatting sqref="G830:G831 O831 M830:P830">
    <cfRule type="expression" dxfId="7489" priority="10631">
      <formula>$H830="SUBETAPA"</formula>
    </cfRule>
    <cfRule type="expression" dxfId="7488" priority="10632">
      <formula>$H830="CÉLULA CONSTRUTIVA"</formula>
    </cfRule>
    <cfRule type="expression" dxfId="7487" priority="10633">
      <formula>$H830="ETAPA"</formula>
    </cfRule>
  </conditionalFormatting>
  <conditionalFormatting sqref="G832 O832">
    <cfRule type="expression" dxfId="7486" priority="1667">
      <formula>$H832="CÉLULA CONSTRUTIVA"</formula>
    </cfRule>
    <cfRule type="expression" dxfId="7485" priority="1668">
      <formula>$H832="ETAPA"</formula>
    </cfRule>
    <cfRule type="expression" dxfId="7484" priority="1666">
      <formula>$H832="SUBETAPA"</formula>
    </cfRule>
  </conditionalFormatting>
  <conditionalFormatting sqref="G236:I237 K236:P236 K237:L237 N237:P237">
    <cfRule type="expression" dxfId="7483" priority="11654">
      <formula>$H236="CÉLULA CONSTRUTIVA"</formula>
    </cfRule>
    <cfRule type="expression" dxfId="7482" priority="11655">
      <formula>$H236="ETAPA"</formula>
    </cfRule>
  </conditionalFormatting>
  <conditionalFormatting sqref="G278:I280 G283:L288 G292:M292">
    <cfRule type="expression" dxfId="7481" priority="12696">
      <formula>$H278="SUBETAPA"</formula>
    </cfRule>
  </conditionalFormatting>
  <conditionalFormatting sqref="G298:I300 K298:L300 G311:I312">
    <cfRule type="expression" dxfId="7480" priority="12719">
      <formula>$H298="SUBETAPA"</formula>
    </cfRule>
  </conditionalFormatting>
  <conditionalFormatting sqref="G606:I606 K606:L606">
    <cfRule type="expression" dxfId="7479" priority="11388">
      <formula>$H606="SUBETAPA"</formula>
    </cfRule>
  </conditionalFormatting>
  <conditionalFormatting sqref="G606:I606 O606 K606:L606">
    <cfRule type="expression" dxfId="7478" priority="11389">
      <formula>$H606="CÉLULA CONSTRUTIVA"</formula>
    </cfRule>
    <cfRule type="expression" dxfId="7477" priority="11390">
      <formula>$H606="ETAPA"</formula>
    </cfRule>
  </conditionalFormatting>
  <conditionalFormatting sqref="G607:I607 O607 K607:L607">
    <cfRule type="expression" dxfId="7476" priority="3149">
      <formula>$H607="SUBETAPA"</formula>
    </cfRule>
    <cfRule type="expression" dxfId="7475" priority="3150">
      <formula>$H607="CÉLULA CONSTRUTIVA"</formula>
    </cfRule>
    <cfRule type="expression" dxfId="7474" priority="3151">
      <formula>$H607="ETAPA"</formula>
    </cfRule>
  </conditionalFormatting>
  <conditionalFormatting sqref="G650:I650 O650 K650:L650">
    <cfRule type="expression" dxfId="7473" priority="4281">
      <formula>$H650="ETAPA"</formula>
    </cfRule>
    <cfRule type="expression" dxfId="7472" priority="4279">
      <formula>$H650="SUBETAPA"</formula>
    </cfRule>
    <cfRule type="expression" dxfId="7471" priority="4280">
      <formula>$H650="CÉLULA CONSTRUTIVA"</formula>
    </cfRule>
  </conditionalFormatting>
  <conditionalFormatting sqref="G698:I698 O698 K698:L698">
    <cfRule type="expression" dxfId="7470" priority="3887">
      <formula>$H698="ETAPA"</formula>
    </cfRule>
    <cfRule type="expression" dxfId="7469" priority="3885">
      <formula>$H698="SUBETAPA"</formula>
    </cfRule>
    <cfRule type="expression" dxfId="7468" priority="3886">
      <formula>$H698="CÉLULA CONSTRUTIVA"</formula>
    </cfRule>
  </conditionalFormatting>
  <conditionalFormatting sqref="G699:I699 O699 K699:L699">
    <cfRule type="expression" dxfId="7467" priority="3881">
      <formula>$H699="ETAPA"</formula>
    </cfRule>
    <cfRule type="expression" dxfId="7466" priority="3880">
      <formula>$H699="CÉLULA CONSTRUTIVA"</formula>
    </cfRule>
    <cfRule type="expression" dxfId="7465" priority="3879">
      <formula>$H699="SUBETAPA"</formula>
    </cfRule>
  </conditionalFormatting>
  <conditionalFormatting sqref="G719:I720 O720 M719 O719:P719">
    <cfRule type="expression" dxfId="7464" priority="11351">
      <formula>$H719="ETAPA"</formula>
    </cfRule>
    <cfRule type="expression" dxfId="7463" priority="11350">
      <formula>$H719="CÉLULA CONSTRUTIVA"</formula>
    </cfRule>
  </conditionalFormatting>
  <conditionalFormatting sqref="G722:I723 O723 M722:P722">
    <cfRule type="expression" dxfId="7462" priority="11340">
      <formula>$H722="ETAPA"</formula>
    </cfRule>
    <cfRule type="expression" dxfId="7461" priority="11339">
      <formula>$H722="CÉLULA CONSTRUTIVA"</formula>
    </cfRule>
  </conditionalFormatting>
  <conditionalFormatting sqref="G736:I736 G737:K737 K736:M736 O736:O737">
    <cfRule type="expression" dxfId="7460" priority="10556">
      <formula>$H736="SUBETAPA"</formula>
    </cfRule>
    <cfRule type="expression" dxfId="7459" priority="10558">
      <formula>$H736="ETAPA"</formula>
    </cfRule>
    <cfRule type="expression" dxfId="7458" priority="10557">
      <formula>$H736="CÉLULA CONSTRUTIVA"</formula>
    </cfRule>
  </conditionalFormatting>
  <conditionalFormatting sqref="G753:I753 G754:K754 O754 K753:M753 O753:P753">
    <cfRule type="expression" dxfId="7457" priority="11034">
      <formula>$H753="CÉLULA CONSTRUTIVA"</formula>
    </cfRule>
    <cfRule type="expression" dxfId="7456" priority="11035">
      <formula>$H753="ETAPA"</formula>
    </cfRule>
    <cfRule type="expression" dxfId="7455" priority="11033">
      <formula>$H753="SUBETAPA"</formula>
    </cfRule>
  </conditionalFormatting>
  <conditionalFormatting sqref="G905:I905 N905:O905 K905">
    <cfRule type="expression" dxfId="7454" priority="9646">
      <formula>$H905="ETAPA"</formula>
    </cfRule>
    <cfRule type="expression" dxfId="7453" priority="9645">
      <formula>$H905="CÉLULA CONSTRUTIVA"</formula>
    </cfRule>
    <cfRule type="expression" dxfId="7452" priority="9644">
      <formula>$H905="SUBETAPA"</formula>
    </cfRule>
  </conditionalFormatting>
  <conditionalFormatting sqref="G916:I916 N916:O916 K916">
    <cfRule type="expression" dxfId="7451" priority="9556">
      <formula>$H916="ETAPA"</formula>
    </cfRule>
    <cfRule type="expression" dxfId="7450" priority="9555">
      <formula>$H916="CÉLULA CONSTRUTIVA"</formula>
    </cfRule>
    <cfRule type="expression" dxfId="7449" priority="9554">
      <formula>$H916="SUBETAPA"</formula>
    </cfRule>
  </conditionalFormatting>
  <conditionalFormatting sqref="G978:I978 N978:O978 K978">
    <cfRule type="expression" dxfId="7448" priority="8693">
      <formula>$H978="SUBETAPA"</formula>
    </cfRule>
    <cfRule type="expression" dxfId="7447" priority="8694">
      <formula>$H978="CÉLULA CONSTRUTIVA"</formula>
    </cfRule>
    <cfRule type="expression" dxfId="7446" priority="8695">
      <formula>$H978="ETAPA"</formula>
    </cfRule>
  </conditionalFormatting>
  <conditionalFormatting sqref="G1006:I1006 N1006:O1006 K1006">
    <cfRule type="expression" dxfId="7445" priority="8982">
      <formula>$H1006="ETAPA"</formula>
    </cfRule>
    <cfRule type="expression" dxfId="7444" priority="8981">
      <formula>$H1006="CÉLULA CONSTRUTIVA"</formula>
    </cfRule>
    <cfRule type="expression" dxfId="7443" priority="8980">
      <formula>$H1006="SUBETAPA"</formula>
    </cfRule>
  </conditionalFormatting>
  <conditionalFormatting sqref="G1037:I1037 O1037 K1037:L1037">
    <cfRule type="expression" dxfId="7442" priority="3058">
      <formula>$H1037="ETAPA"</formula>
    </cfRule>
    <cfRule type="expression" dxfId="7441" priority="3057">
      <formula>$H1037="CÉLULA CONSTRUTIVA"</formula>
    </cfRule>
    <cfRule type="expression" dxfId="7440" priority="3056">
      <formula>$H1037="SUBETAPA"</formula>
    </cfRule>
  </conditionalFormatting>
  <conditionalFormatting sqref="G1052:I1052 N1052:O1052">
    <cfRule type="expression" dxfId="7439" priority="6604">
      <formula>$H1052="SUBETAPA"</formula>
    </cfRule>
    <cfRule type="expression" dxfId="7438" priority="6605">
      <formula>$H1052="CÉLULA CONSTRUTIVA"</formula>
    </cfRule>
    <cfRule type="expression" dxfId="7437" priority="6606">
      <formula>$H1052="ETAPA"</formula>
    </cfRule>
  </conditionalFormatting>
  <conditionalFormatting sqref="G1072:I1072 N1072:O1072">
    <cfRule type="expression" dxfId="7436" priority="6596">
      <formula>$H1072="SUBETAPA"</formula>
    </cfRule>
    <cfRule type="expression" dxfId="7435" priority="6597">
      <formula>$H1072="CÉLULA CONSTRUTIVA"</formula>
    </cfRule>
    <cfRule type="expression" dxfId="7434" priority="6598">
      <formula>$H1072="ETAPA"</formula>
    </cfRule>
  </conditionalFormatting>
  <conditionalFormatting sqref="G1092:I1092 N1092:O1092">
    <cfRule type="expression" dxfId="7433" priority="6590">
      <formula>$H1092="ETAPA"</formula>
    </cfRule>
    <cfRule type="expression" dxfId="7432" priority="6588">
      <formula>$H1092="SUBETAPA"</formula>
    </cfRule>
    <cfRule type="expression" dxfId="7431" priority="6589">
      <formula>$H1092="CÉLULA CONSTRUTIVA"</formula>
    </cfRule>
  </conditionalFormatting>
  <conditionalFormatting sqref="G1108:I1108 N1108:O1108 K1108">
    <cfRule type="expression" dxfId="7430" priority="6909">
      <formula>$H1108="SUBETAPA"</formula>
    </cfRule>
    <cfRule type="expression" dxfId="7429" priority="6910">
      <formula>$H1108="CÉLULA CONSTRUTIVA"</formula>
    </cfRule>
    <cfRule type="expression" dxfId="7428" priority="6911">
      <formula>$H1108="ETAPA"</formula>
    </cfRule>
  </conditionalFormatting>
  <conditionalFormatting sqref="G1141:I1141 O1141 K1141">
    <cfRule type="expression" dxfId="7427" priority="6919">
      <formula>$H1141="ETAPA"</formula>
    </cfRule>
    <cfRule type="expression" dxfId="7426" priority="6918">
      <formula>$H1141="CÉLULA CONSTRUTIVA"</formula>
    </cfRule>
    <cfRule type="expression" dxfId="7425" priority="6917">
      <formula>$H1141="SUBETAPA"</formula>
    </cfRule>
  </conditionalFormatting>
  <conditionalFormatting sqref="G234:J237">
    <cfRule type="expression" dxfId="7424" priority="11650">
      <formula>$H234="SUBETAPA"</formula>
    </cfRule>
  </conditionalFormatting>
  <conditionalFormatting sqref="G313:J313 O313:P313 L313">
    <cfRule type="expression" dxfId="7423" priority="5388">
      <formula>$H313="ETAPA"</formula>
    </cfRule>
    <cfRule type="expression" dxfId="7422" priority="5387">
      <formula>$H313="CÉLULA CONSTRUTIVA"</formula>
    </cfRule>
    <cfRule type="expression" dxfId="7421" priority="5386">
      <formula>$H313="SUBETAPA"</formula>
    </cfRule>
  </conditionalFormatting>
  <conditionalFormatting sqref="G333:J333 O333:P333 L333">
    <cfRule type="expression" dxfId="7420" priority="5377">
      <formula>$H333="ETAPA"</formula>
    </cfRule>
    <cfRule type="expression" dxfId="7419" priority="5376">
      <formula>$H333="CÉLULA CONSTRUTIVA"</formula>
    </cfRule>
    <cfRule type="expression" dxfId="7418" priority="5375">
      <formula>$H333="SUBETAPA"</formula>
    </cfRule>
  </conditionalFormatting>
  <conditionalFormatting sqref="G353:J353 O353:P353 L353">
    <cfRule type="expression" dxfId="7417" priority="5364">
      <formula>$H353="SUBETAPA"</formula>
    </cfRule>
    <cfRule type="expression" dxfId="7416" priority="5366">
      <formula>$H353="ETAPA"</formula>
    </cfRule>
    <cfRule type="expression" dxfId="7415" priority="5365">
      <formula>$H353="CÉLULA CONSTRUTIVA"</formula>
    </cfRule>
  </conditionalFormatting>
  <conditionalFormatting sqref="G372:J372 O372:P372 L372">
    <cfRule type="expression" dxfId="7414" priority="5354">
      <formula>$H372="CÉLULA CONSTRUTIVA"</formula>
    </cfRule>
    <cfRule type="expression" dxfId="7413" priority="5353">
      <formula>$H372="SUBETAPA"</formula>
    </cfRule>
    <cfRule type="expression" dxfId="7412" priority="5355">
      <formula>$H372="ETAPA"</formula>
    </cfRule>
  </conditionalFormatting>
  <conditionalFormatting sqref="G1004:J1004 L1004 N1004:O1004">
    <cfRule type="expression" dxfId="7411" priority="8942">
      <formula>$H1004="ETAPA"</formula>
    </cfRule>
    <cfRule type="expression" dxfId="7410" priority="8940">
      <formula>$H1004="SUBETAPA"</formula>
    </cfRule>
    <cfRule type="expression" dxfId="7409" priority="8941">
      <formula>$H1004="CÉLULA CONSTRUTIVA"</formula>
    </cfRule>
  </conditionalFormatting>
  <conditionalFormatting sqref="G1220:J1220 N1220:O1220 L1220">
    <cfRule type="expression" dxfId="7408" priority="3405">
      <formula>$H1220="ETAPA"</formula>
    </cfRule>
    <cfRule type="expression" dxfId="7407" priority="3403">
      <formula>$H1220="SUBETAPA"</formula>
    </cfRule>
    <cfRule type="expression" dxfId="7406" priority="3404">
      <formula>$H1220="CÉLULA CONSTRUTIVA"</formula>
    </cfRule>
  </conditionalFormatting>
  <conditionalFormatting sqref="G1302:J1302 L1302:N1302 P1302">
    <cfRule type="expression" dxfId="7405" priority="559">
      <formula>$H1302="CÉLULA CONSTRUTIVA"</formula>
    </cfRule>
    <cfRule type="expression" dxfId="7404" priority="558">
      <formula>$H1302="SUBETAPA"</formula>
    </cfRule>
    <cfRule type="expression" dxfId="7403" priority="560">
      <formula>$H1302="ETAPA"</formula>
    </cfRule>
  </conditionalFormatting>
  <conditionalFormatting sqref="G708:K709 N708:O709">
    <cfRule type="expression" dxfId="7402" priority="10964">
      <formula>$H708="SUBETAPA"</formula>
    </cfRule>
    <cfRule type="expression" dxfId="7401" priority="10965">
      <formula>$H708="CÉLULA CONSTRUTIVA"</formula>
    </cfRule>
    <cfRule type="expression" dxfId="7400" priority="10966">
      <formula>$H708="ETAPA"</formula>
    </cfRule>
  </conditionalFormatting>
  <conditionalFormatting sqref="G710:K710 N710:O710">
    <cfRule type="expression" dxfId="7399" priority="10958">
      <formula>$H710="ETAPA"</formula>
    </cfRule>
    <cfRule type="expression" dxfId="7398" priority="10957">
      <formula>$H710="CÉLULA CONSTRUTIVA"</formula>
    </cfRule>
    <cfRule type="expression" dxfId="7397" priority="10956">
      <formula>$H710="SUBETAPA"</formula>
    </cfRule>
  </conditionalFormatting>
  <conditionalFormatting sqref="G711:K711 N711:O711">
    <cfRule type="expression" dxfId="7396" priority="10947">
      <formula>$H711="ETAPA"</formula>
    </cfRule>
    <cfRule type="expression" dxfId="7395" priority="10946">
      <formula>$H711="CÉLULA CONSTRUTIVA"</formula>
    </cfRule>
    <cfRule type="expression" dxfId="7394" priority="10945">
      <formula>$H711="SUBETAPA"</formula>
    </cfRule>
  </conditionalFormatting>
  <conditionalFormatting sqref="G712:K712 N712:O712">
    <cfRule type="expression" dxfId="7393" priority="10937">
      <formula>$H712="SUBETAPA"</formula>
    </cfRule>
    <cfRule type="expression" dxfId="7392" priority="10938">
      <formula>$H712="CÉLULA CONSTRUTIVA"</formula>
    </cfRule>
    <cfRule type="expression" dxfId="7391" priority="10939">
      <formula>$H712="ETAPA"</formula>
    </cfRule>
  </conditionalFormatting>
  <conditionalFormatting sqref="G897:K898 O897:O898">
    <cfRule type="expression" dxfId="7390" priority="9715">
      <formula>$H897="SUBETAPA"</formula>
    </cfRule>
    <cfRule type="expression" dxfId="7389" priority="9716">
      <formula>$H897="CÉLULA CONSTRUTIVA"</formula>
    </cfRule>
    <cfRule type="expression" dxfId="7388" priority="9717">
      <formula>$H897="ETAPA"</formula>
    </cfRule>
  </conditionalFormatting>
  <conditionalFormatting sqref="G903:K903 N903:O903">
    <cfRule type="expression" dxfId="7387" priority="9664">
      <formula>$H903="CÉLULA CONSTRUTIVA"</formula>
    </cfRule>
    <cfRule type="expression" dxfId="7386" priority="9665">
      <formula>$H903="ETAPA"</formula>
    </cfRule>
    <cfRule type="expression" dxfId="7385" priority="9663">
      <formula>$H903="SUBETAPA"</formula>
    </cfRule>
  </conditionalFormatting>
  <conditionalFormatting sqref="G904:K904 N904:O904 J905">
    <cfRule type="expression" dxfId="7384" priority="9655">
      <formula>$H904="SUBETAPA"</formula>
    </cfRule>
    <cfRule type="expression" dxfId="7383" priority="9656">
      <formula>$H904="CÉLULA CONSTRUTIVA"</formula>
    </cfRule>
    <cfRule type="expression" dxfId="7382" priority="9657">
      <formula>$H904="ETAPA"</formula>
    </cfRule>
  </conditionalFormatting>
  <conditionalFormatting sqref="G915:K915 N915:O915">
    <cfRule type="expression" dxfId="7381" priority="9576">
      <formula>$H915="SUBETAPA"</formula>
    </cfRule>
    <cfRule type="expression" dxfId="7380" priority="9577">
      <formula>$H915="CÉLULA CONSTRUTIVA"</formula>
    </cfRule>
    <cfRule type="expression" dxfId="7379" priority="9578">
      <formula>$H915="ETAPA"</formula>
    </cfRule>
  </conditionalFormatting>
  <conditionalFormatting sqref="G935:K935 N935:O935">
    <cfRule type="expression" dxfId="7378" priority="8340">
      <formula>$H935="ETAPA"</formula>
    </cfRule>
    <cfRule type="expression" dxfId="7377" priority="8339">
      <formula>$H935="CÉLULA CONSTRUTIVA"</formula>
    </cfRule>
    <cfRule type="expression" dxfId="7376" priority="8338">
      <formula>$H935="SUBETAPA"</formula>
    </cfRule>
  </conditionalFormatting>
  <conditionalFormatting sqref="G966:K966 N966:O966">
    <cfRule type="expression" dxfId="7375" priority="8793">
      <formula>$H966="ETAPA"</formula>
    </cfRule>
    <cfRule type="expression" dxfId="7374" priority="8791">
      <formula>$H966="SUBETAPA"</formula>
    </cfRule>
    <cfRule type="expression" dxfId="7373" priority="8792">
      <formula>$H966="CÉLULA CONSTRUTIVA"</formula>
    </cfRule>
  </conditionalFormatting>
  <conditionalFormatting sqref="G993:K993 N993:O993">
    <cfRule type="expression" dxfId="7372" priority="9079">
      <formula>$H993="CÉLULA CONSTRUTIVA"</formula>
    </cfRule>
    <cfRule type="expression" dxfId="7371" priority="9080">
      <formula>$H993="ETAPA"</formula>
    </cfRule>
    <cfRule type="expression" dxfId="7370" priority="9078">
      <formula>$H993="SUBETAPA"</formula>
    </cfRule>
  </conditionalFormatting>
  <conditionalFormatting sqref="G1023:K1023 N1023:O1023">
    <cfRule type="expression" dxfId="7369" priority="6938">
      <formula>$H1023="ETAPA"</formula>
    </cfRule>
    <cfRule type="expression" dxfId="7368" priority="6936">
      <formula>$H1023="SUBETAPA"</formula>
    </cfRule>
    <cfRule type="expression" dxfId="7367" priority="6937">
      <formula>$H1023="CÉLULA CONSTRUTIVA"</formula>
    </cfRule>
  </conditionalFormatting>
  <conditionalFormatting sqref="G1030:K1030 N1030:O1030">
    <cfRule type="expression" dxfId="7366" priority="3074">
      <formula>$H1030="CÉLULA CONSTRUTIVA"</formula>
    </cfRule>
    <cfRule type="expression" dxfId="7365" priority="3073">
      <formula>$H1030="SUBETAPA"</formula>
    </cfRule>
    <cfRule type="expression" dxfId="7364" priority="3075">
      <formula>$H1030="ETAPA"</formula>
    </cfRule>
  </conditionalFormatting>
  <conditionalFormatting sqref="G1031:K1031 N1031:O1031">
    <cfRule type="expression" dxfId="7363" priority="6613">
      <formula>$H1031="CÉLULA CONSTRUTIVA"</formula>
    </cfRule>
    <cfRule type="expression" dxfId="7362" priority="6614">
      <formula>$H1031="ETAPA"</formula>
    </cfRule>
    <cfRule type="expression" dxfId="7361" priority="6612">
      <formula>$H1031="SUBETAPA"</formula>
    </cfRule>
  </conditionalFormatting>
  <conditionalFormatting sqref="G1032:K1032 N1032:O1032">
    <cfRule type="expression" dxfId="7360" priority="2949">
      <formula>$H1032="SUBETAPA"</formula>
    </cfRule>
    <cfRule type="expression" dxfId="7359" priority="2950">
      <formula>$H1032="CÉLULA CONSTRUTIVA"</formula>
    </cfRule>
    <cfRule type="expression" dxfId="7358" priority="2951">
      <formula>$H1032="ETAPA"</formula>
    </cfRule>
  </conditionalFormatting>
  <conditionalFormatting sqref="G1033:K1033 N1033:O1033">
    <cfRule type="expression" dxfId="7357" priority="2940">
      <formula>$H1033="ETAPA"</formula>
    </cfRule>
    <cfRule type="expression" dxfId="7356" priority="2939">
      <formula>$H1033="CÉLULA CONSTRUTIVA"</formula>
    </cfRule>
    <cfRule type="expression" dxfId="7355" priority="2938">
      <formula>$H1033="SUBETAPA"</formula>
    </cfRule>
  </conditionalFormatting>
  <conditionalFormatting sqref="G1040:K1042 N1049:O1051 N1040:O1042 G1049:I1051">
    <cfRule type="expression" dxfId="7354" priority="6994">
      <formula>$H1040="CÉLULA CONSTRUTIVA"</formula>
    </cfRule>
    <cfRule type="expression" dxfId="7353" priority="6995">
      <formula>$H1040="ETAPA"</formula>
    </cfRule>
    <cfRule type="expression" dxfId="7352" priority="6993">
      <formula>$H1040="SUBETAPA"</formula>
    </cfRule>
  </conditionalFormatting>
  <conditionalFormatting sqref="G1174:K1174 N1174:O1174">
    <cfRule type="expression" dxfId="7351" priority="6308">
      <formula>$H1174="SUBETAPA"</formula>
    </cfRule>
    <cfRule type="expression" dxfId="7350" priority="6310">
      <formula>$H1174="ETAPA"</formula>
    </cfRule>
    <cfRule type="expression" dxfId="7349" priority="6309">
      <formula>$H1174="CÉLULA CONSTRUTIVA"</formula>
    </cfRule>
  </conditionalFormatting>
  <conditionalFormatting sqref="G1237:K1237 N1237:O1237">
    <cfRule type="expression" dxfId="7348" priority="3498">
      <formula>$H1237="CÉLULA CONSTRUTIVA"</formula>
    </cfRule>
    <cfRule type="expression" dxfId="7347" priority="3497">
      <formula>$H1237="SUBETAPA"</formula>
    </cfRule>
    <cfRule type="expression" dxfId="7346" priority="3499">
      <formula>$H1237="ETAPA"</formula>
    </cfRule>
  </conditionalFormatting>
  <conditionalFormatting sqref="G1259:K1259 N1259:O1259">
    <cfRule type="expression" dxfId="7345" priority="3591">
      <formula>$H1259="SUBETAPA"</formula>
    </cfRule>
    <cfRule type="expression" dxfId="7344" priority="3593">
      <formula>$H1259="ETAPA"</formula>
    </cfRule>
    <cfRule type="expression" dxfId="7343" priority="3592">
      <formula>$H1259="CÉLULA CONSTRUTIVA"</formula>
    </cfRule>
  </conditionalFormatting>
  <conditionalFormatting sqref="G100:L109 O104:P104 O106:P106 O109:P109">
    <cfRule type="expression" dxfId="7342" priority="917">
      <formula>$H100="ETAPA"</formula>
    </cfRule>
    <cfRule type="expression" dxfId="7341" priority="916">
      <formula>$H100="CÉLULA CONSTRUTIVA"</formula>
    </cfRule>
    <cfRule type="expression" dxfId="7340" priority="915">
      <formula>$H100="SUBETAPA"</formula>
    </cfRule>
  </conditionalFormatting>
  <conditionalFormatting sqref="G120:L121 O121:P121 O123:P123 O125:P125 O127:P127 O129:P129 G123:L123 G122:J122 G125:L125 G124:J124 G127:L129 G126:J126">
    <cfRule type="expression" dxfId="7339" priority="931">
      <formula>$H120="SUBETAPA"</formula>
    </cfRule>
    <cfRule type="expression" dxfId="7338" priority="932">
      <formula>$H120="CÉLULA CONSTRUTIVA"</formula>
    </cfRule>
    <cfRule type="expression" dxfId="7337" priority="933">
      <formula>$H120="ETAPA"</formula>
    </cfRule>
  </conditionalFormatting>
  <conditionalFormatting sqref="G131:L139 O131:P132 O134:P134 O136:P136 O138:P138 G130:J130">
    <cfRule type="expression" dxfId="7336" priority="939">
      <formula>$H130="SUBETAPA"</formula>
    </cfRule>
    <cfRule type="expression" dxfId="7335" priority="940">
      <formula>$H130="CÉLULA CONSTRUTIVA"</formula>
    </cfRule>
    <cfRule type="expression" dxfId="7334" priority="941">
      <formula>$H130="ETAPA"</formula>
    </cfRule>
  </conditionalFormatting>
  <conditionalFormatting sqref="G140:L149 O140:P140 O142:P142 O144:P144 O146:P146 O148:P148">
    <cfRule type="expression" dxfId="7333" priority="947">
      <formula>$H140="SUBETAPA"</formula>
    </cfRule>
    <cfRule type="expression" dxfId="7332" priority="948">
      <formula>$H140="CÉLULA CONSTRUTIVA"</formula>
    </cfRule>
    <cfRule type="expression" dxfId="7331" priority="949">
      <formula>$H140="ETAPA"</formula>
    </cfRule>
  </conditionalFormatting>
  <conditionalFormatting sqref="G151:L159 O152:P153 O155:P155">
    <cfRule type="expression" dxfId="7330" priority="909">
      <formula>$H151="ETAPA"</formula>
    </cfRule>
    <cfRule type="expression" dxfId="7329" priority="908">
      <formula>$H151="CÉLULA CONSTRUTIVA"</formula>
    </cfRule>
    <cfRule type="expression" dxfId="7328" priority="907">
      <formula>$H151="SUBETAPA"</formula>
    </cfRule>
  </conditionalFormatting>
  <conditionalFormatting sqref="G169:L177 O172:P172 O175:P177">
    <cfRule type="expression" dxfId="7327" priority="877">
      <formula>$H169="ETAPA"</formula>
    </cfRule>
    <cfRule type="expression" dxfId="7326" priority="876">
      <formula>$H169="CÉLULA CONSTRUTIVA"</formula>
    </cfRule>
    <cfRule type="expression" dxfId="7325" priority="875">
      <formula>$H169="SUBETAPA"</formula>
    </cfRule>
  </conditionalFormatting>
  <conditionalFormatting sqref="G178:L185 O183:P183 O185:P185 O188:P188 G188:L188">
    <cfRule type="expression" dxfId="7324" priority="884">
      <formula>$H178="CÉLULA CONSTRUTIVA"</formula>
    </cfRule>
    <cfRule type="expression" dxfId="7323" priority="885">
      <formula>$H178="ETAPA"</formula>
    </cfRule>
    <cfRule type="expression" dxfId="7322" priority="883">
      <formula>$H178="SUBETAPA"</formula>
    </cfRule>
  </conditionalFormatting>
  <conditionalFormatting sqref="G187:L187">
    <cfRule type="expression" dxfId="7321" priority="98">
      <formula>$H187="ETAPA"</formula>
    </cfRule>
    <cfRule type="expression" dxfId="7320" priority="96">
      <formula>$H187="SUBETAPA"</formula>
    </cfRule>
    <cfRule type="expression" dxfId="7319" priority="97">
      <formula>$H187="CÉLULA CONSTRUTIVA"</formula>
    </cfRule>
  </conditionalFormatting>
  <conditionalFormatting sqref="G189:L197 O190:P190 O192:P192 O194:P195">
    <cfRule type="expression" dxfId="7318" priority="891">
      <formula>$H189="SUBETAPA"</formula>
    </cfRule>
    <cfRule type="expression" dxfId="7317" priority="892">
      <formula>$H189="CÉLULA CONSTRUTIVA"</formula>
    </cfRule>
    <cfRule type="expression" dxfId="7316" priority="893">
      <formula>$H189="ETAPA"</formula>
    </cfRule>
  </conditionalFormatting>
  <conditionalFormatting sqref="G212:L213 N212:P213">
    <cfRule type="expression" dxfId="7315" priority="11676">
      <formula>$H212="SUBETAPA"</formula>
    </cfRule>
  </conditionalFormatting>
  <conditionalFormatting sqref="G213:L213 N213:P213">
    <cfRule type="expression" dxfId="7314" priority="11677">
      <formula>$H213="CÉLULA CONSTRUTIVA"</formula>
    </cfRule>
    <cfRule type="expression" dxfId="7313" priority="11678">
      <formula>$H213="ETAPA"</formula>
    </cfRule>
  </conditionalFormatting>
  <conditionalFormatting sqref="G240:L240 N240 P240:P242">
    <cfRule type="expression" dxfId="7312" priority="11644">
      <formula>$H240="ETAPA"</formula>
    </cfRule>
    <cfRule type="expression" dxfId="7311" priority="11643">
      <formula>$H240="CÉLULA CONSTRUTIVA"</formula>
    </cfRule>
  </conditionalFormatting>
  <conditionalFormatting sqref="G241:L241 N241">
    <cfRule type="expression" dxfId="7310" priority="4709">
      <formula>$H241="SUBETAPA"</formula>
    </cfRule>
    <cfRule type="expression" dxfId="7309" priority="4710">
      <formula>$H241="CÉLULA CONSTRUTIVA"</formula>
    </cfRule>
    <cfRule type="expression" dxfId="7308" priority="4711">
      <formula>$H241="ETAPA"</formula>
    </cfRule>
  </conditionalFormatting>
  <conditionalFormatting sqref="G242:L242 N242">
    <cfRule type="expression" dxfId="7307" priority="4696">
      <formula>$H242="CÉLULA CONSTRUTIVA"</formula>
    </cfRule>
    <cfRule type="expression" dxfId="7306" priority="4697">
      <formula>$H242="ETAPA"</formula>
    </cfRule>
    <cfRule type="expression" dxfId="7305" priority="4695">
      <formula>$H242="SUBETAPA"</formula>
    </cfRule>
  </conditionalFormatting>
  <conditionalFormatting sqref="G257:L260 G262:L267">
    <cfRule type="expression" dxfId="7304" priority="12834">
      <formula>$H257="SUBETAPA"</formula>
    </cfRule>
  </conditionalFormatting>
  <conditionalFormatting sqref="G273:L273 O273">
    <cfRule type="expression" dxfId="7303" priority="5410">
      <formula>$H273="ETAPA"</formula>
    </cfRule>
    <cfRule type="expression" dxfId="7302" priority="5409">
      <formula>$H273="CÉLULA CONSTRUTIVA"</formula>
    </cfRule>
    <cfRule type="expression" dxfId="7301" priority="5408">
      <formula>$H273="SUBETAPA"</formula>
    </cfRule>
  </conditionalFormatting>
  <conditionalFormatting sqref="G291:L291">
    <cfRule type="expression" dxfId="7300" priority="12666">
      <formula>$H291="SUBETAPA"</formula>
    </cfRule>
  </conditionalFormatting>
  <conditionalFormatting sqref="G293:L293 O293:P293">
    <cfRule type="expression" dxfId="7299" priority="5399">
      <formula>$H293="ETAPA"</formula>
    </cfRule>
    <cfRule type="expression" dxfId="7298" priority="5397">
      <formula>$H293="SUBETAPA"</formula>
    </cfRule>
    <cfRule type="expression" dxfId="7297" priority="5398">
      <formula>$H293="CÉLULA CONSTRUTIVA"</formula>
    </cfRule>
  </conditionalFormatting>
  <conditionalFormatting sqref="G303:L308">
    <cfRule type="expression" dxfId="7296" priority="12648">
      <formula>$H303="SUBETAPA"</formula>
    </cfRule>
  </conditionalFormatting>
  <conditionalFormatting sqref="G318:L320">
    <cfRule type="expression" dxfId="7295" priority="12645">
      <formula>$H318="SUBETAPA"</formula>
    </cfRule>
  </conditionalFormatting>
  <conditionalFormatting sqref="G368:L368 P368 N368">
    <cfRule type="expression" dxfId="7294" priority="5288">
      <formula>$H368="CÉLULA CONSTRUTIVA"</formula>
    </cfRule>
    <cfRule type="expression" dxfId="7293" priority="5289">
      <formula>$H368="ETAPA"</formula>
    </cfRule>
    <cfRule type="expression" dxfId="7292" priority="5287">
      <formula>$H368="SUBETAPA"</formula>
    </cfRule>
  </conditionalFormatting>
  <conditionalFormatting sqref="G387:L387">
    <cfRule type="expression" dxfId="7291" priority="12392">
      <formula>$H387="SUBETAPA"</formula>
    </cfRule>
  </conditionalFormatting>
  <conditionalFormatting sqref="G393:L403">
    <cfRule type="expression" dxfId="7290" priority="11436">
      <formula>$H393="SUBETAPA"</formula>
    </cfRule>
  </conditionalFormatting>
  <conditionalFormatting sqref="G406:L408 N406:O408 N412:O414 G415:P415">
    <cfRule type="expression" dxfId="7289" priority="11487">
      <formula>$H406="SUBETAPA"</formula>
    </cfRule>
  </conditionalFormatting>
  <conditionalFormatting sqref="G412:L414">
    <cfRule type="expression" dxfId="7288" priority="11478">
      <formula>$H412="SUBETAPA"</formula>
    </cfRule>
  </conditionalFormatting>
  <conditionalFormatting sqref="G420:L422 N420:O422 N426:O428 G429:P429">
    <cfRule type="expression" dxfId="7287" priority="11501">
      <formula>$H420="SUBETAPA"</formula>
    </cfRule>
  </conditionalFormatting>
  <conditionalFormatting sqref="G426:L428">
    <cfRule type="expression" dxfId="7286" priority="11472">
      <formula>$H426="SUBETAPA"</formula>
    </cfRule>
  </conditionalFormatting>
  <conditionalFormatting sqref="G434:L436 N434:O436 O440:O442 G443:M443 O443:P443">
    <cfRule type="expression" dxfId="7285" priority="11515">
      <formula>$H434="SUBETAPA"</formula>
    </cfRule>
  </conditionalFormatting>
  <conditionalFormatting sqref="G440:L442">
    <cfRule type="expression" dxfId="7284" priority="11475">
      <formula>$H440="SUBETAPA"</formula>
    </cfRule>
  </conditionalFormatting>
  <conditionalFormatting sqref="G453:L455">
    <cfRule type="expression" dxfId="7283" priority="11469">
      <formula>$H453="SUBETAPA"</formula>
    </cfRule>
  </conditionalFormatting>
  <conditionalFormatting sqref="G461:L463 N461:O463 G465:L466 N465:O466 O468:O470 G471:M471 O471:P471">
    <cfRule type="expression" dxfId="7282" priority="11543">
      <formula>$H461="SUBETAPA"</formula>
    </cfRule>
  </conditionalFormatting>
  <conditionalFormatting sqref="G465:L466 G471:M471 G468:I470 G461:L463 L468:L470 N461:O463 N465:O466 O468:O470 O471:P471">
    <cfRule type="expression" dxfId="7281" priority="11545">
      <formula>$H461="ETAPA"</formula>
    </cfRule>
    <cfRule type="expression" dxfId="7280" priority="11544">
      <formula>$H461="CÉLULA CONSTRUTIVA"</formula>
    </cfRule>
  </conditionalFormatting>
  <conditionalFormatting sqref="G468:L470">
    <cfRule type="expression" dxfId="7279" priority="11466">
      <formula>$H468="SUBETAPA"</formula>
    </cfRule>
  </conditionalFormatting>
  <conditionalFormatting sqref="G481:L483">
    <cfRule type="expression" dxfId="7278" priority="11463">
      <formula>$H481="SUBETAPA"</formula>
    </cfRule>
  </conditionalFormatting>
  <conditionalFormatting sqref="G492:L494">
    <cfRule type="expression" dxfId="7277" priority="11460">
      <formula>$H492="SUBETAPA"</formula>
    </cfRule>
  </conditionalFormatting>
  <conditionalFormatting sqref="G520:L520 O520">
    <cfRule type="expression" dxfId="7276" priority="992">
      <formula>$H520="CÉLULA CONSTRUTIVA"</formula>
    </cfRule>
    <cfRule type="expression" dxfId="7275" priority="993">
      <formula>$H520="ETAPA"</formula>
    </cfRule>
    <cfRule type="expression" dxfId="7274" priority="991">
      <formula>$H520="SUBETAPA"</formula>
    </cfRule>
  </conditionalFormatting>
  <conditionalFormatting sqref="G582:L582 N582:O582 G581:M581 O581:P581">
    <cfRule type="expression" dxfId="7273" priority="1866">
      <formula>$H581="ETAPA"</formula>
    </cfRule>
    <cfRule type="expression" dxfId="7272" priority="1865">
      <formula>$H581="CÉLULA CONSTRUTIVA"</formula>
    </cfRule>
    <cfRule type="expression" dxfId="7271" priority="1864">
      <formula>$H581="SUBETAPA"</formula>
    </cfRule>
  </conditionalFormatting>
  <conditionalFormatting sqref="G595:L595 N595:O595">
    <cfRule type="expression" dxfId="7270" priority="1683">
      <formula>$H595="SUBETAPA"</formula>
    </cfRule>
    <cfRule type="expression" dxfId="7269" priority="1684">
      <formula>$H595="CÉLULA CONSTRUTIVA"</formula>
    </cfRule>
    <cfRule type="expression" dxfId="7268" priority="1685">
      <formula>$H595="ETAPA"</formula>
    </cfRule>
  </conditionalFormatting>
  <conditionalFormatting sqref="G604:L605">
    <cfRule type="expression" dxfId="7267" priority="11399">
      <formula>$H604="SUBETAPA"</formula>
    </cfRule>
  </conditionalFormatting>
  <conditionalFormatting sqref="G605:L605 O605">
    <cfRule type="expression" dxfId="7266" priority="11401">
      <formula>$H605="ETAPA"</formula>
    </cfRule>
    <cfRule type="expression" dxfId="7265" priority="11400">
      <formula>$H605="CÉLULA CONSTRUTIVA"</formula>
    </cfRule>
  </conditionalFormatting>
  <conditionalFormatting sqref="G608:L608 O608:P608">
    <cfRule type="expression" dxfId="7264" priority="5455">
      <formula>$H608="ETAPA"</formula>
    </cfRule>
    <cfRule type="expression" dxfId="7263" priority="5453">
      <formula>$H608="SUBETAPA"</formula>
    </cfRule>
    <cfRule type="expression" dxfId="7262" priority="5454">
      <formula>$H608="CÉLULA CONSTRUTIVA"</formula>
    </cfRule>
  </conditionalFormatting>
  <conditionalFormatting sqref="G609:L609 O609">
    <cfRule type="expression" dxfId="7261" priority="5434">
      <formula>$H609="SUBETAPA"</formula>
    </cfRule>
    <cfRule type="expression" dxfId="7260" priority="5435">
      <formula>$H609="CÉLULA CONSTRUTIVA"</formula>
    </cfRule>
    <cfRule type="expression" dxfId="7259" priority="5436">
      <formula>$H609="ETAPA"</formula>
    </cfRule>
  </conditionalFormatting>
  <conditionalFormatting sqref="G610:L610 O610:P610">
    <cfRule type="expression" dxfId="7258" priority="3170">
      <formula>$H610="CÉLULA CONSTRUTIVA"</formula>
    </cfRule>
    <cfRule type="expression" dxfId="7257" priority="3171">
      <formula>$H610="ETAPA"</formula>
    </cfRule>
    <cfRule type="expression" dxfId="7256" priority="3169">
      <formula>$H610="SUBETAPA"</formula>
    </cfRule>
  </conditionalFormatting>
  <conditionalFormatting sqref="G611:L611 O611">
    <cfRule type="expression" dxfId="7255" priority="3168">
      <formula>$H611="ETAPA"</formula>
    </cfRule>
    <cfRule type="expression" dxfId="7254" priority="3167">
      <formula>$H611="CÉLULA CONSTRUTIVA"</formula>
    </cfRule>
    <cfRule type="expression" dxfId="7253" priority="3166">
      <formula>$H611="SUBETAPA"</formula>
    </cfRule>
  </conditionalFormatting>
  <conditionalFormatting sqref="G621:L621 O621:P621">
    <cfRule type="expression" dxfId="7252" priority="3658">
      <formula>$H621="CÉLULA CONSTRUTIVA"</formula>
    </cfRule>
    <cfRule type="expression" dxfId="7251" priority="3657">
      <formula>$H621="SUBETAPA"</formula>
    </cfRule>
    <cfRule type="expression" dxfId="7250" priority="3659">
      <formula>$H621="ETAPA"</formula>
    </cfRule>
  </conditionalFormatting>
  <conditionalFormatting sqref="G622:L622 O622">
    <cfRule type="expression" dxfId="7249" priority="3656">
      <formula>$H622="ETAPA"</formula>
    </cfRule>
    <cfRule type="expression" dxfId="7248" priority="3655">
      <formula>$H622="CÉLULA CONSTRUTIVA"</formula>
    </cfRule>
    <cfRule type="expression" dxfId="7247" priority="3654">
      <formula>$H622="SUBETAPA"</formula>
    </cfRule>
  </conditionalFormatting>
  <conditionalFormatting sqref="G629:L629 O629:P629">
    <cfRule type="expression" dxfId="7246" priority="3709">
      <formula>$H629="SUBETAPA"</formula>
    </cfRule>
    <cfRule type="expression" dxfId="7245" priority="3710">
      <formula>$H629="CÉLULA CONSTRUTIVA"</formula>
    </cfRule>
    <cfRule type="expression" dxfId="7244" priority="3711">
      <formula>$H629="ETAPA"</formula>
    </cfRule>
  </conditionalFormatting>
  <conditionalFormatting sqref="G630:L630 O630">
    <cfRule type="expression" dxfId="7243" priority="3706">
      <formula>$H630="SUBETAPA"</formula>
    </cfRule>
    <cfRule type="expression" dxfId="7242" priority="3707">
      <formula>$H630="CÉLULA CONSTRUTIVA"</formula>
    </cfRule>
    <cfRule type="expression" dxfId="7241" priority="3708">
      <formula>$H630="ETAPA"</formula>
    </cfRule>
  </conditionalFormatting>
  <conditionalFormatting sqref="G637:L637 O637:P637">
    <cfRule type="expression" dxfId="7240" priority="3771">
      <formula>$H637="ETAPA"</formula>
    </cfRule>
    <cfRule type="expression" dxfId="7239" priority="3769">
      <formula>$H637="SUBETAPA"</formula>
    </cfRule>
    <cfRule type="expression" dxfId="7238" priority="3770">
      <formula>$H637="CÉLULA CONSTRUTIVA"</formula>
    </cfRule>
  </conditionalFormatting>
  <conditionalFormatting sqref="G638:L638 O638">
    <cfRule type="expression" dxfId="7237" priority="3767">
      <formula>$H638="CÉLULA CONSTRUTIVA"</formula>
    </cfRule>
    <cfRule type="expression" dxfId="7236" priority="3768">
      <formula>$H638="ETAPA"</formula>
    </cfRule>
    <cfRule type="expression" dxfId="7235" priority="3766">
      <formula>$H638="SUBETAPA"</formula>
    </cfRule>
  </conditionalFormatting>
  <conditionalFormatting sqref="G649:L649 O649">
    <cfRule type="expression" dxfId="7234" priority="4287">
      <formula>$H649="ETAPA"</formula>
    </cfRule>
    <cfRule type="expression" dxfId="7233" priority="4286">
      <formula>$H649="CÉLULA CONSTRUTIVA"</formula>
    </cfRule>
    <cfRule type="expression" dxfId="7232" priority="4285">
      <formula>$H649="SUBETAPA"</formula>
    </cfRule>
  </conditionalFormatting>
  <conditionalFormatting sqref="G651:L651 O651:P651">
    <cfRule type="expression" dxfId="7231" priority="4268">
      <formula>$H651="SUBETAPA"</formula>
    </cfRule>
    <cfRule type="expression" dxfId="7230" priority="4269">
      <formula>$H651="CÉLULA CONSTRUTIVA"</formula>
    </cfRule>
    <cfRule type="expression" dxfId="7229" priority="4270">
      <formula>$H651="ETAPA"</formula>
    </cfRule>
  </conditionalFormatting>
  <conditionalFormatting sqref="G652:L652 O652">
    <cfRule type="expression" dxfId="7228" priority="4261">
      <formula>$H652="ETAPA"</formula>
    </cfRule>
    <cfRule type="expression" dxfId="7227" priority="4259">
      <formula>$H652="SUBETAPA"</formula>
    </cfRule>
    <cfRule type="expression" dxfId="7226" priority="4260">
      <formula>$H652="CÉLULA CONSTRUTIVA"</formula>
    </cfRule>
  </conditionalFormatting>
  <conditionalFormatting sqref="G653:L653 O653">
    <cfRule type="expression" dxfId="7225" priority="4267">
      <formula>$H653="ETAPA"</formula>
    </cfRule>
    <cfRule type="expression" dxfId="7224" priority="4265">
      <formula>$H653="SUBETAPA"</formula>
    </cfRule>
    <cfRule type="expression" dxfId="7223" priority="4266">
      <formula>$H653="CÉLULA CONSTRUTIVA"</formula>
    </cfRule>
  </conditionalFormatting>
  <conditionalFormatting sqref="G654:L654 O654:P654">
    <cfRule type="expression" dxfId="7222" priority="3795">
      <formula>$H654="CÉLULA CONSTRUTIVA"</formula>
    </cfRule>
    <cfRule type="expression" dxfId="7221" priority="3794">
      <formula>$H654="SUBETAPA"</formula>
    </cfRule>
    <cfRule type="expression" dxfId="7220" priority="3796">
      <formula>$H654="ETAPA"</formula>
    </cfRule>
  </conditionalFormatting>
  <conditionalFormatting sqref="G655:L655 O655">
    <cfRule type="expression" dxfId="7219" priority="3793">
      <formula>$H655="ETAPA"</formula>
    </cfRule>
    <cfRule type="expression" dxfId="7218" priority="3791">
      <formula>$H655="SUBETAPA"</formula>
    </cfRule>
    <cfRule type="expression" dxfId="7217" priority="3792">
      <formula>$H655="CÉLULA CONSTRUTIVA"</formula>
    </cfRule>
  </conditionalFormatting>
  <conditionalFormatting sqref="G669:L669 O669">
    <cfRule type="expression" dxfId="7216" priority="4385">
      <formula>$H669="SUBETAPA"</formula>
    </cfRule>
    <cfRule type="expression" dxfId="7215" priority="4387">
      <formula>$H669="ETAPA"</formula>
    </cfRule>
    <cfRule type="expression" dxfId="7214" priority="4386">
      <formula>$H669="CÉLULA CONSTRUTIVA"</formula>
    </cfRule>
  </conditionalFormatting>
  <conditionalFormatting sqref="G670:L670 O670:P670">
    <cfRule type="expression" dxfId="7213" priority="4370">
      <formula>$H670="ETAPA"</formula>
    </cfRule>
    <cfRule type="expression" dxfId="7212" priority="4368">
      <formula>$H670="SUBETAPA"</formula>
    </cfRule>
    <cfRule type="expression" dxfId="7211" priority="4369">
      <formula>$H670="CÉLULA CONSTRUTIVA"</formula>
    </cfRule>
  </conditionalFormatting>
  <conditionalFormatting sqref="G671:L671 O671">
    <cfRule type="expression" dxfId="7210" priority="4361">
      <formula>$H671="ETAPA"</formula>
    </cfRule>
    <cfRule type="expression" dxfId="7209" priority="4360">
      <formula>$H671="CÉLULA CONSTRUTIVA"</formula>
    </cfRule>
    <cfRule type="expression" dxfId="7208" priority="4359">
      <formula>$H671="SUBETAPA"</formula>
    </cfRule>
  </conditionalFormatting>
  <conditionalFormatting sqref="G672:L672 O672">
    <cfRule type="expression" dxfId="7207" priority="4366">
      <formula>$H672="CÉLULA CONSTRUTIVA"</formula>
    </cfRule>
    <cfRule type="expression" dxfId="7206" priority="4365">
      <formula>$H672="SUBETAPA"</formula>
    </cfRule>
    <cfRule type="expression" dxfId="7205" priority="4367">
      <formula>$H672="ETAPA"</formula>
    </cfRule>
  </conditionalFormatting>
  <conditionalFormatting sqref="G685:L685 O685">
    <cfRule type="expression" dxfId="7204" priority="4587">
      <formula>$H685="ETAPA"</formula>
    </cfRule>
    <cfRule type="expression" dxfId="7203" priority="4585">
      <formula>$H685="SUBETAPA"</formula>
    </cfRule>
    <cfRule type="expression" dxfId="7202" priority="4586">
      <formula>$H685="CÉLULA CONSTRUTIVA"</formula>
    </cfRule>
  </conditionalFormatting>
  <conditionalFormatting sqref="G686:L686 O686">
    <cfRule type="expression" dxfId="7201" priority="4579">
      <formula>$H686="SUBETAPA"</formula>
    </cfRule>
    <cfRule type="expression" dxfId="7200" priority="4581">
      <formula>$H686="ETAPA"</formula>
    </cfRule>
    <cfRule type="expression" dxfId="7199" priority="4580">
      <formula>$H686="CÉLULA CONSTRUTIVA"</formula>
    </cfRule>
  </conditionalFormatting>
  <conditionalFormatting sqref="G687:L688">
    <cfRule type="expression" dxfId="7198" priority="3118">
      <formula>$H687="SUBETAPA"</formula>
    </cfRule>
    <cfRule type="expression" dxfId="7197" priority="3119">
      <formula>$H687="CÉLULA CONSTRUTIVA"</formula>
    </cfRule>
    <cfRule type="expression" dxfId="7196" priority="3120">
      <formula>$H687="ETAPA"</formula>
    </cfRule>
  </conditionalFormatting>
  <conditionalFormatting sqref="G731:L731 O731:P731">
    <cfRule type="expression" dxfId="7195" priority="4730">
      <formula>$H731="ETAPA"</formula>
    </cfRule>
    <cfRule type="expression" dxfId="7194" priority="4729">
      <formula>$H731="CÉLULA CONSTRUTIVA"</formula>
    </cfRule>
    <cfRule type="expression" dxfId="7193" priority="4728">
      <formula>$H731="SUBETAPA"</formula>
    </cfRule>
  </conditionalFormatting>
  <conditionalFormatting sqref="G914:L914 L915 N914:O914">
    <cfRule type="expression" dxfId="7192" priority="9574">
      <formula>$H914="CÉLULA CONSTRUTIVA"</formula>
    </cfRule>
    <cfRule type="expression" dxfId="7191" priority="9573">
      <formula>$H914="SUBETAPA"</formula>
    </cfRule>
    <cfRule type="expression" dxfId="7190" priority="9575">
      <formula>$H914="ETAPA"</formula>
    </cfRule>
  </conditionalFormatting>
  <conditionalFormatting sqref="G918:L918 N918:O918">
    <cfRule type="expression" dxfId="7189" priority="9548">
      <formula>$H918="ETAPA"</formula>
    </cfRule>
    <cfRule type="expression" dxfId="7188" priority="9546">
      <formula>$H918="SUBETAPA"</formula>
    </cfRule>
    <cfRule type="expression" dxfId="7187" priority="9547">
      <formula>$H918="CÉLULA CONSTRUTIVA"</formula>
    </cfRule>
  </conditionalFormatting>
  <conditionalFormatting sqref="G931:L931 N931:O931">
    <cfRule type="expression" dxfId="7186" priority="7824">
      <formula>$H931="SUBETAPA"</formula>
    </cfRule>
    <cfRule type="expression" dxfId="7185" priority="7825">
      <formula>$H931="CÉLULA CONSTRUTIVA"</formula>
    </cfRule>
    <cfRule type="expression" dxfId="7184" priority="7826">
      <formula>$H931="ETAPA"</formula>
    </cfRule>
  </conditionalFormatting>
  <conditionalFormatting sqref="G942:L942 N942:O942">
    <cfRule type="expression" dxfId="7183" priority="8111">
      <formula>$H942="SUBETAPA"</formula>
    </cfRule>
    <cfRule type="expression" dxfId="7182" priority="8113">
      <formula>$H942="ETAPA"</formula>
    </cfRule>
    <cfRule type="expression" dxfId="7181" priority="8112">
      <formula>$H942="CÉLULA CONSTRUTIVA"</formula>
    </cfRule>
  </conditionalFormatting>
  <conditionalFormatting sqref="G951:L951 N951:O951">
    <cfRule type="expression" dxfId="7180" priority="8399">
      <formula>$H951="CÉLULA CONSTRUTIVA"</formula>
    </cfRule>
    <cfRule type="expression" dxfId="7179" priority="8398">
      <formula>$H951="SUBETAPA"</formula>
    </cfRule>
    <cfRule type="expression" dxfId="7178" priority="8400">
      <formula>$H951="ETAPA"</formula>
    </cfRule>
  </conditionalFormatting>
  <conditionalFormatting sqref="G957:L957 G967:M967 G960:M960 G969:M969 G968:I968 K968:L968 G959:L959 G961:L961 G970:L970 N957:O957 N959:O959 N961:O961 N968:O968 N970:O970 O969:P969 O967:P967 O960:P960">
    <cfRule type="expression" dxfId="7177" priority="8914">
      <formula>$H957="ETAPA"</formula>
    </cfRule>
    <cfRule type="expression" dxfId="7176" priority="8913">
      <formula>$H957="CÉLULA CONSTRUTIVA"</formula>
    </cfRule>
    <cfRule type="expression" dxfId="7175" priority="8912">
      <formula>$H957="SUBETAPA"</formula>
    </cfRule>
  </conditionalFormatting>
  <conditionalFormatting sqref="G977:L977 N977:O977">
    <cfRule type="expression" dxfId="7174" priority="8712">
      <formula>$H977="SUBETAPA"</formula>
    </cfRule>
    <cfRule type="expression" dxfId="7173" priority="8713">
      <formula>$H977="CÉLULA CONSTRUTIVA"</formula>
    </cfRule>
    <cfRule type="expression" dxfId="7172" priority="8714">
      <formula>$H977="ETAPA"</formula>
    </cfRule>
  </conditionalFormatting>
  <conditionalFormatting sqref="G980:L980 N980:O980">
    <cfRule type="expression" dxfId="7171" priority="8687">
      <formula>$H980="ETAPA"</formula>
    </cfRule>
    <cfRule type="expression" dxfId="7170" priority="8685">
      <formula>$H980="SUBETAPA"</formula>
    </cfRule>
    <cfRule type="expression" dxfId="7169" priority="8686">
      <formula>$H980="CÉLULA CONSTRUTIVA"</formula>
    </cfRule>
  </conditionalFormatting>
  <conditionalFormatting sqref="G982:L982 N982:O982">
    <cfRule type="expression" dxfId="7168" priority="8674">
      <formula>$H982="ETAPA"</formula>
    </cfRule>
    <cfRule type="expression" dxfId="7167" priority="8672">
      <formula>$H982="SUBETAPA"</formula>
    </cfRule>
    <cfRule type="expression" dxfId="7166" priority="8673">
      <formula>$H982="CÉLULA CONSTRUTIVA"</formula>
    </cfRule>
  </conditionalFormatting>
  <conditionalFormatting sqref="G1007:L1007 G1011:P1011 G1009:P1009 N1007:P1007 G1005:P1005">
    <cfRule type="expression" dxfId="7165" priority="9151">
      <formula>$H1005="SUBETAPA"</formula>
    </cfRule>
    <cfRule type="expression" dxfId="7164" priority="9152">
      <formula>$H1005="CÉLULA CONSTRUTIVA"</formula>
    </cfRule>
    <cfRule type="expression" dxfId="7163" priority="9153">
      <formula>$H1005="ETAPA"</formula>
    </cfRule>
  </conditionalFormatting>
  <conditionalFormatting sqref="G1008:L1008 N1008:O1008">
    <cfRule type="expression" dxfId="7162" priority="8973">
      <formula>$H1008="CÉLULA CONSTRUTIVA"</formula>
    </cfRule>
    <cfRule type="expression" dxfId="7161" priority="8974">
      <formula>$H1008="ETAPA"</formula>
    </cfRule>
    <cfRule type="expression" dxfId="7160" priority="8972">
      <formula>$H1008="SUBETAPA"</formula>
    </cfRule>
  </conditionalFormatting>
  <conditionalFormatting sqref="G1010:L1010 N1010:O1010">
    <cfRule type="expression" dxfId="7159" priority="8961">
      <formula>$H1010="ETAPA"</formula>
    </cfRule>
    <cfRule type="expression" dxfId="7158" priority="8959">
      <formula>$H1010="SUBETAPA"</formula>
    </cfRule>
    <cfRule type="expression" dxfId="7157" priority="8960">
      <formula>$H1010="CÉLULA CONSTRUTIVA"</formula>
    </cfRule>
  </conditionalFormatting>
  <conditionalFormatting sqref="G1094:L1095 G1097:L1097 G1102:L1106 O1103:O1105 N1106:P1106 N1102:P1102 N1097:P1097 N1094:P1095">
    <cfRule type="expression" dxfId="7156" priority="7043">
      <formula>$H1094="ETAPA"</formula>
    </cfRule>
    <cfRule type="expression" dxfId="7155" priority="7042">
      <formula>$H1094="CÉLULA CONSTRUTIVA"</formula>
    </cfRule>
    <cfRule type="expression" dxfId="7154" priority="7041">
      <formula>$H1094="SUBETAPA"</formula>
    </cfRule>
  </conditionalFormatting>
  <conditionalFormatting sqref="G1111:L1112 G1114:L1114 G1118:L1122 O1119:O1121 N1122:P1122 N1118:P1118 N1114:P1114 N1111:P1112">
    <cfRule type="expression" dxfId="7153" priority="7058">
      <formula>$H1111="SUBETAPA"</formula>
    </cfRule>
    <cfRule type="expression" dxfId="7152" priority="7059">
      <formula>$H1111="CÉLULA CONSTRUTIVA"</formula>
    </cfRule>
    <cfRule type="expression" dxfId="7151" priority="7060">
      <formula>$H1111="ETAPA"</formula>
    </cfRule>
  </conditionalFormatting>
  <conditionalFormatting sqref="G1126:L1127 G1129:L1129 G1134:L1138 O1135:O1137 O1138:P1138 O1134:P1134 N1129:P1129 N1126:P1127">
    <cfRule type="expression" dxfId="7150" priority="7075">
      <formula>$H1126="SUBETAPA"</formula>
    </cfRule>
    <cfRule type="expression" dxfId="7149" priority="7076">
      <formula>$H1126="CÉLULA CONSTRUTIVA"</formula>
    </cfRule>
    <cfRule type="expression" dxfId="7148" priority="7077">
      <formula>$H1126="ETAPA"</formula>
    </cfRule>
  </conditionalFormatting>
  <conditionalFormatting sqref="G1143:L1143 G1146:L1146 O1147:O1149 O1150:P1150 O1146:P1146 O1143:P1143 G1150:L1150 G1147:K1149">
    <cfRule type="expression" dxfId="7147" priority="6958">
      <formula>$H1143="ETAPA"</formula>
    </cfRule>
    <cfRule type="expression" dxfId="7146" priority="6956">
      <formula>$H1143="SUBETAPA"</formula>
    </cfRule>
    <cfRule type="expression" dxfId="7145" priority="6957">
      <formula>$H1143="CÉLULA CONSTRUTIVA"</formula>
    </cfRule>
  </conditionalFormatting>
  <conditionalFormatting sqref="G1168:L1168 N1168:O1168">
    <cfRule type="expression" dxfId="7144" priority="6302">
      <formula>$H1168="ETAPA"</formula>
    </cfRule>
    <cfRule type="expression" dxfId="7143" priority="6300">
      <formula>$H1168="SUBETAPA"</formula>
    </cfRule>
    <cfRule type="expression" dxfId="7142" priority="6301">
      <formula>$H1168="CÉLULA CONSTRUTIVA"</formula>
    </cfRule>
  </conditionalFormatting>
  <conditionalFormatting sqref="G1190:L1190 N1190:O1190">
    <cfRule type="expression" dxfId="7141" priority="6251">
      <formula>$H1190="SUBETAPA"</formula>
    </cfRule>
    <cfRule type="expression" dxfId="7140" priority="6253">
      <formula>$H1190="ETAPA"</formula>
    </cfRule>
    <cfRule type="expression" dxfId="7139" priority="6252">
      <formula>$H1190="CÉLULA CONSTRUTIVA"</formula>
    </cfRule>
  </conditionalFormatting>
  <conditionalFormatting sqref="G1196:L1196 N1196:O1196">
    <cfRule type="expression" dxfId="7138" priority="5514">
      <formula>$H1196="ETAPA"</formula>
    </cfRule>
    <cfRule type="expression" dxfId="7137" priority="5512">
      <formula>$H1196="SUBETAPA"</formula>
    </cfRule>
    <cfRule type="expression" dxfId="7136" priority="5513">
      <formula>$H1196="CÉLULA CONSTRUTIVA"</formula>
    </cfRule>
  </conditionalFormatting>
  <conditionalFormatting sqref="G1203:L1203">
    <cfRule type="expression" dxfId="7135" priority="5510">
      <formula>$H1203="CÉLULA CONSTRUTIVA"</formula>
    </cfRule>
    <cfRule type="expression" dxfId="7134" priority="5511">
      <formula>$H1203="ETAPA"</formula>
    </cfRule>
    <cfRule type="expression" dxfId="7133" priority="5509">
      <formula>$H1203="SUBETAPA"</formula>
    </cfRule>
  </conditionalFormatting>
  <conditionalFormatting sqref="G1204:L1204">
    <cfRule type="expression" dxfId="7132" priority="5495">
      <formula>$H1204="SUBETAPA"</formula>
    </cfRule>
    <cfRule type="expression" dxfId="7131" priority="5496">
      <formula>$H1204="CÉLULA CONSTRUTIVA"</formula>
    </cfRule>
    <cfRule type="expression" dxfId="7130" priority="5497">
      <formula>$H1204="ETAPA"</formula>
    </cfRule>
  </conditionalFormatting>
  <conditionalFormatting sqref="G1214:L1214 N1214:O1214">
    <cfRule type="expression" dxfId="7129" priority="3213">
      <formula>$H1214="SUBETAPA"</formula>
    </cfRule>
    <cfRule type="expression" dxfId="7128" priority="3214">
      <formula>$H1214="CÉLULA CONSTRUTIVA"</formula>
    </cfRule>
    <cfRule type="expression" dxfId="7127" priority="3215">
      <formula>$H1214="ETAPA"</formula>
    </cfRule>
  </conditionalFormatting>
  <conditionalFormatting sqref="G1215:L1215 N1215">
    <cfRule type="expression" dxfId="7126" priority="3253">
      <formula>$H1215="ETAPA"</formula>
    </cfRule>
    <cfRule type="expression" dxfId="7125" priority="3252">
      <formula>$H1215="CÉLULA CONSTRUTIVA"</formula>
    </cfRule>
    <cfRule type="expression" dxfId="7124" priority="3251">
      <formula>$H1215="SUBETAPA"</formula>
    </cfRule>
  </conditionalFormatting>
  <conditionalFormatting sqref="G1221:L1221 G1218:L1219 N1218:O1219 N1221:O1221">
    <cfRule type="expression" dxfId="7123" priority="3448">
      <formula>$H1218="CÉLULA CONSTRUTIVA"</formula>
    </cfRule>
    <cfRule type="expression" dxfId="7122" priority="3447">
      <formula>$H1218="SUBETAPA"</formula>
    </cfRule>
    <cfRule type="expression" dxfId="7121" priority="3449">
      <formula>$H1218="ETAPA"</formula>
    </cfRule>
  </conditionalFormatting>
  <conditionalFormatting sqref="G1225:L1225 O1225">
    <cfRule type="expression" dxfId="7120" priority="3402">
      <formula>$H1225="ETAPA"</formula>
    </cfRule>
    <cfRule type="expression" dxfId="7119" priority="3401">
      <formula>$H1225="CÉLULA CONSTRUTIVA"</formula>
    </cfRule>
    <cfRule type="expression" dxfId="7118" priority="3400">
      <formula>$H1225="SUBETAPA"</formula>
    </cfRule>
  </conditionalFormatting>
  <conditionalFormatting sqref="G1226:L1226 O1226">
    <cfRule type="expression" dxfId="7117" priority="3372">
      <formula>$H1226="SUBETAPA"</formula>
    </cfRule>
    <cfRule type="expression" dxfId="7116" priority="3374">
      <formula>$H1226="ETAPA"</formula>
    </cfRule>
    <cfRule type="expression" dxfId="7115" priority="3373">
      <formula>$H1226="CÉLULA CONSTRUTIVA"</formula>
    </cfRule>
  </conditionalFormatting>
  <conditionalFormatting sqref="G1238:L1238 G1250:K1252 N1250:O1252 N1238:O1238 N1235:O1236 G1235:L1236">
    <cfRule type="expression" dxfId="7114" priority="3542">
      <formula>$H1235="CÉLULA CONSTRUTIVA"</formula>
    </cfRule>
    <cfRule type="expression" dxfId="7113" priority="3541">
      <formula>$H1235="SUBETAPA"</formula>
    </cfRule>
    <cfRule type="expression" dxfId="7112" priority="3543">
      <formula>$H1235="ETAPA"</formula>
    </cfRule>
  </conditionalFormatting>
  <conditionalFormatting sqref="G1243:L1243 O1243">
    <cfRule type="expression" dxfId="7111" priority="3495">
      <formula>$H1243="CÉLULA CONSTRUTIVA"</formula>
    </cfRule>
    <cfRule type="expression" dxfId="7110" priority="3494">
      <formula>$H1243="SUBETAPA"</formula>
    </cfRule>
    <cfRule type="expression" dxfId="7109" priority="3496">
      <formula>$H1243="ETAPA"</formula>
    </cfRule>
  </conditionalFormatting>
  <conditionalFormatting sqref="G1244:L1244 O1244">
    <cfRule type="expression" dxfId="7108" priority="3466">
      <formula>$H1244="SUBETAPA"</formula>
    </cfRule>
    <cfRule type="expression" dxfId="7107" priority="3467">
      <formula>$H1244="CÉLULA CONSTRUTIVA"</formula>
    </cfRule>
    <cfRule type="expression" dxfId="7106" priority="3468">
      <formula>$H1244="ETAPA"</formula>
    </cfRule>
  </conditionalFormatting>
  <conditionalFormatting sqref="G1253:L1253 N1253:O1253">
    <cfRule type="expression" dxfId="7105" priority="3203">
      <formula>$H1253="CÉLULA CONSTRUTIVA"</formula>
    </cfRule>
    <cfRule type="expression" dxfId="7104" priority="3204">
      <formula>$H1253="ETAPA"</formula>
    </cfRule>
    <cfRule type="expression" dxfId="7103" priority="3202">
      <formula>$H1253="SUBETAPA"</formula>
    </cfRule>
  </conditionalFormatting>
  <conditionalFormatting sqref="G1260:L1260 G1270:K1272 N1270:O1272 N1260:O1260 N1257:O1258 G1257:L1258">
    <cfRule type="expression" dxfId="7102" priority="3636">
      <formula>$H1257="CÉLULA CONSTRUTIVA"</formula>
    </cfRule>
    <cfRule type="expression" dxfId="7101" priority="3637">
      <formula>$H1257="ETAPA"</formula>
    </cfRule>
    <cfRule type="expression" dxfId="7100" priority="3635">
      <formula>$H1257="SUBETAPA"</formula>
    </cfRule>
  </conditionalFormatting>
  <conditionalFormatting sqref="G1265:L1265 O1265">
    <cfRule type="expression" dxfId="7099" priority="3589">
      <formula>$H1265="CÉLULA CONSTRUTIVA"</formula>
    </cfRule>
    <cfRule type="expression" dxfId="7098" priority="3590">
      <formula>$H1265="ETAPA"</formula>
    </cfRule>
    <cfRule type="expression" dxfId="7097" priority="3588">
      <formula>$H1265="SUBETAPA"</formula>
    </cfRule>
  </conditionalFormatting>
  <conditionalFormatting sqref="G1266:L1266 O1266">
    <cfRule type="expression" dxfId="7096" priority="3560">
      <formula>$H1266="SUBETAPA"</formula>
    </cfRule>
    <cfRule type="expression" dxfId="7095" priority="3562">
      <formula>$H1266="ETAPA"</formula>
    </cfRule>
    <cfRule type="expression" dxfId="7094" priority="3561">
      <formula>$H1266="CÉLULA CONSTRUTIVA"</formula>
    </cfRule>
  </conditionalFormatting>
  <conditionalFormatting sqref="G255:M256 G257:L259 G262:L267">
    <cfRule type="expression" dxfId="7093" priority="12835">
      <formula>$H255="CÉLULA CONSTRUTIVA"</formula>
    </cfRule>
    <cfRule type="expression" dxfId="7092" priority="12836">
      <formula>$H255="ETAPA"</formula>
    </cfRule>
  </conditionalFormatting>
  <conditionalFormatting sqref="G277:M277 G291:I291 G292:M292 G276:I276 K276:M276 G278:I279 G283:L288 K291:L291 G294:M294">
    <cfRule type="expression" dxfId="7091" priority="12698">
      <formula>$H276="ETAPA"</formula>
    </cfRule>
    <cfRule type="expression" dxfId="7090" priority="12697">
      <formula>$H276="CÉLULA CONSTRUTIVA"</formula>
    </cfRule>
  </conditionalFormatting>
  <conditionalFormatting sqref="G297:M297 G311:I311 G296:I296 K296:M296 G303:L303 G304:K308 K311:L311 G298:I300 K298:L300">
    <cfRule type="expression" dxfId="7089" priority="12721">
      <formula>$H296="ETAPA"</formula>
    </cfRule>
    <cfRule type="expression" dxfId="7088" priority="12720">
      <formula>$H296="CÉLULA CONSTRUTIVA"</formula>
    </cfRule>
  </conditionalFormatting>
  <conditionalFormatting sqref="G314:M317 K331:L331 G331:I332">
    <cfRule type="expression" dxfId="7087" priority="12742">
      <formula>$H314="SUBETAPA"</formula>
    </cfRule>
  </conditionalFormatting>
  <conditionalFormatting sqref="G316:M317 G331:I331 G318:I319 K318:L319 G324:K328 G320:L320 K331:L331">
    <cfRule type="expression" dxfId="7086" priority="12743">
      <formula>$H316="CÉLULA CONSTRUTIVA"</formula>
    </cfRule>
    <cfRule type="expression" dxfId="7085" priority="12744">
      <formula>$H316="ETAPA"</formula>
    </cfRule>
  </conditionalFormatting>
  <conditionalFormatting sqref="G334:M337 G338:I340 K338:L340 G343:L348 G351:I352">
    <cfRule type="expression" dxfId="7084" priority="12765">
      <formula>$H334="SUBETAPA"</formula>
    </cfRule>
  </conditionalFormatting>
  <conditionalFormatting sqref="G336:M337 G350:M350 G351:I351 G343:L343 K351:L351 G338:I340 K338:L340">
    <cfRule type="expression" dxfId="7083" priority="12767">
      <formula>$H336="ETAPA"</formula>
    </cfRule>
    <cfRule type="expression" dxfId="7082" priority="12766">
      <formula>$H336="CÉLULA CONSTRUTIVA"</formula>
    </cfRule>
  </conditionalFormatting>
  <conditionalFormatting sqref="G354:M357 O356:P357 G358:I360 K358:L360 O362:P362 G363:L367 G370:I371 O371:P371">
    <cfRule type="expression" dxfId="7081" priority="12788">
      <formula>$H354="SUBETAPA"</formula>
    </cfRule>
  </conditionalFormatting>
  <conditionalFormatting sqref="G356:M357 G370:I370 G363:L363 K370:L370 O373:P373 O371:P371 O369:P369 O362:P362 O356:P357 G358:I360 K358:L360">
    <cfRule type="expression" dxfId="7080" priority="12790">
      <formula>$H356="ETAPA"</formula>
    </cfRule>
    <cfRule type="expression" dxfId="7079" priority="12789">
      <formula>$H356="CÉLULA CONSTRUTIVA"</formula>
    </cfRule>
  </conditionalFormatting>
  <conditionalFormatting sqref="G373:M376 G377:I379 K377:L379">
    <cfRule type="expression" dxfId="7078" priority="12811">
      <formula>$H373="SUBETAPA"</formula>
    </cfRule>
  </conditionalFormatting>
  <conditionalFormatting sqref="G375:M376 G387:I387 G377:I378 K377:L378 K387:L387">
    <cfRule type="expression" dxfId="7077" priority="12813">
      <formula>$H375="ETAPA"</formula>
    </cfRule>
    <cfRule type="expression" dxfId="7076" priority="12812">
      <formula>$H375="CÉLULA CONSTRUTIVA"</formula>
    </cfRule>
  </conditionalFormatting>
  <conditionalFormatting sqref="G418:M418 O418:P418 G419:P419 G423:P423 G425:P425 G430:L431">
    <cfRule type="expression" dxfId="7075" priority="11498">
      <formula>$H418="SUBETAPA"</formula>
    </cfRule>
  </conditionalFormatting>
  <conditionalFormatting sqref="G432:M433 G437:M437 G439:M439 G444:L445 O444:O445 O432:P433 O439:P439 O437:P437">
    <cfRule type="expression" dxfId="7074" priority="11514">
      <formula>$H432="ETAPA"</formula>
    </cfRule>
    <cfRule type="expression" dxfId="7073" priority="11513">
      <formula>$H432="CÉLULA CONSTRUTIVA"</formula>
    </cfRule>
  </conditionalFormatting>
  <conditionalFormatting sqref="G432:M433 O432:P433 G437:M437 O437:P437 G439:M439 O439:P439 G444:L445 O444:O445">
    <cfRule type="expression" dxfId="7072" priority="11512">
      <formula>$H432="SUBETAPA"</formula>
    </cfRule>
  </conditionalFormatting>
  <conditionalFormatting sqref="G443:M443 G440:I442 G434:L436 L440:L442 N434:O436 O440:O442 O443:P443">
    <cfRule type="expression" dxfId="7071" priority="11516">
      <formula>$H434="CÉLULA CONSTRUTIVA"</formula>
    </cfRule>
    <cfRule type="expression" dxfId="7070" priority="11517">
      <formula>$H434="ETAPA"</formula>
    </cfRule>
  </conditionalFormatting>
  <conditionalFormatting sqref="G456:M456 G453:I455 L453:L455 O453:O455 O456:P456">
    <cfRule type="expression" dxfId="7069" priority="11530">
      <formula>$H453="CÉLULA CONSTRUTIVA"</formula>
    </cfRule>
    <cfRule type="expression" dxfId="7068" priority="11531">
      <formula>$H453="ETAPA"</formula>
    </cfRule>
  </conditionalFormatting>
  <conditionalFormatting sqref="G484:M484 G481:I483 L481:L483 N481:O483 O484:P484">
    <cfRule type="expression" dxfId="7067" priority="11558">
      <formula>$H481="CÉLULA CONSTRUTIVA"</formula>
    </cfRule>
    <cfRule type="expression" dxfId="7066" priority="11559">
      <formula>$H481="ETAPA"</formula>
    </cfRule>
  </conditionalFormatting>
  <conditionalFormatting sqref="G519:M519 O519:P519">
    <cfRule type="expression" dxfId="7065" priority="1004">
      <formula>$H519="ETAPA"</formula>
    </cfRule>
    <cfRule type="expression" dxfId="7064" priority="1003">
      <formula>$H519="CÉLULA CONSTRUTIVA"</formula>
    </cfRule>
    <cfRule type="expression" dxfId="7063" priority="1002">
      <formula>$H519="SUBETAPA"</formula>
    </cfRule>
  </conditionalFormatting>
  <conditionalFormatting sqref="G531:M532 G533:L533 G534:I535 G536:M536 G537:L537 N537 K535:L535 K534:M534 O534:P534 O531:P532 O536:P536">
    <cfRule type="expression" dxfId="7062" priority="2359">
      <formula>$H531="SUBETAPA"</formula>
    </cfRule>
    <cfRule type="expression" dxfId="7061" priority="2360">
      <formula>$H531="CÉLULA CONSTRUTIVA"</formula>
    </cfRule>
    <cfRule type="expression" dxfId="7060" priority="2361">
      <formula>$H531="ETAPA"</formula>
    </cfRule>
  </conditionalFormatting>
  <conditionalFormatting sqref="G538:M539 G540:L540 G541:I541 G542:L542 G543:M543 G544:L544 O544 K541:M541 O541:P541 O543:P543 O538:P539">
    <cfRule type="expression" dxfId="7059" priority="2045">
      <formula>$H538="ETAPA"</formula>
    </cfRule>
    <cfRule type="expression" dxfId="7058" priority="2043">
      <formula>$H538="SUBETAPA"</formula>
    </cfRule>
    <cfRule type="expression" dxfId="7057" priority="2044">
      <formula>$H538="CÉLULA CONSTRUTIVA"</formula>
    </cfRule>
  </conditionalFormatting>
  <conditionalFormatting sqref="G623:M627 N626:P627">
    <cfRule type="expression" dxfId="7056" priority="3689">
      <formula>$H623="ETAPA"</formula>
    </cfRule>
    <cfRule type="expression" dxfId="7055" priority="3688">
      <formula>$H623="CÉLULA CONSTRUTIVA"</formula>
    </cfRule>
    <cfRule type="expression" dxfId="7054" priority="3687">
      <formula>$H623="SUBETAPA"</formula>
    </cfRule>
  </conditionalFormatting>
  <conditionalFormatting sqref="G631:M635 N634:P635">
    <cfRule type="expression" dxfId="7053" priority="3740">
      <formula>$H631="CÉLULA CONSTRUTIVA"</formula>
    </cfRule>
    <cfRule type="expression" dxfId="7052" priority="3741">
      <formula>$H631="ETAPA"</formula>
    </cfRule>
    <cfRule type="expression" dxfId="7051" priority="3739">
      <formula>$H631="SUBETAPA"</formula>
    </cfRule>
  </conditionalFormatting>
  <conditionalFormatting sqref="G739:M739 G740:L740 O740 O739:P739">
    <cfRule type="expression" dxfId="7050" priority="10547">
      <formula>$H739="ETAPA"</formula>
    </cfRule>
    <cfRule type="expression" dxfId="7049" priority="10546">
      <formula>$H739="CÉLULA CONSTRUTIVA"</formula>
    </cfRule>
    <cfRule type="expression" dxfId="7048" priority="10545">
      <formula>$H739="SUBETAPA"</formula>
    </cfRule>
  </conditionalFormatting>
  <conditionalFormatting sqref="G756:M756 G757:L757 O757 O756:P756">
    <cfRule type="expression" dxfId="7047" priority="11022">
      <formula>$H756="SUBETAPA"</formula>
    </cfRule>
    <cfRule type="expression" dxfId="7046" priority="11023">
      <formula>$H756="CÉLULA CONSTRUTIVA"</formula>
    </cfRule>
    <cfRule type="expression" dxfId="7045" priority="11024">
      <formula>$H756="ETAPA"</formula>
    </cfRule>
  </conditionalFormatting>
  <conditionalFormatting sqref="G910:M910 O910:P910">
    <cfRule type="expression" dxfId="7044" priority="11264">
      <formula>$H910="ETAPA"</formula>
    </cfRule>
    <cfRule type="expression" dxfId="7043" priority="11262">
      <formula>$H910="SUBETAPA"</formula>
    </cfRule>
    <cfRule type="expression" dxfId="7042" priority="11263">
      <formula>$H910="CÉLULA CONSTRUTIVA"</formula>
    </cfRule>
  </conditionalFormatting>
  <conditionalFormatting sqref="G922:M922 O922:P922">
    <cfRule type="expression" dxfId="7041" priority="8031">
      <formula>$H922="ETAPA"</formula>
    </cfRule>
    <cfRule type="expression" dxfId="7040" priority="8030">
      <formula>$H922="CÉLULA CONSTRUTIVA"</formula>
    </cfRule>
    <cfRule type="expression" dxfId="7039" priority="8029">
      <formula>$H922="SUBETAPA"</formula>
    </cfRule>
  </conditionalFormatting>
  <conditionalFormatting sqref="G927:M927 O927:P927">
    <cfRule type="expression" dxfId="7038" priority="7995">
      <formula>$H927="SUBETAPA"</formula>
    </cfRule>
    <cfRule type="expression" dxfId="7037" priority="7997">
      <formula>$H927="ETAPA"</formula>
    </cfRule>
    <cfRule type="expression" dxfId="7036" priority="7996">
      <formula>$H927="CÉLULA CONSTRUTIVA"</formula>
    </cfRule>
  </conditionalFormatting>
  <conditionalFormatting sqref="G930:M930 O930:P930">
    <cfRule type="expression" dxfId="7035" priority="8003">
      <formula>$H930="SUBETAPA"</formula>
    </cfRule>
    <cfRule type="expression" dxfId="7034" priority="8005">
      <formula>$H930="ETAPA"</formula>
    </cfRule>
    <cfRule type="expression" dxfId="7033" priority="8004">
      <formula>$H930="CÉLULA CONSTRUTIVA"</formula>
    </cfRule>
  </conditionalFormatting>
  <conditionalFormatting sqref="G933:M933 O933:P933">
    <cfRule type="expression" dxfId="7032" priority="8317">
      <formula>$H933="CÉLULA CONSTRUTIVA"</formula>
    </cfRule>
    <cfRule type="expression" dxfId="7031" priority="8318">
      <formula>$H933="ETAPA"</formula>
    </cfRule>
    <cfRule type="expression" dxfId="7030" priority="8316">
      <formula>$H933="SUBETAPA"</formula>
    </cfRule>
  </conditionalFormatting>
  <conditionalFormatting sqref="G938:M938 O938:P938">
    <cfRule type="expression" dxfId="7029" priority="8284">
      <formula>$H938="ETAPA"</formula>
    </cfRule>
    <cfRule type="expression" dxfId="7028" priority="8282">
      <formula>$H938="SUBETAPA"</formula>
    </cfRule>
    <cfRule type="expression" dxfId="7027" priority="8283">
      <formula>$H938="CÉLULA CONSTRUTIVA"</formula>
    </cfRule>
  </conditionalFormatting>
  <conditionalFormatting sqref="G941:M941 O941:P941">
    <cfRule type="expression" dxfId="7026" priority="8290">
      <formula>$H941="SUBETAPA"</formula>
    </cfRule>
    <cfRule type="expression" dxfId="7025" priority="8292">
      <formula>$H941="ETAPA"</formula>
    </cfRule>
    <cfRule type="expression" dxfId="7024" priority="8291">
      <formula>$H941="CÉLULA CONSTRUTIVA"</formula>
    </cfRule>
  </conditionalFormatting>
  <conditionalFormatting sqref="G944:M944 O944:P944">
    <cfRule type="expression" dxfId="7023" priority="8603">
      <formula>$H944="SUBETAPA"</formula>
    </cfRule>
    <cfRule type="expression" dxfId="7022" priority="8604">
      <formula>$H944="CÉLULA CONSTRUTIVA"</formula>
    </cfRule>
    <cfRule type="expression" dxfId="7021" priority="8605">
      <formula>$H944="ETAPA"</formula>
    </cfRule>
  </conditionalFormatting>
  <conditionalFormatting sqref="G948:M948 O948:P948">
    <cfRule type="expression" dxfId="7020" priority="8569">
      <formula>$H948="SUBETAPA"</formula>
    </cfRule>
    <cfRule type="expression" dxfId="7019" priority="8570">
      <formula>$H948="CÉLULA CONSTRUTIVA"</formula>
    </cfRule>
    <cfRule type="expression" dxfId="7018" priority="8571">
      <formula>$H948="ETAPA"</formula>
    </cfRule>
  </conditionalFormatting>
  <conditionalFormatting sqref="G950:M950 O950:P950">
    <cfRule type="expression" dxfId="7017" priority="8578">
      <formula>$H950="CÉLULA CONSTRUTIVA"</formula>
    </cfRule>
    <cfRule type="expression" dxfId="7016" priority="8579">
      <formula>$H950="ETAPA"</formula>
    </cfRule>
    <cfRule type="expression" dxfId="7015" priority="8577">
      <formula>$H950="SUBETAPA"</formula>
    </cfRule>
  </conditionalFormatting>
  <conditionalFormatting sqref="G953:M953 O953:P953">
    <cfRule type="expression" dxfId="7014" priority="8890">
      <formula>$H953="SUBETAPA"</formula>
    </cfRule>
    <cfRule type="expression" dxfId="7013" priority="8891">
      <formula>$H953="CÉLULA CONSTRUTIVA"</formula>
    </cfRule>
    <cfRule type="expression" dxfId="7012" priority="8892">
      <formula>$H953="ETAPA"</formula>
    </cfRule>
  </conditionalFormatting>
  <conditionalFormatting sqref="G958:M958 O958:P958">
    <cfRule type="expression" dxfId="7011" priority="8878">
      <formula>$H958="CÉLULA CONSTRUTIVA"</formula>
    </cfRule>
    <cfRule type="expression" dxfId="7010" priority="8879">
      <formula>$H958="ETAPA"</formula>
    </cfRule>
    <cfRule type="expression" dxfId="7009" priority="8877">
      <formula>$H958="SUBETAPA"</formula>
    </cfRule>
  </conditionalFormatting>
  <conditionalFormatting sqref="G962:M962 G963:J963 L963 N963:O963 O962:P962">
    <cfRule type="expression" dxfId="7008" priority="8764">
      <formula>$H962="ETAPA"</formula>
    </cfRule>
    <cfRule type="expression" dxfId="7007" priority="8763">
      <formula>$H962="CÉLULA CONSTRUTIVA"</formula>
    </cfRule>
    <cfRule type="expression" dxfId="7006" priority="8762">
      <formula>$H962="SUBETAPA"</formula>
    </cfRule>
  </conditionalFormatting>
  <conditionalFormatting sqref="G964:M964 G965:L965 N965:O965 O964:P964">
    <cfRule type="expression" dxfId="7005" priority="8814">
      <formula>$H964="ETAPA"</formula>
    </cfRule>
    <cfRule type="expression" dxfId="7004" priority="8813">
      <formula>$H964="CÉLULA CONSTRUTIVA"</formula>
    </cfRule>
    <cfRule type="expression" dxfId="7003" priority="8812">
      <formula>$H964="SUBETAPA"</formula>
    </cfRule>
  </conditionalFormatting>
  <conditionalFormatting sqref="G971:M971 G972:I972 K972:L972 O971:P971">
    <cfRule type="expression" dxfId="7002" priority="8910">
      <formula>$H971="CÉLULA CONSTRUTIVA"</formula>
    </cfRule>
    <cfRule type="expression" dxfId="7001" priority="8911">
      <formula>$H971="ETAPA"</formula>
    </cfRule>
    <cfRule type="expression" dxfId="7000" priority="8909">
      <formula>$H971="SUBETAPA"</formula>
    </cfRule>
  </conditionalFormatting>
  <conditionalFormatting sqref="G973:M973 O973:P973">
    <cfRule type="expression" dxfId="6999" priority="8858">
      <formula>$H973="ETAPA"</formula>
    </cfRule>
    <cfRule type="expression" dxfId="6998" priority="8857">
      <formula>$H973="CÉLULA CONSTRUTIVA"</formula>
    </cfRule>
    <cfRule type="expression" dxfId="6997" priority="8856">
      <formula>$H973="SUBETAPA"</formula>
    </cfRule>
  </conditionalFormatting>
  <conditionalFormatting sqref="G976:M976 G979:M979 G981:M981 G983:M983 O983:P983 O981:P981 O979:P979 O976:P976">
    <cfRule type="expression" dxfId="6996" priority="8865">
      <formula>$H976="CÉLULA CONSTRUTIVA"</formula>
    </cfRule>
    <cfRule type="expression" dxfId="6995" priority="8864">
      <formula>$H976="SUBETAPA"</formula>
    </cfRule>
    <cfRule type="expression" dxfId="6994" priority="8866">
      <formula>$H976="ETAPA"</formula>
    </cfRule>
  </conditionalFormatting>
  <conditionalFormatting sqref="G986:M986 O986:P986">
    <cfRule type="expression" dxfId="6993" priority="9177">
      <formula>$H986="SUBETAPA"</formula>
    </cfRule>
    <cfRule type="expression" dxfId="6992" priority="9178">
      <formula>$H986="CÉLULA CONSTRUTIVA"</formula>
    </cfRule>
    <cfRule type="expression" dxfId="6991" priority="9179">
      <formula>$H986="ETAPA"</formula>
    </cfRule>
  </conditionalFormatting>
  <conditionalFormatting sqref="G990:M990 G991:J991 L991 N991:O991 O990:P990">
    <cfRule type="expression" dxfId="6990" priority="9058">
      <formula>$H990="CÉLULA CONSTRUTIVA"</formula>
    </cfRule>
    <cfRule type="expression" dxfId="6989" priority="9059">
      <formula>$H990="ETAPA"</formula>
    </cfRule>
    <cfRule type="expression" dxfId="6988" priority="9057">
      <formula>$H990="SUBETAPA"</formula>
    </cfRule>
  </conditionalFormatting>
  <conditionalFormatting sqref="G994:M994 G996:M996 G995:I995 K995:L995 G997:I997 K997:L997 N995:O995 N997:O997 O996:P996 O994:P994">
    <cfRule type="expression" dxfId="6987" priority="9201">
      <formula>$H994="ETAPA"</formula>
    </cfRule>
    <cfRule type="expression" dxfId="6986" priority="9200">
      <formula>$H994="CÉLULA CONSTRUTIVA"</formula>
    </cfRule>
    <cfRule type="expression" dxfId="6985" priority="9199">
      <formula>$H994="SUBETAPA"</formula>
    </cfRule>
  </conditionalFormatting>
  <conditionalFormatting sqref="G998:M998 O1000 G1000:K1000 O998:P998">
    <cfRule type="expression" dxfId="6984" priority="9198">
      <formula>$H998="ETAPA"</formula>
    </cfRule>
    <cfRule type="expression" dxfId="6983" priority="9197">
      <formula>$H998="CÉLULA CONSTRUTIVA"</formula>
    </cfRule>
    <cfRule type="expression" dxfId="6982" priority="9196">
      <formula>$H998="SUBETAPA"</formula>
    </cfRule>
  </conditionalFormatting>
  <conditionalFormatting sqref="G1001:M1001 O1001:P1001">
    <cfRule type="expression" dxfId="6981" priority="9143">
      <formula>$H1001="SUBETAPA"</formula>
    </cfRule>
    <cfRule type="expression" dxfId="6980" priority="9144">
      <formula>$H1001="CÉLULA CONSTRUTIVA"</formula>
    </cfRule>
    <cfRule type="expression" dxfId="6979" priority="9145">
      <formula>$H1001="ETAPA"</formula>
    </cfRule>
  </conditionalFormatting>
  <conditionalFormatting sqref="G1003:M1003 O1003:P1003">
    <cfRule type="expression" dxfId="6978" priority="9135">
      <formula>$H1003="SUBETAPA"</formula>
    </cfRule>
    <cfRule type="expression" dxfId="6977" priority="9136">
      <formula>$H1003="CÉLULA CONSTRUTIVA"</formula>
    </cfRule>
    <cfRule type="expression" dxfId="6976" priority="9137">
      <formula>$H1003="ETAPA"</formula>
    </cfRule>
  </conditionalFormatting>
  <conditionalFormatting sqref="G1157:M1157 O1157">
    <cfRule type="expression" dxfId="6975" priority="6901">
      <formula>$H1157="SUBETAPA"</formula>
    </cfRule>
    <cfRule type="expression" dxfId="6974" priority="6902">
      <formula>$H1157="CÉLULA CONSTRUTIVA"</formula>
    </cfRule>
    <cfRule type="expression" dxfId="6973" priority="6903">
      <formula>$H1157="ETAPA"</formula>
    </cfRule>
  </conditionalFormatting>
  <conditionalFormatting sqref="G1178:M1178 G1179:O1179 O1178:P1178">
    <cfRule type="expression" dxfId="6972" priority="6242">
      <formula>$H1178="ETAPA"</formula>
    </cfRule>
    <cfRule type="expression" dxfId="6971" priority="6240">
      <formula>$H1178="SUBETAPA"</formula>
    </cfRule>
    <cfRule type="expression" dxfId="6970" priority="6241">
      <formula>$H1178="CÉLULA CONSTRUTIVA"</formula>
    </cfRule>
  </conditionalFormatting>
  <conditionalFormatting sqref="G1189:M1189 O1189:P1189">
    <cfRule type="expression" dxfId="6969" priority="6250">
      <formula>$H1189="ETAPA"</formula>
    </cfRule>
    <cfRule type="expression" dxfId="6968" priority="6248">
      <formula>$H1189="SUBETAPA"</formula>
    </cfRule>
    <cfRule type="expression" dxfId="6967" priority="6249">
      <formula>$H1189="CÉLULA CONSTRUTIVA"</formula>
    </cfRule>
  </conditionalFormatting>
  <conditionalFormatting sqref="G1217:M1217 O1228 G1216:K1216 M1216:P1216 N1229:P1229 O1227:P1227 O1222:P1222 O1217:P1217">
    <cfRule type="expression" dxfId="6966" priority="3446">
      <formula>$H1216="ETAPA"</formula>
    </cfRule>
    <cfRule type="expression" dxfId="6965" priority="3445">
      <formula>$H1216="CÉLULA CONSTRUTIVA"</formula>
    </cfRule>
    <cfRule type="expression" dxfId="6964" priority="3444">
      <formula>$H1216="SUBETAPA"</formula>
    </cfRule>
  </conditionalFormatting>
  <conditionalFormatting sqref="G1234:M1234 G1239:L1239 O1248 G1233:K1233 M1233:P1233 G1240:K1240 O1249:P1249 O1247:P1247 O1245:P1245 O1239:P1239 O1234:P1234">
    <cfRule type="expression" dxfId="6963" priority="3540">
      <formula>$H1233="ETAPA"</formula>
    </cfRule>
    <cfRule type="expression" dxfId="6962" priority="3539">
      <formula>$H1233="CÉLULA CONSTRUTIVA"</formula>
    </cfRule>
    <cfRule type="expression" dxfId="6961" priority="3538">
      <formula>$H1233="SUBETAPA"</formula>
    </cfRule>
  </conditionalFormatting>
  <conditionalFormatting sqref="G1256:M1256 G1261:L1261 O1268 G1255:K1255 M1255:P1255 G1262:K1262 O1269:P1269 O1267:P1267 O1261:P1261 O1256:P1256">
    <cfRule type="expression" dxfId="6960" priority="3632">
      <formula>$H1255="SUBETAPA"</formula>
    </cfRule>
    <cfRule type="expression" dxfId="6959" priority="3634">
      <formula>$H1255="ETAPA"</formula>
    </cfRule>
    <cfRule type="expression" dxfId="6958" priority="3633">
      <formula>$H1255="CÉLULA CONSTRUTIVA"</formula>
    </cfRule>
  </conditionalFormatting>
  <conditionalFormatting sqref="G240:N240 P240:P242">
    <cfRule type="expression" dxfId="6957" priority="11642">
      <formula>$H240="SUBETAPA"</formula>
    </cfRule>
  </conditionalFormatting>
  <conditionalFormatting sqref="G289:N289 P289">
    <cfRule type="expression" dxfId="6956" priority="5319">
      <formula>$H289="SUBETAPA"</formula>
    </cfRule>
    <cfRule type="expression" dxfId="6955" priority="5320">
      <formula>$H289="CÉLULA CONSTRUTIVA"</formula>
    </cfRule>
    <cfRule type="expression" dxfId="6954" priority="5321">
      <formula>$H289="ETAPA"</formula>
    </cfRule>
  </conditionalFormatting>
  <conditionalFormatting sqref="G309:N309 P309">
    <cfRule type="expression" dxfId="6953" priority="5312">
      <formula>$H309="CÉLULA CONSTRUTIVA"</formula>
    </cfRule>
    <cfRule type="expression" dxfId="6952" priority="5311">
      <formula>$H309="SUBETAPA"</formula>
    </cfRule>
    <cfRule type="expression" dxfId="6951" priority="5313">
      <formula>$H309="ETAPA"</formula>
    </cfRule>
  </conditionalFormatting>
  <conditionalFormatting sqref="G329:N329 P329">
    <cfRule type="expression" dxfId="6950" priority="5305">
      <formula>$H329="ETAPA"</formula>
    </cfRule>
    <cfRule type="expression" dxfId="6949" priority="5303">
      <formula>$H329="SUBETAPA"</formula>
    </cfRule>
    <cfRule type="expression" dxfId="6948" priority="5304">
      <formula>$H329="CÉLULA CONSTRUTIVA"</formula>
    </cfRule>
  </conditionalFormatting>
  <conditionalFormatting sqref="G349:N349 P349">
    <cfRule type="expression" dxfId="6947" priority="5296">
      <formula>$H349="CÉLULA CONSTRUTIVA"</formula>
    </cfRule>
    <cfRule type="expression" dxfId="6946" priority="5297">
      <formula>$H349="ETAPA"</formula>
    </cfRule>
    <cfRule type="expression" dxfId="6945" priority="5295">
      <formula>$H349="SUBETAPA"</formula>
    </cfRule>
  </conditionalFormatting>
  <conditionalFormatting sqref="G1156:O1156">
    <cfRule type="expression" dxfId="6944" priority="12929">
      <formula>$H1156="SUBETAPA"</formula>
    </cfRule>
  </conditionalFormatting>
  <conditionalFormatting sqref="G1159:O1161">
    <cfRule type="expression" dxfId="6943" priority="12926">
      <formula>$H1159="SUBETAPA"</formula>
    </cfRule>
  </conditionalFormatting>
  <conditionalFormatting sqref="G1176:O1176">
    <cfRule type="expression" dxfId="6942" priority="6294">
      <formula>$H1176="ETAPA"</formula>
    </cfRule>
    <cfRule type="expression" dxfId="6941" priority="6293">
      <formula>$H1176="CÉLULA CONSTRUTIVA"</formula>
    </cfRule>
    <cfRule type="expression" dxfId="6940" priority="6292">
      <formula>$H1176="SUBETAPA"</formula>
    </cfRule>
  </conditionalFormatting>
  <conditionalFormatting sqref="G1254:O1254">
    <cfRule type="expression" dxfId="6939" priority="3236">
      <formula>$H1254="ETAPA"</formula>
    </cfRule>
    <cfRule type="expression" dxfId="6938" priority="3235">
      <formula>$H1254="CÉLULA CONSTRUTIVA"</formula>
    </cfRule>
    <cfRule type="expression" dxfId="6937" priority="3234">
      <formula>$H1254="SUBETAPA"</formula>
    </cfRule>
  </conditionalFormatting>
  <conditionalFormatting sqref="G1273:O1273">
    <cfRule type="expression" dxfId="6936" priority="3228">
      <formula>$H1273="ETAPA"</formula>
    </cfRule>
    <cfRule type="expression" dxfId="6935" priority="3227">
      <formula>$H1273="CÉLULA CONSTRUTIVA"</formula>
    </cfRule>
    <cfRule type="expression" dxfId="6934" priority="3226">
      <formula>$H1273="SUBETAPA"</formula>
    </cfRule>
  </conditionalFormatting>
  <conditionalFormatting sqref="G1304:O1304">
    <cfRule type="expression" dxfId="6933" priority="12860">
      <formula>$H1304="SUBETAPA"</formula>
    </cfRule>
  </conditionalFormatting>
  <conditionalFormatting sqref="G1310:O1310">
    <cfRule type="expression" dxfId="6932" priority="12854">
      <formula>$H1310="SUBETAPA"</formula>
    </cfRule>
  </conditionalFormatting>
  <conditionalFormatting sqref="G1312:O1313">
    <cfRule type="expression" dxfId="6931" priority="12848">
      <formula>$H1312="SUBETAPA"</formula>
    </cfRule>
  </conditionalFormatting>
  <conditionalFormatting sqref="G1315:O1315">
    <cfRule type="expression" dxfId="6930" priority="12845">
      <formula>$H1315="SUBETAPA"</formula>
    </cfRule>
  </conditionalFormatting>
  <conditionalFormatting sqref="G1319:O1319">
    <cfRule type="expression" dxfId="6929" priority="12842">
      <formula>$H1319="SUBETAPA"</formula>
    </cfRule>
  </conditionalFormatting>
  <conditionalFormatting sqref="G8:P8">
    <cfRule type="expression" dxfId="6928" priority="867">
      <formula>$H8="SUBETAPA"</formula>
    </cfRule>
    <cfRule type="expression" dxfId="6927" priority="869">
      <formula>$H8="ETAPA"</formula>
    </cfRule>
    <cfRule type="expression" dxfId="6926" priority="868">
      <formula>$H8="CÉLULA CONSTRUTIVA"</formula>
    </cfRule>
  </conditionalFormatting>
  <conditionalFormatting sqref="G9:P9 G150:L150 G160:L168 O160:P160 O150:P150 G12:L25 N13:P15 G11:P11 O17:P17 O28:P28 O163:P163 O165:P165 O167:P167 N12:O12 O16 O19:P19 O18 O21:P21 O20 O23:P23 O22 O25:P25 O24 O27 O30:P30 O29 O32:P32 O31 O35:P36 O33:O34 O38:P38 O37 O42:P43 O45:P45 O44 O47:P49 O46 O51:P51 O57:P57 O60:P60 O58:O59 O62:P62 O61 O64:P64 O63 O66:P66 O65 O68:P68 O67 O70:P70 O69 O72:P72 O71 O74:P74 O73 O76:P76 O75 O78:P80 O77 O82:P83 O81 O85:P85 O84 O88:P88 O94:P94 O89:O93 O97:P97 O95:O96 O99:P99 O98 O39:O41 O52:O56 G27:L99 O86:O87 O50">
    <cfRule type="expression" dxfId="6925" priority="956">
      <formula>$H9="CÉLULA CONSTRUTIVA"</formula>
    </cfRule>
    <cfRule type="expression" dxfId="6924" priority="955">
      <formula>$H9="SUBETAPA"</formula>
    </cfRule>
    <cfRule type="expression" dxfId="6923" priority="957">
      <formula>$H9="ETAPA"</formula>
    </cfRule>
  </conditionalFormatting>
  <conditionalFormatting sqref="G10:P10">
    <cfRule type="expression" dxfId="6922" priority="622">
      <formula>$H10="ETAPA"</formula>
    </cfRule>
    <cfRule type="expression" dxfId="6921" priority="621">
      <formula>$H10="CÉLULA CONSTRUTIVA"</formula>
    </cfRule>
    <cfRule type="expression" dxfId="6920" priority="620">
      <formula>$H10="SUBETAPA"</formula>
    </cfRule>
  </conditionalFormatting>
  <conditionalFormatting sqref="G202:P202">
    <cfRule type="expression" dxfId="6919" priority="963">
      <formula>$H202="SUBETAPA"</formula>
    </cfRule>
    <cfRule type="expression" dxfId="6918" priority="964">
      <formula>$H202="CÉLULA CONSTRUTIVA"</formula>
    </cfRule>
    <cfRule type="expression" dxfId="6917" priority="965">
      <formula>$H202="ETAPA"</formula>
    </cfRule>
  </conditionalFormatting>
  <conditionalFormatting sqref="G214:P216 G217:L217 G221:P221 G225:P225 G226:L226 G227:P228">
    <cfRule type="expression" dxfId="6916" priority="13145">
      <formula>$H214="SUBETAPA"</formula>
    </cfRule>
  </conditionalFormatting>
  <conditionalFormatting sqref="G218:P218">
    <cfRule type="expression" dxfId="6915" priority="11632">
      <formula>$H218="CÉLULA CONSTRUTIVA"</formula>
    </cfRule>
    <cfRule type="expression" dxfId="6914" priority="11633">
      <formula>$H218="ETAPA"</formula>
    </cfRule>
  </conditionalFormatting>
  <conditionalFormatting sqref="G218:P219 G220:L220">
    <cfRule type="expression" dxfId="6913" priority="11623">
      <formula>$H218="SUBETAPA"</formula>
    </cfRule>
  </conditionalFormatting>
  <conditionalFormatting sqref="G219:P219 G220:L220 O220">
    <cfRule type="expression" dxfId="6912" priority="11625">
      <formula>$H219="ETAPA"</formula>
    </cfRule>
    <cfRule type="expression" dxfId="6911" priority="11624">
      <formula>$H219="CÉLULA CONSTRUTIVA"</formula>
    </cfRule>
  </conditionalFormatting>
  <conditionalFormatting sqref="G238:P239">
    <cfRule type="expression" dxfId="6910" priority="11639">
      <formula>$H238="SUBETAPA"</formula>
    </cfRule>
  </conditionalFormatting>
  <conditionalFormatting sqref="G254:P256 G261:P261 G269:P269">
    <cfRule type="expression" dxfId="6909" priority="11873">
      <formula>$H254="SUBETAPA"</formula>
    </cfRule>
  </conditionalFormatting>
  <conditionalFormatting sqref="G274:P274">
    <cfRule type="expression" dxfId="6908" priority="11849">
      <formula>$H274="SUBETAPA"</formula>
    </cfRule>
  </conditionalFormatting>
  <conditionalFormatting sqref="G276:P277 G282:P282 G290:P290">
    <cfRule type="expression" dxfId="6907" priority="11846">
      <formula>$H276="SUBETAPA"</formula>
    </cfRule>
  </conditionalFormatting>
  <conditionalFormatting sqref="G294:P294">
    <cfRule type="expression" dxfId="6906" priority="11822">
      <formula>$H294="SUBETAPA"</formula>
    </cfRule>
  </conditionalFormatting>
  <conditionalFormatting sqref="G296:P297 G302:P302 G310:P310">
    <cfRule type="expression" dxfId="6905" priority="11819">
      <formula>$H296="SUBETAPA"</formula>
    </cfRule>
  </conditionalFormatting>
  <conditionalFormatting sqref="G323:P328">
    <cfRule type="expression" dxfId="6904" priority="12117">
      <formula>$H323="SUBETAPA"</formula>
    </cfRule>
  </conditionalFormatting>
  <conditionalFormatting sqref="G390:P391 G395:K395 G397:K397 G402:K403 O402:O403 O602:O603 O613 G703:P704 G908:M908 G1013:P1015 O1016 G1024:L1028 O1025:O1027 G1153:P1155 G1156:M1156 O1156 G1159:M1160 O1159:O1160 G1162:M1162 O1162 O1172 G1184:L1184 O1184 G1198:P1198 G1205:P1205 G1199:L1202 G1208:P1208 G1206:L1207 O1207 G1210:P1210 G1209:L1209 O1209 G1298:P1300 G1305:P1305 G1304:M1304 O1304 G1306:M1306 O1306 G1310:M1310 O1310 G1312:M1313 G1316:P1318 G1315:M1315 O1315 G1319:M1319 O1319 G714:P714 O717:O718 G717:L718 G1016:L1016 G1185:P1187 G1172:M1172 N1024:P1024 N614:P614 O612:P612 N604:P604 O1312:O1313 G1192:P1193 G1191:J1191 G601:M601 G1018:L1018 O1018 G1019:P1019 G392:M392 O392:P392 N1028:P1028 G597:P598 G1303:P1303 G1309:P1309 G1311:P1311 G1314:P1314 G1183:P1183 G1171:P1171 G1158:P1158 O908:P908 O601:P601 O1199:O1201">
    <cfRule type="expression" dxfId="6903" priority="13134">
      <formula>$H390="CÉLULA CONSTRUTIVA"</formula>
    </cfRule>
    <cfRule type="expression" dxfId="6902" priority="13135">
      <formula>$H390="ETAPA"</formula>
    </cfRule>
  </conditionalFormatting>
  <conditionalFormatting sqref="G390:P391 G392:M392 O392:P392 G597:P600 O601:P601 G601:M603 N604:P604 O612:P612 N614:P616 G703:P705 G714:P714 G715:L718 G908:M908 O908:P908 G1013:P1015 G1016:L1016 G1018:L1018 G1019:P1019 N1024:P1024 G1024:L1028 N1028:P1028 G1153:P1155 G1158:P1158 G1162:M1163 G1171:P1171 G1172:M1173 G1183:P1183 G1184:L1184 G1185:P1187 G1191:J1191 G1192:P1193 G1198:P1198 O1199:O1201 G1199:L1202 G1205:P1205 G1206:L1207 O1207 G1208:P1208 G1209:L1209 G1210:P1210 G1290:P1300 G1303:P1303 G1305:P1305 G1306:M1307 G1309:P1309 G1311:P1311 G1314:P1314 G1316:P1318">
    <cfRule type="expression" dxfId="6901" priority="13133">
      <formula>$H390="SUBETAPA"</formula>
    </cfRule>
  </conditionalFormatting>
  <conditionalFormatting sqref="G404:P405 G409:P409 G411:P411 G416:L417 O416:O417">
    <cfRule type="expression" dxfId="6900" priority="11486">
      <formula>$H404="ETAPA"</formula>
    </cfRule>
    <cfRule type="expression" dxfId="6899" priority="11485">
      <formula>$H404="CÉLULA CONSTRUTIVA"</formula>
    </cfRule>
  </conditionalFormatting>
  <conditionalFormatting sqref="G404:P405 G409:P409 G411:P411 G416:L417">
    <cfRule type="expression" dxfId="6898" priority="11484">
      <formula>$H404="SUBETAPA"</formula>
    </cfRule>
  </conditionalFormatting>
  <conditionalFormatting sqref="G415:P415 G412:I414 G406:L408 L412:L414 N406:O408 N412:O414">
    <cfRule type="expression" dxfId="6897" priority="11488">
      <formula>$H406="CÉLULA CONSTRUTIVA"</formula>
    </cfRule>
    <cfRule type="expression" dxfId="6896" priority="11489">
      <formula>$H406="ETAPA"</formula>
    </cfRule>
  </conditionalFormatting>
  <conditionalFormatting sqref="G419:P419 G423:P423 G425:P425 G430:L431 O430:O431 G418:M418 O418:P418">
    <cfRule type="expression" dxfId="6895" priority="11500">
      <formula>$H418="ETAPA"</formula>
    </cfRule>
    <cfRule type="expression" dxfId="6894" priority="11499">
      <formula>$H418="CÉLULA CONSTRUTIVA"</formula>
    </cfRule>
  </conditionalFormatting>
  <conditionalFormatting sqref="G429:P429 G426:I428 G420:L422 L426:L428 N420:O422 N426:O428">
    <cfRule type="expression" dxfId="6893" priority="11503">
      <formula>$H420="ETAPA"</formula>
    </cfRule>
    <cfRule type="expression" dxfId="6892" priority="11502">
      <formula>$H420="CÉLULA CONSTRUTIVA"</formula>
    </cfRule>
  </conditionalFormatting>
  <conditionalFormatting sqref="G446:P447 G450:M450 G452:M452 G457:L458 O457:O458 O452:P452 O450:P450">
    <cfRule type="expression" dxfId="6891" priority="11528">
      <formula>$H446="ETAPA"</formula>
    </cfRule>
    <cfRule type="expression" dxfId="6890" priority="11527">
      <formula>$H446="CÉLULA CONSTRUTIVA"</formula>
    </cfRule>
  </conditionalFormatting>
  <conditionalFormatting sqref="G446:P447 G450:M450 O450:P450 G452:M452 O452:P452 G457:L458 O457:O458">
    <cfRule type="expression" dxfId="6889" priority="11526">
      <formula>$H446="SUBETAPA"</formula>
    </cfRule>
  </conditionalFormatting>
  <conditionalFormatting sqref="G459:P459 G460:M460 O460:P460 G464:P464 G467:M467 O467:P467 G472:L473 O472:O473">
    <cfRule type="expression" dxfId="6888" priority="11540">
      <formula>$H459="SUBETAPA"</formula>
    </cfRule>
  </conditionalFormatting>
  <conditionalFormatting sqref="G459:P459 G464:P464 G467:M467 G472:L473 O472:O473 G460:M460 O460:P460 O467:P467">
    <cfRule type="expression" dxfId="6887" priority="11541">
      <formula>$H459="CÉLULA CONSTRUTIVA"</formula>
    </cfRule>
    <cfRule type="expression" dxfId="6886" priority="11542">
      <formula>$H459="ETAPA"</formula>
    </cfRule>
  </conditionalFormatting>
  <conditionalFormatting sqref="G474:P474 G475:M475 O475:P475 G478:P478 G480:M480 O480:P480 G485:L486">
    <cfRule type="expression" dxfId="6885" priority="11554">
      <formula>$H474="SUBETAPA"</formula>
    </cfRule>
  </conditionalFormatting>
  <conditionalFormatting sqref="G474:P474 G478:P478 G480:M480 G485:L486 O485:O486 G475:M475 O475:P475 O480:P480">
    <cfRule type="expression" dxfId="6884" priority="11556">
      <formula>$H474="ETAPA"</formula>
    </cfRule>
    <cfRule type="expression" dxfId="6883" priority="11555">
      <formula>$H474="CÉLULA CONSTRUTIVA"</formula>
    </cfRule>
  </conditionalFormatting>
  <conditionalFormatting sqref="G487:P487 G488:M488 O488:P488 G491:M491 O491:P491">
    <cfRule type="expression" dxfId="6882" priority="11568">
      <formula>$H487="SUBETAPA"</formula>
    </cfRule>
  </conditionalFormatting>
  <conditionalFormatting sqref="G487:P487 G491:M491 G488:M488 O488:P488 O491:P491">
    <cfRule type="expression" dxfId="6881" priority="11570">
      <formula>$H487="ETAPA"</formula>
    </cfRule>
    <cfRule type="expression" dxfId="6880" priority="11569">
      <formula>$H487="CÉLULA CONSTRUTIVA"</formula>
    </cfRule>
  </conditionalFormatting>
  <conditionalFormatting sqref="G495:P495 G492:I494 L492:L494 N492:O494">
    <cfRule type="expression" dxfId="6879" priority="11572">
      <formula>$H492="CÉLULA CONSTRUTIVA"</formula>
    </cfRule>
    <cfRule type="expression" dxfId="6878" priority="11573">
      <formula>$H492="ETAPA"</formula>
    </cfRule>
  </conditionalFormatting>
  <conditionalFormatting sqref="G545:P545 G547:L547 G548:I549 G550:M550 G551:L551 N547 N549 N551:O551 K549:L549 K548:M548 G546:M546 O546:P546 O548:P548 O550:P550">
    <cfRule type="expression" dxfId="6877" priority="2122">
      <formula>$H545="SUBETAPA"</formula>
    </cfRule>
    <cfRule type="expression" dxfId="6876" priority="2123">
      <formula>$H545="CÉLULA CONSTRUTIVA"</formula>
    </cfRule>
    <cfRule type="expression" dxfId="6875" priority="2124">
      <formula>$H545="ETAPA"</formula>
    </cfRule>
  </conditionalFormatting>
  <conditionalFormatting sqref="G552:P552 G555:M555 G554:L554 G556:L556 G557:I558 G559:M559 G560:L560 N554 N556 N558 N560:O560 K558:L558 K557:M557 O559:P559 O557:P557 O555:P555 G553:M553 O553:P553">
    <cfRule type="expression" dxfId="6874" priority="2203">
      <formula>$H552="ETAPA"</formula>
    </cfRule>
    <cfRule type="expression" dxfId="6873" priority="2202">
      <formula>$H552="CÉLULA CONSTRUTIVA"</formula>
    </cfRule>
    <cfRule type="expression" dxfId="6872" priority="2201">
      <formula>$H552="SUBETAPA"</formula>
    </cfRule>
  </conditionalFormatting>
  <conditionalFormatting sqref="G561:P561 G563:I567 G568:M568 G569:L569 N563 N565 N567 N569:O569 K567:L567 K566:M566 K565:L565 K563:L563 K564:M564 G562:M562 O562:P562 O564:P564 O566:P566 O568:P568">
    <cfRule type="expression" dxfId="6871" priority="2281">
      <formula>$H561="CÉLULA CONSTRUTIVA"</formula>
    </cfRule>
    <cfRule type="expression" dxfId="6870" priority="2280">
      <formula>$H561="SUBETAPA"</formula>
    </cfRule>
    <cfRule type="expression" dxfId="6869" priority="2282">
      <formula>$H561="ETAPA"</formula>
    </cfRule>
  </conditionalFormatting>
  <conditionalFormatting sqref="G570:P570 G573:M573 G572:L572 G574:L574 G575:M575 G576:L576 G577:M577 G578:L578 N572 N574 N576 N578:O578 G571:M571 O571:P571 O573:P573 O575:P575 O577:P577">
    <cfRule type="expression" dxfId="6868" priority="1964">
      <formula>$H570="SUBETAPA"</formula>
    </cfRule>
    <cfRule type="expression" dxfId="6867" priority="1965">
      <formula>$H570="CÉLULA CONSTRUTIVA"</formula>
    </cfRule>
    <cfRule type="expression" dxfId="6866" priority="1966">
      <formula>$H570="ETAPA"</formula>
    </cfRule>
  </conditionalFormatting>
  <conditionalFormatting sqref="G644:P644 O646:O647 O657 N658:P658 O656:P656 O648:P648 G645:M645 O645:P645">
    <cfRule type="expression" dxfId="6865" priority="4298">
      <formula>$H644="CÉLULA CONSTRUTIVA"</formula>
    </cfRule>
    <cfRule type="expression" dxfId="6864" priority="4297">
      <formula>$H644="SUBETAPA"</formula>
    </cfRule>
    <cfRule type="expression" dxfId="6863" priority="4299">
      <formula>$H644="ETAPA"</formula>
    </cfRule>
  </conditionalFormatting>
  <conditionalFormatting sqref="G663:P663">
    <cfRule type="expression" dxfId="6862" priority="3749">
      <formula>$H663="ETAPA"</formula>
    </cfRule>
    <cfRule type="expression" dxfId="6861" priority="3748">
      <formula>$H663="CÉLULA CONSTRUTIVA"</formula>
    </cfRule>
    <cfRule type="expression" dxfId="6860" priority="3747">
      <formula>$H663="SUBETAPA"</formula>
    </cfRule>
  </conditionalFormatting>
  <conditionalFormatting sqref="G665:P665 O674 N675:P675 O673:P673 O668:P668 G666:M666 O666:P666">
    <cfRule type="expression" dxfId="6859" priority="4397">
      <formula>$H665="SUBETAPA"</formula>
    </cfRule>
    <cfRule type="expression" dxfId="6858" priority="4399">
      <formula>$H665="ETAPA"</formula>
    </cfRule>
    <cfRule type="expression" dxfId="6857" priority="4398">
      <formula>$H665="CÉLULA CONSTRUTIVA"</formula>
    </cfRule>
  </conditionalFormatting>
  <conditionalFormatting sqref="G680:P680 O682:O683 O689:P689 O684:P684 G681:M681 O681:P681">
    <cfRule type="expression" dxfId="6856" priority="4597">
      <formula>$H680="SUBETAPA"</formula>
    </cfRule>
    <cfRule type="expression" dxfId="6855" priority="4598">
      <formula>$H680="CÉLULA CONSTRUTIVA"</formula>
    </cfRule>
    <cfRule type="expression" dxfId="6854" priority="4599">
      <formula>$H680="ETAPA"</formula>
    </cfRule>
  </conditionalFormatting>
  <conditionalFormatting sqref="G724:P724">
    <cfRule type="expression" dxfId="6853" priority="1595">
      <formula>$H724="CÉLULA CONSTRUTIVA"</formula>
    </cfRule>
    <cfRule type="expression" dxfId="6852" priority="1594">
      <formula>$H724="SUBETAPA"</formula>
    </cfRule>
    <cfRule type="expression" dxfId="6851" priority="1596">
      <formula>$H724="ETAPA"</formula>
    </cfRule>
  </conditionalFormatting>
  <conditionalFormatting sqref="G725:P725 G728:G730 L733 O732 O728:O730 K729:L730 K732:L732 G732 L728">
    <cfRule type="expression" dxfId="6850" priority="11010">
      <formula>$H725="ETAPA"</formula>
    </cfRule>
    <cfRule type="expression" dxfId="6849" priority="11009">
      <formula>$H725="CÉLULA CONSTRUTIVA"</formula>
    </cfRule>
    <cfRule type="expression" dxfId="6848" priority="11008">
      <formula>$H725="SUBETAPA"</formula>
    </cfRule>
  </conditionalFormatting>
  <conditionalFormatting sqref="G741:P741">
    <cfRule type="expression" dxfId="6847" priority="1603">
      <formula>$H741="CÉLULA CONSTRUTIVA"</formula>
    </cfRule>
    <cfRule type="expression" dxfId="6846" priority="1602">
      <formula>$H741="SUBETAPA"</formula>
    </cfRule>
    <cfRule type="expression" dxfId="6845" priority="1604">
      <formula>$H741="ETAPA"</formula>
    </cfRule>
  </conditionalFormatting>
  <conditionalFormatting sqref="G742:P742 G748:G752 M748 O749:O752 O748:P748">
    <cfRule type="expression" dxfId="6844" priority="11057">
      <formula>$H742="ETAPA"</formula>
    </cfRule>
    <cfRule type="expression" dxfId="6843" priority="11056">
      <formula>$H742="CÉLULA CONSTRUTIVA"</formula>
    </cfRule>
    <cfRule type="expression" dxfId="6842" priority="11055">
      <formula>$H742="SUBETAPA"</formula>
    </cfRule>
  </conditionalFormatting>
  <conditionalFormatting sqref="G758:P758">
    <cfRule type="expression" dxfId="6841" priority="1610">
      <formula>$H758="SUBETAPA"</formula>
    </cfRule>
    <cfRule type="expression" dxfId="6840" priority="1611">
      <formula>$H758="CÉLULA CONSTRUTIVA"</formula>
    </cfRule>
    <cfRule type="expression" dxfId="6839" priority="1612">
      <formula>$H758="ETAPA"</formula>
    </cfRule>
  </conditionalFormatting>
  <conditionalFormatting sqref="G759:P759 G765:G769 M765 O766:O769 O765:P765">
    <cfRule type="expression" dxfId="6838" priority="11104">
      <formula>$H759="ETAPA"</formula>
    </cfRule>
    <cfRule type="expression" dxfId="6837" priority="11103">
      <formula>$H759="CÉLULA CONSTRUTIVA"</formula>
    </cfRule>
    <cfRule type="expression" dxfId="6836" priority="11102">
      <formula>$H759="SUBETAPA"</formula>
    </cfRule>
  </conditionalFormatting>
  <conditionalFormatting sqref="G775:P775">
    <cfRule type="expression" dxfId="6835" priority="1618">
      <formula>$H775="SUBETAPA"</formula>
    </cfRule>
    <cfRule type="expression" dxfId="6834" priority="1619">
      <formula>$H775="CÉLULA CONSTRUTIVA"</formula>
    </cfRule>
    <cfRule type="expression" dxfId="6833" priority="1620">
      <formula>$H775="ETAPA"</formula>
    </cfRule>
  </conditionalFormatting>
  <conditionalFormatting sqref="G776:P776 G782:G787 M783 O783:P783">
    <cfRule type="expression" dxfId="6832" priority="11149">
      <formula>$H776="SUBETAPA"</formula>
    </cfRule>
  </conditionalFormatting>
  <conditionalFormatting sqref="G776:P776 O784:O787 G783:G787 M783 O783:P783">
    <cfRule type="expression" dxfId="6831" priority="11150">
      <formula>$H776="CÉLULA CONSTRUTIVA"</formula>
    </cfRule>
    <cfRule type="expression" dxfId="6830" priority="11151">
      <formula>$H776="ETAPA"</formula>
    </cfRule>
  </conditionalFormatting>
  <conditionalFormatting sqref="G792:P792">
    <cfRule type="expression" dxfId="6829" priority="1626">
      <formula>$H792="SUBETAPA"</formula>
    </cfRule>
    <cfRule type="expression" dxfId="6828" priority="1627">
      <formula>$H792="CÉLULA CONSTRUTIVA"</formula>
    </cfRule>
    <cfRule type="expression" dxfId="6827" priority="1628">
      <formula>$H792="ETAPA"</formula>
    </cfRule>
  </conditionalFormatting>
  <conditionalFormatting sqref="G793:P793">
    <cfRule type="expression" dxfId="6826" priority="11197">
      <formula>$H793="CÉLULA CONSTRUTIVA"</formula>
    </cfRule>
    <cfRule type="expression" dxfId="6825" priority="11196">
      <formula>$H793="SUBETAPA"</formula>
    </cfRule>
    <cfRule type="expression" dxfId="6824" priority="11198">
      <formula>$H793="ETAPA"</formula>
    </cfRule>
  </conditionalFormatting>
  <conditionalFormatting sqref="G807:P808 M812 O812:P812 O813:O815">
    <cfRule type="expression" dxfId="6823" priority="11243">
      <formula>$H807="SUBETAPA"</formula>
    </cfRule>
  </conditionalFormatting>
  <conditionalFormatting sqref="G808:P808 O812:P812 M812 O813:O815">
    <cfRule type="expression" dxfId="6822" priority="11245">
      <formula>$H808="ETAPA"</formula>
    </cfRule>
    <cfRule type="expression" dxfId="6821" priority="11244">
      <formula>$H808="CÉLULA CONSTRUTIVA"</formula>
    </cfRule>
  </conditionalFormatting>
  <conditionalFormatting sqref="G820:P820 O823:P823 M823 O824:O826">
    <cfRule type="expression" dxfId="6820" priority="10661">
      <formula>$H820="SUBETAPA"</formula>
    </cfRule>
    <cfRule type="expression" dxfId="6819" priority="10663">
      <formula>$H820="ETAPA"</formula>
    </cfRule>
    <cfRule type="expression" dxfId="6818" priority="10662">
      <formula>$H820="CÉLULA CONSTRUTIVA"</formula>
    </cfRule>
  </conditionalFormatting>
  <conditionalFormatting sqref="G842:P842 G848:M848 G845:M845 G844:L844 N844:O844 G846:L847 N846:O847 G849:I849 N849:O849 K849:L849 G843:M843 O843:P843 O848 O845">
    <cfRule type="expression" dxfId="6817" priority="9995">
      <formula>$H842="SUBETAPA"</formula>
    </cfRule>
    <cfRule type="expression" dxfId="6816" priority="9997">
      <formula>$H842="ETAPA"</formula>
    </cfRule>
    <cfRule type="expression" dxfId="6815" priority="9996">
      <formula>$H842="CÉLULA CONSTRUTIVA"</formula>
    </cfRule>
  </conditionalFormatting>
  <conditionalFormatting sqref="G850:P850 G856:M856 G853:M853 G852:L852 N852:O852 G854:L854 N854:O855 G857:I857 K857:L857 N857:O857 G855:K855 G851:M851 O851:P851 O856 O853">
    <cfRule type="expression" dxfId="6814" priority="10013">
      <formula>$H850="ETAPA"</formula>
    </cfRule>
    <cfRule type="expression" dxfId="6813" priority="10011">
      <formula>$H850="SUBETAPA"</formula>
    </cfRule>
    <cfRule type="expression" dxfId="6812" priority="10012">
      <formula>$H850="CÉLULA CONSTRUTIVA"</formula>
    </cfRule>
  </conditionalFormatting>
  <conditionalFormatting sqref="G858:P858 G864:M864 G861:M861 G860:L860 N860:O860 G862:L862 N862:O863 G865:I865 N865:O865 K865:L865 G863:K863 G859:M859 O859:P859 O864 O861">
    <cfRule type="expression" dxfId="6811" priority="10027">
      <formula>$H858="SUBETAPA"</formula>
    </cfRule>
    <cfRule type="expression" dxfId="6810" priority="10028">
      <formula>$H858="CÉLULA CONSTRUTIVA"</formula>
    </cfRule>
    <cfRule type="expression" dxfId="6809" priority="10029">
      <formula>$H858="ETAPA"</formula>
    </cfRule>
  </conditionalFormatting>
  <conditionalFormatting sqref="G866:P866 G872:M872 G869:M869 G868:L868 N868:O868 G870:L871 N870:O871 G873:I873 N873:O873 K873:L873 O872 G867:M867 O867:P867 O869">
    <cfRule type="expression" dxfId="6808" priority="10043">
      <formula>$H866="SUBETAPA"</formula>
    </cfRule>
    <cfRule type="expression" dxfId="6807" priority="10044">
      <formula>$H866="CÉLULA CONSTRUTIVA"</formula>
    </cfRule>
    <cfRule type="expression" dxfId="6806" priority="10045">
      <formula>$H866="ETAPA"</formula>
    </cfRule>
  </conditionalFormatting>
  <conditionalFormatting sqref="G874:P874 G880:M880 G877:O877 G876:L876 N876:O876 G878:L879 N878:O879 G881:I881 N881:O881 K881:L881 O880 G875:M875 O875:P875">
    <cfRule type="expression" dxfId="6805" priority="10060">
      <formula>$H874="CÉLULA CONSTRUTIVA"</formula>
    </cfRule>
    <cfRule type="expression" dxfId="6804" priority="10061">
      <formula>$H874="ETAPA"</formula>
    </cfRule>
    <cfRule type="expression" dxfId="6803" priority="10059">
      <formula>$H874="SUBETAPA"</formula>
    </cfRule>
  </conditionalFormatting>
  <conditionalFormatting sqref="G892:P893">
    <cfRule type="expression" dxfId="6802" priority="11329">
      <formula>$H892="ETAPA"</formula>
    </cfRule>
    <cfRule type="expression" dxfId="6801" priority="11328">
      <formula>$H892="CÉLULA CONSTRUTIVA"</formula>
    </cfRule>
  </conditionalFormatting>
  <conditionalFormatting sqref="G892:P894">
    <cfRule type="expression" dxfId="6800" priority="11319">
      <formula>$H892="SUBETAPA"</formula>
    </cfRule>
  </conditionalFormatting>
  <conditionalFormatting sqref="G894:P894">
    <cfRule type="expression" dxfId="6799" priority="11321">
      <formula>$H894="ETAPA"</formula>
    </cfRule>
    <cfRule type="expression" dxfId="6798" priority="11320">
      <formula>$H894="CÉLULA CONSTRUTIVA"</formula>
    </cfRule>
  </conditionalFormatting>
  <conditionalFormatting sqref="G900:P900 L902:L905 G901:L901 N901:O901">
    <cfRule type="expression" dxfId="6797" priority="9679">
      <formula>$H900="SUBETAPA"</formula>
    </cfRule>
    <cfRule type="expression" dxfId="6796" priority="9680">
      <formula>$H900="CÉLULA CONSTRUTIVA"</formula>
    </cfRule>
    <cfRule type="expression" dxfId="6795" priority="9681">
      <formula>$H900="ETAPA"</formula>
    </cfRule>
  </conditionalFormatting>
  <conditionalFormatting sqref="G913:P913 G917:M917 G919:M919 O919:P919 O917:P917">
    <cfRule type="expression" dxfId="6794" priority="11271">
      <formula>$H913="CÉLULA CONSTRUTIVA"</formula>
    </cfRule>
    <cfRule type="expression" dxfId="6793" priority="11272">
      <formula>$H913="ETAPA"</formula>
    </cfRule>
  </conditionalFormatting>
  <conditionalFormatting sqref="G913:P913 G917:M917 O917:P917 G919:M919 O919:P919">
    <cfRule type="expression" dxfId="6792" priority="11270">
      <formula>$H913="SUBETAPA"</formula>
    </cfRule>
  </conditionalFormatting>
  <conditionalFormatting sqref="G921:P921">
    <cfRule type="expression" dxfId="6791" priority="8037">
      <formula>$H921="SUBETAPA"</formula>
    </cfRule>
    <cfRule type="expression" dxfId="6790" priority="8038">
      <formula>$H921="CÉLULA CONSTRUTIVA"</formula>
    </cfRule>
    <cfRule type="expression" dxfId="6789" priority="8039">
      <formula>$H921="ETAPA"</formula>
    </cfRule>
  </conditionalFormatting>
  <conditionalFormatting sqref="G932:P932">
    <cfRule type="expression" dxfId="6788" priority="8326">
      <formula>$H932="ETAPA"</formula>
    </cfRule>
    <cfRule type="expression" dxfId="6787" priority="8325">
      <formula>$H932="CÉLULA CONSTRUTIVA"</formula>
    </cfRule>
    <cfRule type="expression" dxfId="6786" priority="8324">
      <formula>$H932="SUBETAPA"</formula>
    </cfRule>
  </conditionalFormatting>
  <conditionalFormatting sqref="G943:P943">
    <cfRule type="expression" dxfId="6785" priority="8613">
      <formula>$H943="ETAPA"</formula>
    </cfRule>
    <cfRule type="expression" dxfId="6784" priority="8612">
      <formula>$H943="CÉLULA CONSTRUTIVA"</formula>
    </cfRule>
    <cfRule type="expression" dxfId="6783" priority="8611">
      <formula>$H943="SUBETAPA"</formula>
    </cfRule>
  </conditionalFormatting>
  <conditionalFormatting sqref="G952:P952">
    <cfRule type="expression" dxfId="6782" priority="8899">
      <formula>$H952="CÉLULA CONSTRUTIVA"</formula>
    </cfRule>
    <cfRule type="expression" dxfId="6781" priority="8898">
      <formula>$H952="SUBETAPA"</formula>
    </cfRule>
    <cfRule type="expression" dxfId="6780" priority="8900">
      <formula>$H952="ETAPA"</formula>
    </cfRule>
  </conditionalFormatting>
  <conditionalFormatting sqref="G985:P985">
    <cfRule type="expression" dxfId="6779" priority="9186">
      <formula>$H985="CÉLULA CONSTRUTIVA"</formula>
    </cfRule>
    <cfRule type="expression" dxfId="6778" priority="9187">
      <formula>$H985="ETAPA"</formula>
    </cfRule>
    <cfRule type="expression" dxfId="6777" priority="9185">
      <formula>$H985="SUBETAPA"</formula>
    </cfRule>
  </conditionalFormatting>
  <conditionalFormatting sqref="G1288:P1288 G1289:J1289 M1289:P1289">
    <cfRule type="expression" dxfId="6776" priority="1524">
      <formula>$H1288="SUBETAPA"</formula>
    </cfRule>
    <cfRule type="expression" dxfId="6775" priority="1525">
      <formula>$H1288="CÉLULA CONSTRUTIVA"</formula>
    </cfRule>
    <cfRule type="expression" dxfId="6774" priority="1526">
      <formula>$H1288="ETAPA"</formula>
    </cfRule>
  </conditionalFormatting>
  <conditionalFormatting sqref="H227 G215:P216 G238:P238 G221:P221 G217:L217 O217 G225:P225 G226:L226 O226 G239:M239 O239:P239">
    <cfRule type="expression" dxfId="6773" priority="13147">
      <formula>$H215="ETAPA"</formula>
    </cfRule>
    <cfRule type="expression" dxfId="6772" priority="13146">
      <formula>$H215="CÉLULA CONSTRUTIVA"</formula>
    </cfRule>
  </conditionalFormatting>
  <conditionalFormatting sqref="H762 J762">
    <cfRule type="expression" dxfId="6771" priority="10861">
      <formula>$H762="ETAPA"</formula>
    </cfRule>
    <cfRule type="expression" dxfId="6770" priority="10860">
      <formula>$H762="CÉLULA CONSTRUTIVA"</formula>
    </cfRule>
    <cfRule type="expression" dxfId="6769" priority="10859">
      <formula>$H762="SUBETAPA"</formula>
    </cfRule>
  </conditionalFormatting>
  <conditionalFormatting sqref="H763 I764 J763">
    <cfRule type="expression" dxfId="6768" priority="10856">
      <formula>$H763="SUBETAPA"</formula>
    </cfRule>
    <cfRule type="expression" dxfId="6767" priority="10857">
      <formula>$H763="CÉLULA CONSTRUTIVA"</formula>
    </cfRule>
    <cfRule type="expression" dxfId="6766" priority="10858">
      <formula>$H763="ETAPA"</formula>
    </cfRule>
  </conditionalFormatting>
  <conditionalFormatting sqref="H764">
    <cfRule type="expression" dxfId="6765" priority="10853">
      <formula>$H764="SUBETAPA"</formula>
    </cfRule>
    <cfRule type="expression" dxfId="6764" priority="10855">
      <formula>$H764="ETAPA"</formula>
    </cfRule>
    <cfRule type="expression" dxfId="6763" priority="10854">
      <formula>$H764="CÉLULA CONSTRUTIVA"</formula>
    </cfRule>
  </conditionalFormatting>
  <conditionalFormatting sqref="H730:I730">
    <cfRule type="expression" dxfId="6762" priority="10920">
      <formula>$H730="CÉLULA CONSTRUTIVA"</formula>
    </cfRule>
    <cfRule type="expression" dxfId="6761" priority="10921">
      <formula>$H730="ETAPA"</formula>
    </cfRule>
    <cfRule type="expression" dxfId="6760" priority="10919">
      <formula>$H730="SUBETAPA"</formula>
    </cfRule>
  </conditionalFormatting>
  <conditionalFormatting sqref="H747:I747">
    <cfRule type="expression" dxfId="6759" priority="10890">
      <formula>$H747="CÉLULA CONSTRUTIVA"</formula>
    </cfRule>
    <cfRule type="expression" dxfId="6758" priority="10891">
      <formula>$H747="ETAPA"</formula>
    </cfRule>
    <cfRule type="expression" dxfId="6757" priority="10889">
      <formula>$H747="SUBETAPA"</formula>
    </cfRule>
  </conditionalFormatting>
  <conditionalFormatting sqref="H713:J713">
    <cfRule type="expression" dxfId="6756" priority="10570">
      <formula>$H713="SUBETAPA"</formula>
    </cfRule>
    <cfRule type="expression" dxfId="6755" priority="10571">
      <formula>$H713="CÉLULA CONSTRUTIVA"</formula>
    </cfRule>
    <cfRule type="expression" dxfId="6754" priority="10572">
      <formula>$H713="ETAPA"</formula>
    </cfRule>
  </conditionalFormatting>
  <conditionalFormatting sqref="H728:J728">
    <cfRule type="expression" dxfId="6753" priority="10927">
      <formula>$H728="ETAPA"</formula>
    </cfRule>
    <cfRule type="expression" dxfId="6752" priority="10926">
      <formula>$H728="CÉLULA CONSTRUTIVA"</formula>
    </cfRule>
    <cfRule type="expression" dxfId="6751" priority="10925">
      <formula>$H728="SUBETAPA"</formula>
    </cfRule>
  </conditionalFormatting>
  <conditionalFormatting sqref="H729:J729">
    <cfRule type="expression" dxfId="6750" priority="10922">
      <formula>$H729="SUBETAPA"</formula>
    </cfRule>
    <cfRule type="expression" dxfId="6749" priority="10924">
      <formula>$H729="ETAPA"</formula>
    </cfRule>
    <cfRule type="expression" dxfId="6748" priority="10923">
      <formula>$H729="CÉLULA CONSTRUTIVA"</formula>
    </cfRule>
  </conditionalFormatting>
  <conditionalFormatting sqref="H732:J733">
    <cfRule type="expression" dxfId="6747" priority="10936">
      <formula>$H732="ETAPA"</formula>
    </cfRule>
    <cfRule type="expression" dxfId="6746" priority="10935">
      <formula>$H732="CÉLULA CONSTRUTIVA"</formula>
    </cfRule>
    <cfRule type="expression" dxfId="6745" priority="10934">
      <formula>$H732="SUBETAPA"</formula>
    </cfRule>
  </conditionalFormatting>
  <conditionalFormatting sqref="H734:J735">
    <cfRule type="expression" dxfId="6744" priority="10931">
      <formula>$H734="SUBETAPA"</formula>
    </cfRule>
    <cfRule type="expression" dxfId="6743" priority="10933">
      <formula>$H734="ETAPA"</formula>
    </cfRule>
    <cfRule type="expression" dxfId="6742" priority="10932">
      <formula>$H734="CÉLULA CONSTRUTIVA"</formula>
    </cfRule>
  </conditionalFormatting>
  <conditionalFormatting sqref="H745:J745">
    <cfRule type="expression" dxfId="6741" priority="10896">
      <formula>$H745="CÉLULA CONSTRUTIVA"</formula>
    </cfRule>
    <cfRule type="expression" dxfId="6740" priority="10897">
      <formula>$H745="ETAPA"</formula>
    </cfRule>
    <cfRule type="expression" dxfId="6739" priority="10895">
      <formula>$H745="SUBETAPA"</formula>
    </cfRule>
  </conditionalFormatting>
  <conditionalFormatting sqref="H746:J746">
    <cfRule type="expression" dxfId="6738" priority="2918">
      <formula>$H746="SUBETAPA"</formula>
    </cfRule>
    <cfRule type="expression" dxfId="6737" priority="2920">
      <formula>$H746="ETAPA"</formula>
    </cfRule>
    <cfRule type="expression" dxfId="6736" priority="2919">
      <formula>$H746="CÉLULA CONSTRUTIVA"</formula>
    </cfRule>
  </conditionalFormatting>
  <conditionalFormatting sqref="H748:J748 H751:J752">
    <cfRule type="expression" dxfId="6735" priority="10898">
      <formula>$H748="SUBETAPA"</formula>
    </cfRule>
    <cfRule type="expression" dxfId="6734" priority="10899">
      <formula>$H748="CÉLULA CONSTRUTIVA"</formula>
    </cfRule>
    <cfRule type="expression" dxfId="6733" priority="10900">
      <formula>$H748="ETAPA"</formula>
    </cfRule>
  </conditionalFormatting>
  <conditionalFormatting sqref="H749:J750">
    <cfRule type="expression" dxfId="6732" priority="10901">
      <formula>$H749="SUBETAPA"</formula>
    </cfRule>
    <cfRule type="expression" dxfId="6731" priority="10903">
      <formula>$H749="ETAPA"</formula>
    </cfRule>
    <cfRule type="expression" dxfId="6730" priority="10902">
      <formula>$H749="CÉLULA CONSTRUTIVA"</formula>
    </cfRule>
  </conditionalFormatting>
  <conditionalFormatting sqref="H765:J765 H768:J769">
    <cfRule type="expression" dxfId="6729" priority="10864">
      <formula>$H765="ETAPA"</formula>
    </cfRule>
    <cfRule type="expression" dxfId="6728" priority="10863">
      <formula>$H765="CÉLULA CONSTRUTIVA"</formula>
    </cfRule>
    <cfRule type="expression" dxfId="6727" priority="10862">
      <formula>$H765="SUBETAPA"</formula>
    </cfRule>
  </conditionalFormatting>
  <conditionalFormatting sqref="H766:J767">
    <cfRule type="expression" dxfId="6726" priority="10867">
      <formula>$H766="ETAPA"</formula>
    </cfRule>
    <cfRule type="expression" dxfId="6725" priority="10866">
      <formula>$H766="CÉLULA CONSTRUTIVA"</formula>
    </cfRule>
    <cfRule type="expression" dxfId="6724" priority="10865">
      <formula>$H766="SUBETAPA"</formula>
    </cfRule>
  </conditionalFormatting>
  <conditionalFormatting sqref="H778:J778">
    <cfRule type="expression" dxfId="6723" priority="10792">
      <formula>$H778="SUBETAPA"</formula>
    </cfRule>
    <cfRule type="expression" dxfId="6722" priority="10793">
      <formula>$H778="CÉLULA CONSTRUTIVA"</formula>
    </cfRule>
    <cfRule type="expression" dxfId="6721" priority="10794">
      <formula>$H778="ETAPA"</formula>
    </cfRule>
  </conditionalFormatting>
  <conditionalFormatting sqref="H780:J780">
    <cfRule type="expression" dxfId="6720" priority="10824">
      <formula>$H780="CÉLULA CONSTRUTIVA"</formula>
    </cfRule>
    <cfRule type="expression" dxfId="6719" priority="10823">
      <formula>$H780="SUBETAPA"</formula>
    </cfRule>
    <cfRule type="expression" dxfId="6718" priority="10825">
      <formula>$H780="ETAPA"</formula>
    </cfRule>
  </conditionalFormatting>
  <conditionalFormatting sqref="H781:J781">
    <cfRule type="expression" dxfId="6717" priority="10778">
      <formula>$H781="SUBETAPA"</formula>
    </cfRule>
    <cfRule type="expression" dxfId="6716" priority="10779">
      <formula>$H781="CÉLULA CONSTRUTIVA"</formula>
    </cfRule>
    <cfRule type="expression" dxfId="6715" priority="10780">
      <formula>$H781="ETAPA"</formula>
    </cfRule>
  </conditionalFormatting>
  <conditionalFormatting sqref="H782:J782">
    <cfRule type="expression" dxfId="6714" priority="10822">
      <formula>$H782="ETAPA"</formula>
    </cfRule>
    <cfRule type="expression" dxfId="6713" priority="10820">
      <formula>$H782="SUBETAPA"</formula>
    </cfRule>
    <cfRule type="expression" dxfId="6712" priority="10821">
      <formula>$H782="CÉLULA CONSTRUTIVA"</formula>
    </cfRule>
  </conditionalFormatting>
  <conditionalFormatting sqref="H783:J783 H786:J787">
    <cfRule type="expression" dxfId="6711" priority="10826">
      <formula>$H783="SUBETAPA"</formula>
    </cfRule>
    <cfRule type="expression" dxfId="6710" priority="10828">
      <formula>$H783="ETAPA"</formula>
    </cfRule>
    <cfRule type="expression" dxfId="6709" priority="10827">
      <formula>$H783="CÉLULA CONSTRUTIVA"</formula>
    </cfRule>
  </conditionalFormatting>
  <conditionalFormatting sqref="H784:J785">
    <cfRule type="expression" dxfId="6708" priority="10831">
      <formula>$H784="ETAPA"</formula>
    </cfRule>
    <cfRule type="expression" dxfId="6707" priority="10830">
      <formula>$H784="CÉLULA CONSTRUTIVA"</formula>
    </cfRule>
    <cfRule type="expression" dxfId="6706" priority="10829">
      <formula>$H784="SUBETAPA"</formula>
    </cfRule>
  </conditionalFormatting>
  <conditionalFormatting sqref="H796:J797">
    <cfRule type="expression" dxfId="6705" priority="2898">
      <formula>$H796="SUBETAPA"</formula>
    </cfRule>
    <cfRule type="expression" dxfId="6704" priority="2900">
      <formula>$H796="ETAPA"</formula>
    </cfRule>
    <cfRule type="expression" dxfId="6703" priority="2899">
      <formula>$H796="CÉLULA CONSTRUTIVA"</formula>
    </cfRule>
  </conditionalFormatting>
  <conditionalFormatting sqref="H798:J798 H802:J802">
    <cfRule type="expression" dxfId="6702" priority="10758">
      <formula>$H798="CÉLULA CONSTRUTIVA"</formula>
    </cfRule>
    <cfRule type="expression" dxfId="6701" priority="10759">
      <formula>$H798="ETAPA"</formula>
    </cfRule>
    <cfRule type="expression" dxfId="6700" priority="10757">
      <formula>$H798="SUBETAPA"</formula>
    </cfRule>
  </conditionalFormatting>
  <conditionalFormatting sqref="H799:J801">
    <cfRule type="expression" dxfId="6699" priority="2854">
      <formula>$H799="ETAPA"</formula>
    </cfRule>
    <cfRule type="expression" dxfId="6698" priority="2852">
      <formula>$H799="SUBETAPA"</formula>
    </cfRule>
    <cfRule type="expression" dxfId="6697" priority="2853">
      <formula>$H799="CÉLULA CONSTRUTIVA"</formula>
    </cfRule>
  </conditionalFormatting>
  <conditionalFormatting sqref="H811:J811">
    <cfRule type="expression" dxfId="6696" priority="2837">
      <formula>$H811="ETAPA"</formula>
    </cfRule>
    <cfRule type="expression" dxfId="6695" priority="2835">
      <formula>$H811="SUBETAPA"</formula>
    </cfRule>
    <cfRule type="expression" dxfId="6694" priority="2836">
      <formula>$H811="CÉLULA CONSTRUTIVA"</formula>
    </cfRule>
  </conditionalFormatting>
  <conditionalFormatting sqref="H812:J812 H815:J815">
    <cfRule type="expression" dxfId="6693" priority="10698">
      <formula>$H812="SUBETAPA"</formula>
    </cfRule>
    <cfRule type="expression" dxfId="6692" priority="10699">
      <formula>$H812="CÉLULA CONSTRUTIVA"</formula>
    </cfRule>
    <cfRule type="expression" dxfId="6691" priority="10700">
      <formula>$H812="ETAPA"</formula>
    </cfRule>
  </conditionalFormatting>
  <conditionalFormatting sqref="H813:J814">
    <cfRule type="expression" dxfId="6690" priority="10701">
      <formula>$H813="SUBETAPA"</formula>
    </cfRule>
    <cfRule type="expression" dxfId="6689" priority="10702">
      <formula>$H813="CÉLULA CONSTRUTIVA"</formula>
    </cfRule>
    <cfRule type="expression" dxfId="6688" priority="10703">
      <formula>$H813="ETAPA"</formula>
    </cfRule>
  </conditionalFormatting>
  <conditionalFormatting sqref="H823:J823 H826:J826">
    <cfRule type="expression" dxfId="6687" priority="10616">
      <formula>$H823="SUBETAPA"</formula>
    </cfRule>
    <cfRule type="expression" dxfId="6686" priority="10618">
      <formula>$H823="ETAPA"</formula>
    </cfRule>
    <cfRule type="expression" dxfId="6685" priority="10617">
      <formula>$H823="CÉLULA CONSTRUTIVA"</formula>
    </cfRule>
  </conditionalFormatting>
  <conditionalFormatting sqref="H824:J825">
    <cfRule type="expression" dxfId="6684" priority="10621">
      <formula>$H824="ETAPA"</formula>
    </cfRule>
    <cfRule type="expression" dxfId="6683" priority="10619">
      <formula>$H824="SUBETAPA"</formula>
    </cfRule>
    <cfRule type="expression" dxfId="6682" priority="10620">
      <formula>$H824="CÉLULA CONSTRUTIVA"</formula>
    </cfRule>
  </conditionalFormatting>
  <conditionalFormatting sqref="H827:J827">
    <cfRule type="expression" dxfId="6681" priority="10587">
      <formula>$H827="SUBETAPA"</formula>
    </cfRule>
    <cfRule type="expression" dxfId="6680" priority="10589">
      <formula>$H827="ETAPA"</formula>
    </cfRule>
    <cfRule type="expression" dxfId="6679" priority="10588">
      <formula>$H827="CÉLULA CONSTRUTIVA"</formula>
    </cfRule>
  </conditionalFormatting>
  <conditionalFormatting sqref="H721:L721">
    <cfRule type="expression" dxfId="6678" priority="10439">
      <formula>$H721="SUBETAPA"</formula>
    </cfRule>
    <cfRule type="expression" dxfId="6677" priority="10441">
      <formula>$H721="ETAPA"</formula>
    </cfRule>
    <cfRule type="expression" dxfId="6676" priority="10440">
      <formula>$H721="CÉLULA CONSTRUTIVA"</formula>
    </cfRule>
  </conditionalFormatting>
  <conditionalFormatting sqref="H738:L738">
    <cfRule type="expression" dxfId="6675" priority="10459">
      <formula>$H738="SUBETAPA"</formula>
    </cfRule>
    <cfRule type="expression" dxfId="6674" priority="10461">
      <formula>$H738="ETAPA"</formula>
    </cfRule>
    <cfRule type="expression" dxfId="6673" priority="10460">
      <formula>$H738="CÉLULA CONSTRUTIVA"</formula>
    </cfRule>
  </conditionalFormatting>
  <conditionalFormatting sqref="H755:L755">
    <cfRule type="expression" dxfId="6672" priority="10485">
      <formula>$H755="SUBETAPA"</formula>
    </cfRule>
    <cfRule type="expression" dxfId="6671" priority="10486">
      <formula>$H755="CÉLULA CONSTRUTIVA"</formula>
    </cfRule>
    <cfRule type="expression" dxfId="6670" priority="10487">
      <formula>$H755="ETAPA"</formula>
    </cfRule>
  </conditionalFormatting>
  <conditionalFormatting sqref="H760:L760 H761:J761 I762:I763">
    <cfRule type="expression" dxfId="6669" priority="10880">
      <formula>$H760="SUBETAPA"</formula>
    </cfRule>
    <cfRule type="expression" dxfId="6668" priority="10882">
      <formula>$H760="ETAPA"</formula>
    </cfRule>
    <cfRule type="expression" dxfId="6667" priority="10881">
      <formula>$H760="CÉLULA CONSTRUTIVA"</formula>
    </cfRule>
  </conditionalFormatting>
  <conditionalFormatting sqref="H771:L771 H770:I770 K770:L770">
    <cfRule type="expression" dxfId="6666" priority="10888">
      <formula>$H770="ETAPA"</formula>
    </cfRule>
    <cfRule type="expression" dxfId="6665" priority="10887">
      <formula>$H770="CÉLULA CONSTRUTIVA"</formula>
    </cfRule>
    <cfRule type="expression" dxfId="6664" priority="10886">
      <formula>$H770="SUBETAPA"</formula>
    </cfRule>
  </conditionalFormatting>
  <conditionalFormatting sqref="H772:L772">
    <cfRule type="expression" dxfId="6663" priority="10502">
      <formula>$H772="SUBETAPA"</formula>
    </cfRule>
    <cfRule type="expression" dxfId="6662" priority="10504">
      <formula>$H772="ETAPA"</formula>
    </cfRule>
    <cfRule type="expression" dxfId="6661" priority="10503">
      <formula>$H772="CÉLULA CONSTRUTIVA"</formula>
    </cfRule>
  </conditionalFormatting>
  <conditionalFormatting sqref="H773:L774">
    <cfRule type="expression" dxfId="6660" priority="10885">
      <formula>$H773="ETAPA"</formula>
    </cfRule>
    <cfRule type="expression" dxfId="6659" priority="10884">
      <formula>$H773="CÉLULA CONSTRUTIVA"</formula>
    </cfRule>
    <cfRule type="expression" dxfId="6658" priority="10883">
      <formula>$H773="SUBETAPA"</formula>
    </cfRule>
  </conditionalFormatting>
  <conditionalFormatting sqref="H777:L777 H779:J779">
    <cfRule type="expression" dxfId="6657" priority="10844">
      <formula>$H777="SUBETAPA"</formula>
    </cfRule>
    <cfRule type="expression" dxfId="6656" priority="10845">
      <formula>$H777="CÉLULA CONSTRUTIVA"</formula>
    </cfRule>
    <cfRule type="expression" dxfId="6655" priority="10846">
      <formula>$H777="ETAPA"</formula>
    </cfRule>
  </conditionalFormatting>
  <conditionalFormatting sqref="H789:L789 H788:I788 K788:L788">
    <cfRule type="expression" dxfId="6654" priority="10850">
      <formula>$H788="SUBETAPA"</formula>
    </cfRule>
    <cfRule type="expression" dxfId="6653" priority="10851">
      <formula>$H788="CÉLULA CONSTRUTIVA"</formula>
    </cfRule>
    <cfRule type="expression" dxfId="6652" priority="10852">
      <formula>$H788="ETAPA"</formula>
    </cfRule>
  </conditionalFormatting>
  <conditionalFormatting sqref="H790:L791">
    <cfRule type="expression" dxfId="6651" priority="10849">
      <formula>$H790="ETAPA"</formula>
    </cfRule>
    <cfRule type="expression" dxfId="6650" priority="10847">
      <formula>$H790="SUBETAPA"</formula>
    </cfRule>
    <cfRule type="expression" dxfId="6649" priority="10848">
      <formula>$H790="CÉLULA CONSTRUTIVA"</formula>
    </cfRule>
  </conditionalFormatting>
  <conditionalFormatting sqref="H794:L794 H795:J795">
    <cfRule type="expression" dxfId="6648" priority="10777">
      <formula>$H794="ETAPA"</formula>
    </cfRule>
    <cfRule type="expression" dxfId="6647" priority="10776">
      <formula>$H794="CÉLULA CONSTRUTIVA"</formula>
    </cfRule>
    <cfRule type="expression" dxfId="6646" priority="10775">
      <formula>$H794="SUBETAPA"</formula>
    </cfRule>
  </conditionalFormatting>
  <conditionalFormatting sqref="H804:L804 H803:I803 K803:L803">
    <cfRule type="expression" dxfId="6645" priority="10734">
      <formula>$H803="CÉLULA CONSTRUTIVA"</formula>
    </cfRule>
    <cfRule type="expression" dxfId="6644" priority="10735">
      <formula>$H803="ETAPA"</formula>
    </cfRule>
    <cfRule type="expression" dxfId="6643" priority="10733">
      <formula>$H803="SUBETAPA"</formula>
    </cfRule>
  </conditionalFormatting>
  <conditionalFormatting sqref="H805:L806">
    <cfRule type="expression" dxfId="6642" priority="10720">
      <formula>$H805="CÉLULA CONSTRUTIVA"</formula>
    </cfRule>
    <cfRule type="expression" dxfId="6641" priority="10719">
      <formula>$H805="SUBETAPA"</formula>
    </cfRule>
    <cfRule type="expression" dxfId="6640" priority="10721">
      <formula>$H805="ETAPA"</formula>
    </cfRule>
  </conditionalFormatting>
  <conditionalFormatting sqref="H809:L809 H810:J810">
    <cfRule type="expression" dxfId="6639" priority="10715">
      <formula>$H809="ETAPA"</formula>
    </cfRule>
    <cfRule type="expression" dxfId="6638" priority="10714">
      <formula>$H809="CÉLULA CONSTRUTIVA"</formula>
    </cfRule>
    <cfRule type="expression" dxfId="6637" priority="10713">
      <formula>$H809="SUBETAPA"</formula>
    </cfRule>
  </conditionalFormatting>
  <conditionalFormatting sqref="H816:L817">
    <cfRule type="expression" dxfId="6636" priority="10681">
      <formula>$H816="CÉLULA CONSTRUTIVA"</formula>
    </cfRule>
    <cfRule type="expression" dxfId="6635" priority="10682">
      <formula>$H816="ETAPA"</formula>
    </cfRule>
    <cfRule type="expression" dxfId="6634" priority="10680">
      <formula>$H816="SUBETAPA"</formula>
    </cfRule>
  </conditionalFormatting>
  <conditionalFormatting sqref="H818:L819">
    <cfRule type="expression" dxfId="6633" priority="10677">
      <formula>$H818="SUBETAPA"</formula>
    </cfRule>
    <cfRule type="expression" dxfId="6632" priority="10679">
      <formula>$H818="ETAPA"</formula>
    </cfRule>
    <cfRule type="expression" dxfId="6631" priority="10678">
      <formula>$H818="CÉLULA CONSTRUTIVA"</formula>
    </cfRule>
  </conditionalFormatting>
  <conditionalFormatting sqref="H821:L821 H822:J822">
    <cfRule type="expression" dxfId="6630" priority="10185">
      <formula>$H821="SUBETAPA"</formula>
    </cfRule>
    <cfRule type="expression" dxfId="6629" priority="10186">
      <formula>$H821="CÉLULA CONSTRUTIVA"</formula>
    </cfRule>
    <cfRule type="expression" dxfId="6628" priority="10187">
      <formula>$H821="ETAPA"</formula>
    </cfRule>
  </conditionalFormatting>
  <conditionalFormatting sqref="H828:L829">
    <cfRule type="expression" dxfId="6627" priority="10173">
      <formula>$H828="ETAPA"</formula>
    </cfRule>
    <cfRule type="expression" dxfId="6626" priority="10172">
      <formula>$H828="CÉLULA CONSTRUTIVA"</formula>
    </cfRule>
    <cfRule type="expression" dxfId="6625" priority="10171">
      <formula>$H828="SUBETAPA"</formula>
    </cfRule>
  </conditionalFormatting>
  <conditionalFormatting sqref="H830:L831">
    <cfRule type="expression" dxfId="6624" priority="10605">
      <formula>$H830="CÉLULA CONSTRUTIVA"</formula>
    </cfRule>
    <cfRule type="expression" dxfId="6623" priority="10604">
      <formula>$H830="SUBETAPA"</formula>
    </cfRule>
    <cfRule type="expression" dxfId="6622" priority="10606">
      <formula>$H830="ETAPA"</formula>
    </cfRule>
  </conditionalFormatting>
  <conditionalFormatting sqref="H832:L832">
    <cfRule type="expression" dxfId="6621" priority="1660">
      <formula>$H832="SUBETAPA"</formula>
    </cfRule>
    <cfRule type="expression" dxfId="6620" priority="1662">
      <formula>$H832="ETAPA"</formula>
    </cfRule>
    <cfRule type="expression" dxfId="6619" priority="1661">
      <formula>$H832="CÉLULA CONSTRUTIVA"</formula>
    </cfRule>
  </conditionalFormatting>
  <conditionalFormatting sqref="J234:J235">
    <cfRule type="expression" dxfId="6618" priority="11662">
      <formula>$H234="CÉLULA CONSTRUTIVA"</formula>
    </cfRule>
    <cfRule type="expression" dxfId="6617" priority="11663">
      <formula>$H234="ETAPA"</formula>
    </cfRule>
  </conditionalFormatting>
  <conditionalFormatting sqref="J236:J237">
    <cfRule type="expression" dxfId="6616" priority="11651">
      <formula>$H236="CÉLULA CONSTRUTIVA"</formula>
    </cfRule>
    <cfRule type="expression" dxfId="6615" priority="11652">
      <formula>$H236="ETAPA"</formula>
    </cfRule>
  </conditionalFormatting>
  <conditionalFormatting sqref="J276">
    <cfRule type="expression" dxfId="6614" priority="12679">
      <formula>$H276="CÉLULA CONSTRUTIVA"</formula>
    </cfRule>
    <cfRule type="expression" dxfId="6613" priority="12680">
      <formula>$H276="ETAPA"</formula>
    </cfRule>
  </conditionalFormatting>
  <conditionalFormatting sqref="J278:J280">
    <cfRule type="expression" dxfId="6612" priority="5993">
      <formula>$H278="ETAPA"</formula>
    </cfRule>
    <cfRule type="expression" dxfId="6611" priority="5992">
      <formula>$H278="CÉLULA CONSTRUTIVA"</formula>
    </cfRule>
    <cfRule type="expression" dxfId="6610" priority="5991">
      <formula>$H278="SUBETAPA"</formula>
    </cfRule>
  </conditionalFormatting>
  <conditionalFormatting sqref="J291">
    <cfRule type="expression" dxfId="6609" priority="12667">
      <formula>$H291="CÉLULA CONSTRUTIVA"</formula>
    </cfRule>
    <cfRule type="expression" dxfId="6608" priority="12668">
      <formula>$H291="ETAPA"</formula>
    </cfRule>
  </conditionalFormatting>
  <conditionalFormatting sqref="J296">
    <cfRule type="expression" dxfId="6607" priority="12676">
      <formula>$H296="CÉLULA CONSTRUTIVA"</formula>
    </cfRule>
    <cfRule type="expression" dxfId="6606" priority="12677">
      <formula>$H296="ETAPA"</formula>
    </cfRule>
  </conditionalFormatting>
  <conditionalFormatting sqref="J298:J300">
    <cfRule type="expression" dxfId="6605" priority="5988">
      <formula>$H298="SUBETAPA"</formula>
    </cfRule>
    <cfRule type="expression" dxfId="6604" priority="5990">
      <formula>$H298="ETAPA"</formula>
    </cfRule>
    <cfRule type="expression" dxfId="6603" priority="5989">
      <formula>$H298="CÉLULA CONSTRUTIVA"</formula>
    </cfRule>
  </conditionalFormatting>
  <conditionalFormatting sqref="J311">
    <cfRule type="expression" dxfId="6602" priority="12635">
      <formula>$H311="ETAPA"</formula>
    </cfRule>
    <cfRule type="expression" dxfId="6601" priority="12634">
      <formula>$H311="CÉLULA CONSTRUTIVA"</formula>
    </cfRule>
  </conditionalFormatting>
  <conditionalFormatting sqref="J312">
    <cfRule type="expression" dxfId="6600" priority="4691">
      <formula>$H312="ETAPA"</formula>
    </cfRule>
    <cfRule type="expression" dxfId="6599" priority="4689">
      <formula>$H312="SUBETAPA"</formula>
    </cfRule>
    <cfRule type="expression" dxfId="6598" priority="4690">
      <formula>$H312="CÉLULA CONSTRUTIVA"</formula>
    </cfRule>
  </conditionalFormatting>
  <conditionalFormatting sqref="J318:J319">
    <cfRule type="expression" dxfId="6597" priority="12646">
      <formula>$H318="CÉLULA CONSTRUTIVA"</formula>
    </cfRule>
    <cfRule type="expression" dxfId="6596" priority="12647">
      <formula>$H318="ETAPA"</formula>
    </cfRule>
  </conditionalFormatting>
  <conditionalFormatting sqref="J331">
    <cfRule type="expression" dxfId="6595" priority="1087">
      <formula>$H331="ETAPA"</formula>
    </cfRule>
    <cfRule type="expression" dxfId="6594" priority="1086">
      <formula>$H331="CÉLULA CONSTRUTIVA"</formula>
    </cfRule>
    <cfRule type="expression" dxfId="6593" priority="1085">
      <formula>$H331="SUBETAPA"</formula>
    </cfRule>
  </conditionalFormatting>
  <conditionalFormatting sqref="J332">
    <cfRule type="expression" dxfId="6592" priority="4686">
      <formula>$H332="SUBETAPA"</formula>
    </cfRule>
    <cfRule type="expression" dxfId="6591" priority="4687">
      <formula>$H332="CÉLULA CONSTRUTIVA"</formula>
    </cfRule>
    <cfRule type="expression" dxfId="6590" priority="4688">
      <formula>$H332="ETAPA"</formula>
    </cfRule>
  </conditionalFormatting>
  <conditionalFormatting sqref="J338:J339">
    <cfRule type="expression" dxfId="6589" priority="5967">
      <formula>$H338="SUBETAPA"</formula>
    </cfRule>
    <cfRule type="expression" dxfId="6588" priority="5969">
      <formula>$H338="ETAPA"</formula>
    </cfRule>
    <cfRule type="expression" dxfId="6587" priority="5968">
      <formula>$H338="CÉLULA CONSTRUTIVA"</formula>
    </cfRule>
  </conditionalFormatting>
  <conditionalFormatting sqref="J340">
    <cfRule type="expression" dxfId="6586" priority="5970">
      <formula>$H340="SUBETAPA"</formula>
    </cfRule>
    <cfRule type="expression" dxfId="6585" priority="5972">
      <formula>$H340="ETAPA"</formula>
    </cfRule>
    <cfRule type="expression" dxfId="6584" priority="5971">
      <formula>$H340="CÉLULA CONSTRUTIVA"</formula>
    </cfRule>
  </conditionalFormatting>
  <conditionalFormatting sqref="J351">
    <cfRule type="expression" dxfId="6583" priority="12438">
      <formula>$H351="ETAPA"</formula>
    </cfRule>
    <cfRule type="expression" dxfId="6582" priority="12437">
      <formula>$H351="CÉLULA CONSTRUTIVA"</formula>
    </cfRule>
  </conditionalFormatting>
  <conditionalFormatting sqref="J352">
    <cfRule type="expression" dxfId="6581" priority="4685">
      <formula>$H352="ETAPA"</formula>
    </cfRule>
    <cfRule type="expression" dxfId="6580" priority="4683">
      <formula>$H352="SUBETAPA"</formula>
    </cfRule>
    <cfRule type="expression" dxfId="6579" priority="4684">
      <formula>$H352="CÉLULA CONSTRUTIVA"</formula>
    </cfRule>
  </conditionalFormatting>
  <conditionalFormatting sqref="J358:J359">
    <cfRule type="expression" dxfId="6578" priority="4644">
      <formula>$H358="SUBETAPA"</formula>
    </cfRule>
    <cfRule type="expression" dxfId="6577" priority="4646">
      <formula>$H358="ETAPA"</formula>
    </cfRule>
    <cfRule type="expression" dxfId="6576" priority="4645">
      <formula>$H358="CÉLULA CONSTRUTIVA"</formula>
    </cfRule>
  </conditionalFormatting>
  <conditionalFormatting sqref="J360">
    <cfRule type="expression" dxfId="6575" priority="4648">
      <formula>$H360="CÉLULA CONSTRUTIVA"</formula>
    </cfRule>
    <cfRule type="expression" dxfId="6574" priority="4647">
      <formula>$H360="SUBETAPA"</formula>
    </cfRule>
    <cfRule type="expression" dxfId="6573" priority="4649">
      <formula>$H360="ETAPA"</formula>
    </cfRule>
  </conditionalFormatting>
  <conditionalFormatting sqref="J370">
    <cfRule type="expression" dxfId="6572" priority="12408">
      <formula>$H370="CÉLULA CONSTRUTIVA"</formula>
    </cfRule>
    <cfRule type="expression" dxfId="6571" priority="12409">
      <formula>$H370="ETAPA"</formula>
    </cfRule>
  </conditionalFormatting>
  <conditionalFormatting sqref="J371">
    <cfRule type="expression" dxfId="6570" priority="4681">
      <formula>$H371="CÉLULA CONSTRUTIVA"</formula>
    </cfRule>
    <cfRule type="expression" dxfId="6569" priority="4680">
      <formula>$H371="SUBETAPA"</formula>
    </cfRule>
    <cfRule type="expression" dxfId="6568" priority="4682">
      <formula>$H371="ETAPA"</formula>
    </cfRule>
  </conditionalFormatting>
  <conditionalFormatting sqref="J377:J378">
    <cfRule type="expression" dxfId="6567" priority="4638">
      <formula>$H377="SUBETAPA"</formula>
    </cfRule>
    <cfRule type="expression" dxfId="6566" priority="4640">
      <formula>$H377="ETAPA"</formula>
    </cfRule>
    <cfRule type="expression" dxfId="6565" priority="4639">
      <formula>$H377="CÉLULA CONSTRUTIVA"</formula>
    </cfRule>
  </conditionalFormatting>
  <conditionalFormatting sqref="J379">
    <cfRule type="expression" dxfId="6564" priority="4642">
      <formula>$H379="CÉLULA CONSTRUTIVA"</formula>
    </cfRule>
    <cfRule type="expression" dxfId="6563" priority="4643">
      <formula>$H379="ETAPA"</formula>
    </cfRule>
    <cfRule type="expression" dxfId="6562" priority="4641">
      <formula>$H379="SUBETAPA"</formula>
    </cfRule>
  </conditionalFormatting>
  <conditionalFormatting sqref="J387">
    <cfRule type="expression" dxfId="6561" priority="12394">
      <formula>$H387="ETAPA"</formula>
    </cfRule>
    <cfRule type="expression" dxfId="6560" priority="12393">
      <formula>$H387="CÉLULA CONSTRUTIVA"</formula>
    </cfRule>
  </conditionalFormatting>
  <conditionalFormatting sqref="J534:J535">
    <cfRule type="expression" dxfId="6559" priority="1891">
      <formula>$H534="CÉLULA CONSTRUTIVA"</formula>
    </cfRule>
    <cfRule type="expression" dxfId="6558" priority="1890">
      <formula>$H534="SUBETAPA"</formula>
    </cfRule>
    <cfRule type="expression" dxfId="6557" priority="1892">
      <formula>$H534="ETAPA"</formula>
    </cfRule>
  </conditionalFormatting>
  <conditionalFormatting sqref="J541">
    <cfRule type="expression" dxfId="6556" priority="1878">
      <formula>$H541="SUBETAPA"</formula>
    </cfRule>
    <cfRule type="expression" dxfId="6555" priority="1879">
      <formula>$H541="CÉLULA CONSTRUTIVA"</formula>
    </cfRule>
    <cfRule type="expression" dxfId="6554" priority="1880">
      <formula>$H541="ETAPA"</formula>
    </cfRule>
  </conditionalFormatting>
  <conditionalFormatting sqref="J548:J549">
    <cfRule type="expression" dxfId="6553" priority="1888">
      <formula>$H548="CÉLULA CONSTRUTIVA"</formula>
    </cfRule>
    <cfRule type="expression" dxfId="6552" priority="1889">
      <formula>$H548="ETAPA"</formula>
    </cfRule>
    <cfRule type="expression" dxfId="6551" priority="1887">
      <formula>$H548="SUBETAPA"</formula>
    </cfRule>
  </conditionalFormatting>
  <conditionalFormatting sqref="J557:J558">
    <cfRule type="expression" dxfId="6550" priority="1886">
      <formula>$H557="ETAPA"</formula>
    </cfRule>
    <cfRule type="expression" dxfId="6549" priority="1884">
      <formula>$H557="SUBETAPA"</formula>
    </cfRule>
    <cfRule type="expression" dxfId="6548" priority="1885">
      <formula>$H557="CÉLULA CONSTRUTIVA"</formula>
    </cfRule>
  </conditionalFormatting>
  <conditionalFormatting sqref="J563:J565">
    <cfRule type="expression" dxfId="6547" priority="1876">
      <formula>$H563="CÉLULA CONSTRUTIVA"</formula>
    </cfRule>
    <cfRule type="expression" dxfId="6546" priority="1877">
      <formula>$H563="ETAPA"</formula>
    </cfRule>
    <cfRule type="expression" dxfId="6545" priority="1875">
      <formula>$H563="SUBETAPA"</formula>
    </cfRule>
  </conditionalFormatting>
  <conditionalFormatting sqref="J566:J567">
    <cfRule type="expression" dxfId="6544" priority="1874">
      <formula>$H566="ETAPA"</formula>
    </cfRule>
    <cfRule type="expression" dxfId="6543" priority="1872">
      <formula>$H566="SUBETAPA"</formula>
    </cfRule>
    <cfRule type="expression" dxfId="6542" priority="1873">
      <formula>$H566="CÉLULA CONSTRUTIVA"</formula>
    </cfRule>
  </conditionalFormatting>
  <conditionalFormatting sqref="J606">
    <cfRule type="expression" dxfId="6541" priority="3180">
      <formula>$H606="SUBETAPA"</formula>
    </cfRule>
    <cfRule type="expression" dxfId="6540" priority="3181">
      <formula>$H606="CÉLULA CONSTRUTIVA"</formula>
    </cfRule>
    <cfRule type="expression" dxfId="6539" priority="3182">
      <formula>$H606="ETAPA"</formula>
    </cfRule>
  </conditionalFormatting>
  <conditionalFormatting sqref="J607">
    <cfRule type="expression" dxfId="6538" priority="3137">
      <formula>$H607="ETAPA"</formula>
    </cfRule>
    <cfRule type="expression" dxfId="6537" priority="3136">
      <formula>$H607="CÉLULA CONSTRUTIVA"</formula>
    </cfRule>
    <cfRule type="expression" dxfId="6536" priority="3135">
      <formula>$H607="SUBETAPA"</formula>
    </cfRule>
  </conditionalFormatting>
  <conditionalFormatting sqref="J650">
    <cfRule type="expression" dxfId="6535" priority="3805">
      <formula>$H650="SUBETAPA"</formula>
    </cfRule>
    <cfRule type="expression" dxfId="6534" priority="3807">
      <formula>$H650="ETAPA"</formula>
    </cfRule>
    <cfRule type="expression" dxfId="6533" priority="3806">
      <formula>$H650="CÉLULA CONSTRUTIVA"</formula>
    </cfRule>
  </conditionalFormatting>
  <conditionalFormatting sqref="J698">
    <cfRule type="expression" dxfId="6532" priority="3134">
      <formula>$H698="ETAPA"</formula>
    </cfRule>
    <cfRule type="expression" dxfId="6531" priority="3133">
      <formula>$H698="CÉLULA CONSTRUTIVA"</formula>
    </cfRule>
    <cfRule type="expression" dxfId="6530" priority="3132">
      <formula>$H698="SUBETAPA"</formula>
    </cfRule>
  </conditionalFormatting>
  <conditionalFormatting sqref="J699">
    <cfRule type="expression" dxfId="6529" priority="3130">
      <formula>$H699="CÉLULA CONSTRUTIVA"</formula>
    </cfRule>
    <cfRule type="expression" dxfId="6528" priority="3131">
      <formula>$H699="ETAPA"</formula>
    </cfRule>
    <cfRule type="expression" dxfId="6527" priority="3129">
      <formula>$H699="SUBETAPA"</formula>
    </cfRule>
  </conditionalFormatting>
  <conditionalFormatting sqref="J719">
    <cfRule type="expression" dxfId="6526" priority="10456">
      <formula>$H719="SUBETAPA"</formula>
    </cfRule>
    <cfRule type="expression" dxfId="6525" priority="10458">
      <formula>$H719="ETAPA"</formula>
    </cfRule>
    <cfRule type="expression" dxfId="6524" priority="10457">
      <formula>$H719="CÉLULA CONSTRUTIVA"</formula>
    </cfRule>
  </conditionalFormatting>
  <conditionalFormatting sqref="J730">
    <cfRule type="expression" dxfId="6523" priority="5468">
      <formula>$H730="CÉLULA CONSTRUTIVA"</formula>
    </cfRule>
    <cfRule type="expression" dxfId="6522" priority="5469">
      <formula>$H730="ETAPA"</formula>
    </cfRule>
    <cfRule type="expression" dxfId="6521" priority="5467">
      <formula>$H730="SUBETAPA"</formula>
    </cfRule>
  </conditionalFormatting>
  <conditionalFormatting sqref="J736">
    <cfRule type="expression" dxfId="6520" priority="10478">
      <formula>$H736="ETAPA"</formula>
    </cfRule>
    <cfRule type="expression" dxfId="6519" priority="10477">
      <formula>$H736="CÉLULA CONSTRUTIVA"</formula>
    </cfRule>
    <cfRule type="expression" dxfId="6518" priority="10476">
      <formula>$H736="SUBETAPA"</formula>
    </cfRule>
  </conditionalFormatting>
  <conditionalFormatting sqref="J747">
    <cfRule type="expression" dxfId="6517" priority="5465">
      <formula>$H747="CÉLULA CONSTRUTIVA"</formula>
    </cfRule>
    <cfRule type="expression" dxfId="6516" priority="5466">
      <formula>$H747="ETAPA"</formula>
    </cfRule>
    <cfRule type="expression" dxfId="6515" priority="5464">
      <formula>$H747="SUBETAPA"</formula>
    </cfRule>
  </conditionalFormatting>
  <conditionalFormatting sqref="J753">
    <cfRule type="expression" dxfId="6514" priority="10480">
      <formula>$H753="CÉLULA CONSTRUTIVA"</formula>
    </cfRule>
    <cfRule type="expression" dxfId="6513" priority="10479">
      <formula>$H753="SUBETAPA"</formula>
    </cfRule>
    <cfRule type="expression" dxfId="6512" priority="10481">
      <formula>$H753="ETAPA"</formula>
    </cfRule>
  </conditionalFormatting>
  <conditionalFormatting sqref="J764">
    <cfRule type="expression" dxfId="6511" priority="5463">
      <formula>$H764="ETAPA"</formula>
    </cfRule>
    <cfRule type="expression" dxfId="6510" priority="5462">
      <formula>$H764="CÉLULA CONSTRUTIVA"</formula>
    </cfRule>
    <cfRule type="expression" dxfId="6509" priority="5461">
      <formula>$H764="SUBETAPA"</formula>
    </cfRule>
  </conditionalFormatting>
  <conditionalFormatting sqref="J770">
    <cfRule type="expression" dxfId="6508" priority="10501">
      <formula>$H770="ETAPA"</formula>
    </cfRule>
    <cfRule type="expression" dxfId="6507" priority="10499">
      <formula>$H770="SUBETAPA"</formula>
    </cfRule>
    <cfRule type="expression" dxfId="6506" priority="10500">
      <formula>$H770="CÉLULA CONSTRUTIVA"</formula>
    </cfRule>
  </conditionalFormatting>
  <conditionalFormatting sqref="J788">
    <cfRule type="expression" dxfId="6505" priority="10530">
      <formula>$H788="SUBETAPA"</formula>
    </cfRule>
    <cfRule type="expression" dxfId="6504" priority="10531">
      <formula>$H788="CÉLULA CONSTRUTIVA"</formula>
    </cfRule>
    <cfRule type="expression" dxfId="6503" priority="10532">
      <formula>$H788="ETAPA"</formula>
    </cfRule>
  </conditionalFormatting>
  <conditionalFormatting sqref="J803">
    <cfRule type="expression" dxfId="6502" priority="10535">
      <formula>$H803="ETAPA"</formula>
    </cfRule>
    <cfRule type="expression" dxfId="6501" priority="10533">
      <formula>$H803="SUBETAPA"</formula>
    </cfRule>
    <cfRule type="expression" dxfId="6500" priority="10534">
      <formula>$H803="CÉLULA CONSTRUTIVA"</formula>
    </cfRule>
  </conditionalFormatting>
  <conditionalFormatting sqref="J849">
    <cfRule type="expression" dxfId="6499" priority="5525">
      <formula>$H849="ETAPA"</formula>
    </cfRule>
    <cfRule type="expression" dxfId="6498" priority="5523">
      <formula>$H849="SUBETAPA"</formula>
    </cfRule>
    <cfRule type="expression" dxfId="6497" priority="5524">
      <formula>$H849="CÉLULA CONSTRUTIVA"</formula>
    </cfRule>
  </conditionalFormatting>
  <conditionalFormatting sqref="J857">
    <cfRule type="expression" dxfId="6496" priority="5527">
      <formula>$H857="CÉLULA CONSTRUTIVA"</formula>
    </cfRule>
    <cfRule type="expression" dxfId="6495" priority="5528">
      <formula>$H857="ETAPA"</formula>
    </cfRule>
    <cfRule type="expression" dxfId="6494" priority="5526">
      <formula>$H857="SUBETAPA"</formula>
    </cfRule>
  </conditionalFormatting>
  <conditionalFormatting sqref="J865">
    <cfRule type="expression" dxfId="6493" priority="5529">
      <formula>$H865="SUBETAPA"</formula>
    </cfRule>
    <cfRule type="expression" dxfId="6492" priority="5530">
      <formula>$H865="CÉLULA CONSTRUTIVA"</formula>
    </cfRule>
    <cfRule type="expression" dxfId="6491" priority="5531">
      <formula>$H865="ETAPA"</formula>
    </cfRule>
  </conditionalFormatting>
  <conditionalFormatting sqref="J873">
    <cfRule type="expression" dxfId="6490" priority="5532">
      <formula>$H873="SUBETAPA"</formula>
    </cfRule>
    <cfRule type="expression" dxfId="6489" priority="5534">
      <formula>$H873="ETAPA"</formula>
    </cfRule>
    <cfRule type="expression" dxfId="6488" priority="5533">
      <formula>$H873="CÉLULA CONSTRUTIVA"</formula>
    </cfRule>
  </conditionalFormatting>
  <conditionalFormatting sqref="J881">
    <cfRule type="expression" dxfId="6487" priority="5521">
      <formula>$H881="CÉLULA CONSTRUTIVA"</formula>
    </cfRule>
    <cfRule type="expression" dxfId="6486" priority="5522">
      <formula>$H881="ETAPA"</formula>
    </cfRule>
    <cfRule type="expression" dxfId="6485" priority="5520">
      <formula>$H881="SUBETAPA"</formula>
    </cfRule>
  </conditionalFormatting>
  <conditionalFormatting sqref="J916">
    <cfRule type="expression" dxfId="6484" priority="9559">
      <formula>$H916="ETAPA"</formula>
    </cfRule>
    <cfRule type="expression" dxfId="6483" priority="9558">
      <formula>$H916="CÉLULA CONSTRUTIVA"</formula>
    </cfRule>
    <cfRule type="expression" dxfId="6482" priority="9557">
      <formula>$H916="SUBETAPA"</formula>
    </cfRule>
  </conditionalFormatting>
  <conditionalFormatting sqref="J923">
    <cfRule type="expression" dxfId="6481" priority="7441">
      <formula>$H923="ETAPA"</formula>
    </cfRule>
    <cfRule type="expression" dxfId="6480" priority="7440">
      <formula>$H923="CÉLULA CONSTRUTIVA"</formula>
    </cfRule>
    <cfRule type="expression" dxfId="6479" priority="7439">
      <formula>$H923="SUBETAPA"</formula>
    </cfRule>
  </conditionalFormatting>
  <conditionalFormatting sqref="J968">
    <cfRule type="expression" dxfId="6478" priority="7301">
      <formula>$H968="CÉLULA CONSTRUTIVA"</formula>
    </cfRule>
    <cfRule type="expression" dxfId="6477" priority="7300">
      <formula>$H968="SUBETAPA"</formula>
    </cfRule>
    <cfRule type="expression" dxfId="6476" priority="7302">
      <formula>$H968="ETAPA"</formula>
    </cfRule>
  </conditionalFormatting>
  <conditionalFormatting sqref="J972">
    <cfRule type="expression" dxfId="6475" priority="7771">
      <formula>$H972="ETAPA"</formula>
    </cfRule>
    <cfRule type="expression" dxfId="6474" priority="7770">
      <formula>$H972="CÉLULA CONSTRUTIVA"</formula>
    </cfRule>
    <cfRule type="expression" dxfId="6473" priority="7769">
      <formula>$H972="SUBETAPA"</formula>
    </cfRule>
  </conditionalFormatting>
  <conditionalFormatting sqref="J978">
    <cfRule type="expression" dxfId="6472" priority="8696">
      <formula>$H978="SUBETAPA"</formula>
    </cfRule>
    <cfRule type="expression" dxfId="6471" priority="8698">
      <formula>$H978="ETAPA"</formula>
    </cfRule>
    <cfRule type="expression" dxfId="6470" priority="8697">
      <formula>$H978="CÉLULA CONSTRUTIVA"</formula>
    </cfRule>
  </conditionalFormatting>
  <conditionalFormatting sqref="J995">
    <cfRule type="expression" dxfId="6469" priority="7297">
      <formula>$H995="SUBETAPA"</formula>
    </cfRule>
    <cfRule type="expression" dxfId="6468" priority="7298">
      <formula>$H995="CÉLULA CONSTRUTIVA"</formula>
    </cfRule>
    <cfRule type="expression" dxfId="6467" priority="7299">
      <formula>$H995="ETAPA"</formula>
    </cfRule>
  </conditionalFormatting>
  <conditionalFormatting sqref="J997">
    <cfRule type="expression" dxfId="6466" priority="7294">
      <formula>$H997="SUBETAPA"</formula>
    </cfRule>
    <cfRule type="expression" dxfId="6465" priority="7295">
      <formula>$H997="CÉLULA CONSTRUTIVA"</formula>
    </cfRule>
    <cfRule type="expression" dxfId="6464" priority="7296">
      <formula>$H997="ETAPA"</formula>
    </cfRule>
  </conditionalFormatting>
  <conditionalFormatting sqref="J1006">
    <cfRule type="expression" dxfId="6463" priority="8984">
      <formula>$H1006="CÉLULA CONSTRUTIVA"</formula>
    </cfRule>
    <cfRule type="expression" dxfId="6462" priority="8983">
      <formula>$H1006="SUBETAPA"</formula>
    </cfRule>
    <cfRule type="expression" dxfId="6461" priority="8985">
      <formula>$H1006="ETAPA"</formula>
    </cfRule>
  </conditionalFormatting>
  <conditionalFormatting sqref="J1036">
    <cfRule type="expression" dxfId="6460" priority="3043">
      <formula>$H1036="CÉLULA CONSTRUTIVA"</formula>
    </cfRule>
    <cfRule type="expression" dxfId="6459" priority="3044">
      <formula>$H1036="ETAPA"</formula>
    </cfRule>
    <cfRule type="expression" dxfId="6458" priority="3042">
      <formula>$H1036="SUBETAPA"</formula>
    </cfRule>
  </conditionalFormatting>
  <conditionalFormatting sqref="J1037">
    <cfRule type="expression" dxfId="6457" priority="3039">
      <formula>$H1037="SUBETAPA"</formula>
    </cfRule>
    <cfRule type="expression" dxfId="6456" priority="3040">
      <formula>$H1037="CÉLULA CONSTRUTIVA"</formula>
    </cfRule>
    <cfRule type="expression" dxfId="6455" priority="3041">
      <formula>$H1037="ETAPA"</formula>
    </cfRule>
  </conditionalFormatting>
  <conditionalFormatting sqref="J1056">
    <cfRule type="expression" dxfId="6454" priority="2969">
      <formula>$H1056="SUBETAPA"</formula>
    </cfRule>
    <cfRule type="expression" dxfId="6453" priority="2970">
      <formula>$H1056="CÉLULA CONSTRUTIVA"</formula>
    </cfRule>
    <cfRule type="expression" dxfId="6452" priority="2971">
      <formula>$H1056="ETAPA"</formula>
    </cfRule>
  </conditionalFormatting>
  <conditionalFormatting sqref="J1057">
    <cfRule type="expression" dxfId="6451" priority="2967">
      <formula>$H1057="CÉLULA CONSTRUTIVA"</formula>
    </cfRule>
    <cfRule type="expression" dxfId="6450" priority="2968">
      <formula>$H1057="ETAPA"</formula>
    </cfRule>
    <cfRule type="expression" dxfId="6449" priority="2966">
      <formula>$H1057="SUBETAPA"</formula>
    </cfRule>
  </conditionalFormatting>
  <conditionalFormatting sqref="J1076">
    <cfRule type="expression" dxfId="6448" priority="2963">
      <formula>$H1076="SUBETAPA"</formula>
    </cfRule>
    <cfRule type="expression" dxfId="6447" priority="2964">
      <formula>$H1076="CÉLULA CONSTRUTIVA"</formula>
    </cfRule>
    <cfRule type="expression" dxfId="6446" priority="2965">
      <formula>$H1076="ETAPA"</formula>
    </cfRule>
  </conditionalFormatting>
  <conditionalFormatting sqref="J1077">
    <cfRule type="expression" dxfId="6445" priority="2961">
      <formula>$H1077="CÉLULA CONSTRUTIVA"</formula>
    </cfRule>
    <cfRule type="expression" dxfId="6444" priority="2960">
      <formula>$H1077="SUBETAPA"</formula>
    </cfRule>
    <cfRule type="expression" dxfId="6443" priority="2962">
      <formula>$H1077="ETAPA"</formula>
    </cfRule>
  </conditionalFormatting>
  <conditionalFormatting sqref="J1107">
    <cfRule type="expression" dxfId="6442" priority="2733">
      <formula>$H1107="SUBETAPA"</formula>
    </cfRule>
    <cfRule type="expression" dxfId="6441" priority="2734">
      <formula>$H1107="CÉLULA CONSTRUTIVA"</formula>
    </cfRule>
    <cfRule type="expression" dxfId="6440" priority="2735">
      <formula>$H1107="ETAPA"</formula>
    </cfRule>
  </conditionalFormatting>
  <conditionalFormatting sqref="J1108">
    <cfRule type="expression" dxfId="6439" priority="2710">
      <formula>$H1108="CÉLULA CONSTRUTIVA"</formula>
    </cfRule>
    <cfRule type="expression" dxfId="6438" priority="2709">
      <formula>$H1108="SUBETAPA"</formula>
    </cfRule>
    <cfRule type="expression" dxfId="6437" priority="2711">
      <formula>$H1108="ETAPA"</formula>
    </cfRule>
    <cfRule type="expression" dxfId="6436" priority="2736">
      <formula>$H1108="SUBETAPA"</formula>
    </cfRule>
    <cfRule type="expression" dxfId="6435" priority="2737">
      <formula>$H1108="CÉLULA CONSTRUTIVA"</formula>
    </cfRule>
    <cfRule type="expression" dxfId="6434" priority="2738">
      <formula>$H1108="ETAPA"</formula>
    </cfRule>
  </conditionalFormatting>
  <conditionalFormatting sqref="J1109">
    <cfRule type="expression" dxfId="6433" priority="2706">
      <formula>$H1109="SUBETAPA"</formula>
    </cfRule>
    <cfRule type="expression" dxfId="6432" priority="2707">
      <formula>$H1109="CÉLULA CONSTRUTIVA"</formula>
    </cfRule>
    <cfRule type="expression" dxfId="6431" priority="2708">
      <formula>$H1109="ETAPA"</formula>
    </cfRule>
    <cfRule type="expression" dxfId="6430" priority="2730">
      <formula>$H1109="SUBETAPA"</formula>
    </cfRule>
    <cfRule type="expression" dxfId="6429" priority="2731">
      <formula>$H1109="CÉLULA CONSTRUTIVA"</formula>
    </cfRule>
    <cfRule type="expression" dxfId="6428" priority="2732">
      <formula>$H1109="ETAPA"</formula>
    </cfRule>
  </conditionalFormatting>
  <conditionalFormatting sqref="J1110">
    <cfRule type="expression" dxfId="6427" priority="2697">
      <formula>$H1110="SUBETAPA"</formula>
    </cfRule>
    <cfRule type="expression" dxfId="6426" priority="2698">
      <formula>$H1110="CÉLULA CONSTRUTIVA"</formula>
    </cfRule>
    <cfRule type="expression" dxfId="6425" priority="2699">
      <formula>$H1110="ETAPA"</formula>
    </cfRule>
  </conditionalFormatting>
  <conditionalFormatting sqref="J1124">
    <cfRule type="expression" dxfId="6424" priority="2688">
      <formula>$H1124="SUBETAPA"</formula>
    </cfRule>
    <cfRule type="expression" dxfId="6423" priority="2689">
      <formula>$H1124="CÉLULA CONSTRUTIVA"</formula>
    </cfRule>
    <cfRule type="expression" dxfId="6422" priority="2690">
      <formula>$H1124="ETAPA"</formula>
    </cfRule>
    <cfRule type="expression" dxfId="6421" priority="2694">
      <formula>$H1124="SUBETAPA"</formula>
    </cfRule>
    <cfRule type="expression" dxfId="6420" priority="2695">
      <formula>$H1124="CÉLULA CONSTRUTIVA"</formula>
    </cfRule>
    <cfRule type="expression" dxfId="6419" priority="2696">
      <formula>$H1124="ETAPA"</formula>
    </cfRule>
  </conditionalFormatting>
  <conditionalFormatting sqref="J1125">
    <cfRule type="expression" dxfId="6418" priority="2686">
      <formula>$H1125="CÉLULA CONSTRUTIVA"</formula>
    </cfRule>
    <cfRule type="expression" dxfId="6417" priority="2687">
      <formula>$H1125="ETAPA"</formula>
    </cfRule>
    <cfRule type="expression" dxfId="6416" priority="2691">
      <formula>$H1125="SUBETAPA"</formula>
    </cfRule>
    <cfRule type="expression" dxfId="6415" priority="2692">
      <formula>$H1125="CÉLULA CONSTRUTIVA"</formula>
    </cfRule>
    <cfRule type="expression" dxfId="6414" priority="2693">
      <formula>$H1125="ETAPA"</formula>
    </cfRule>
    <cfRule type="expression" dxfId="6413" priority="2685">
      <formula>$H1125="SUBETAPA"</formula>
    </cfRule>
  </conditionalFormatting>
  <conditionalFormatting sqref="J1140">
    <cfRule type="expression" dxfId="6412" priority="418">
      <formula>$H1140="SUBETAPA"</formula>
    </cfRule>
    <cfRule type="expression" dxfId="6411" priority="419">
      <formula>$H1140="CÉLULA CONSTRUTIVA"</formula>
    </cfRule>
    <cfRule type="expression" dxfId="6410" priority="420">
      <formula>$H1140="ETAPA"</formula>
    </cfRule>
    <cfRule type="expression" dxfId="6409" priority="421">
      <formula>$H1140="SUBETAPA"</formula>
    </cfRule>
    <cfRule type="expression" dxfId="6408" priority="422">
      <formula>$H1140="CÉLULA CONSTRUTIVA"</formula>
    </cfRule>
    <cfRule type="expression" dxfId="6407" priority="423">
      <formula>$H1140="ETAPA"</formula>
    </cfRule>
  </conditionalFormatting>
  <conditionalFormatting sqref="J1141">
    <cfRule type="expression" dxfId="6406" priority="425">
      <formula>$H1141="CÉLULA CONSTRUTIVA"</formula>
    </cfRule>
    <cfRule type="expression" dxfId="6405" priority="426">
      <formula>$H1141="ETAPA"</formula>
    </cfRule>
    <cfRule type="expression" dxfId="6404" priority="424">
      <formula>$H1141="SUBETAPA"</formula>
    </cfRule>
  </conditionalFormatting>
  <conditionalFormatting sqref="J1151">
    <cfRule type="expression" dxfId="6403" priority="401">
      <formula>$H1151="CÉLULA CONSTRUTIVA"</formula>
    </cfRule>
    <cfRule type="expression" dxfId="6402" priority="400">
      <formula>$H1151="SUBETAPA"</formula>
    </cfRule>
    <cfRule type="expression" dxfId="6401" priority="402">
      <formula>$H1151="ETAPA"</formula>
    </cfRule>
    <cfRule type="expression" dxfId="6400" priority="403">
      <formula>$H1151="SUBETAPA"</formula>
    </cfRule>
    <cfRule type="expression" dxfId="6399" priority="404">
      <formula>$H1151="CÉLULA CONSTRUTIVA"</formula>
    </cfRule>
    <cfRule type="expression" dxfId="6398" priority="405">
      <formula>$H1151="ETAPA"</formula>
    </cfRule>
  </conditionalFormatting>
  <conditionalFormatting sqref="J1152">
    <cfRule type="expression" dxfId="6397" priority="408">
      <formula>$H1152="ETAPA"</formula>
    </cfRule>
    <cfRule type="expression" dxfId="6396" priority="407">
      <formula>$H1152="CÉLULA CONSTRUTIVA"</formula>
    </cfRule>
    <cfRule type="expression" dxfId="6395" priority="406">
      <formula>$H1152="SUBETAPA"</formula>
    </cfRule>
  </conditionalFormatting>
  <conditionalFormatting sqref="J412:K414">
    <cfRule type="expression" dxfId="6394" priority="11479">
      <formula>$H412="CÉLULA CONSTRUTIVA"</formula>
    </cfRule>
    <cfRule type="expression" dxfId="6393" priority="11480">
      <formula>$H412="ETAPA"</formula>
    </cfRule>
  </conditionalFormatting>
  <conditionalFormatting sqref="J426:K428">
    <cfRule type="expression" dxfId="6392" priority="11474">
      <formula>$H426="ETAPA"</formula>
    </cfRule>
    <cfRule type="expression" dxfId="6391" priority="11473">
      <formula>$H426="CÉLULA CONSTRUTIVA"</formula>
    </cfRule>
  </conditionalFormatting>
  <conditionalFormatting sqref="J440:K442">
    <cfRule type="expression" dxfId="6390" priority="11477">
      <formula>$H440="ETAPA"</formula>
    </cfRule>
    <cfRule type="expression" dxfId="6389" priority="11476">
      <formula>$H440="CÉLULA CONSTRUTIVA"</formula>
    </cfRule>
  </conditionalFormatting>
  <conditionalFormatting sqref="J453:K455">
    <cfRule type="expression" dxfId="6388" priority="11470">
      <formula>$H453="CÉLULA CONSTRUTIVA"</formula>
    </cfRule>
    <cfRule type="expression" dxfId="6387" priority="11471">
      <formula>$H453="ETAPA"</formula>
    </cfRule>
  </conditionalFormatting>
  <conditionalFormatting sqref="J468:K470">
    <cfRule type="expression" dxfId="6386" priority="11468">
      <formula>$H468="ETAPA"</formula>
    </cfRule>
    <cfRule type="expression" dxfId="6385" priority="11467">
      <formula>$H468="CÉLULA CONSTRUTIVA"</formula>
    </cfRule>
  </conditionalFormatting>
  <conditionalFormatting sqref="J481:K483">
    <cfRule type="expression" dxfId="6384" priority="11464">
      <formula>$H481="CÉLULA CONSTRUTIVA"</formula>
    </cfRule>
    <cfRule type="expression" dxfId="6383" priority="11465">
      <formula>$H481="ETAPA"</formula>
    </cfRule>
  </conditionalFormatting>
  <conditionalFormatting sqref="J492:K494">
    <cfRule type="expression" dxfId="6382" priority="11461">
      <formula>$H492="CÉLULA CONSTRUTIVA"</formula>
    </cfRule>
    <cfRule type="expression" dxfId="6381" priority="11462">
      <formula>$H492="ETAPA"</formula>
    </cfRule>
  </conditionalFormatting>
  <conditionalFormatting sqref="J720:K720 K719:L719">
    <cfRule type="expression" dxfId="6380" priority="10568">
      <formula>$H719="CÉLULA CONSTRUTIVA"</formula>
    </cfRule>
    <cfRule type="expression" dxfId="6379" priority="10569">
      <formula>$H719="ETAPA"</formula>
    </cfRule>
    <cfRule type="expression" dxfId="6378" priority="10567">
      <formula>$H719="SUBETAPA"</formula>
    </cfRule>
  </conditionalFormatting>
  <conditionalFormatting sqref="J1049:K1049">
    <cfRule type="expression" dxfId="6377" priority="2795">
      <formula>$H1049="ETAPA"</formula>
    </cfRule>
    <cfRule type="expression" dxfId="6376" priority="2793">
      <formula>$H1049="SUBETAPA"</formula>
    </cfRule>
    <cfRule type="expression" dxfId="6375" priority="2794">
      <formula>$H1049="CÉLULA CONSTRUTIVA"</formula>
    </cfRule>
  </conditionalFormatting>
  <conditionalFormatting sqref="J1050:K1050">
    <cfRule type="expression" dxfId="6374" priority="2787">
      <formula>$H1050="SUBETAPA"</formula>
    </cfRule>
    <cfRule type="expression" dxfId="6373" priority="2788">
      <formula>$H1050="CÉLULA CONSTRUTIVA"</formula>
    </cfRule>
    <cfRule type="expression" dxfId="6372" priority="2789">
      <formula>$H1050="ETAPA"</formula>
    </cfRule>
  </conditionalFormatting>
  <conditionalFormatting sqref="J1051:K1051">
    <cfRule type="expression" dxfId="6371" priority="2790">
      <formula>$H1051="SUBETAPA"</formula>
    </cfRule>
    <cfRule type="expression" dxfId="6370" priority="2792">
      <formula>$H1051="ETAPA"</formula>
    </cfRule>
    <cfRule type="expression" dxfId="6369" priority="2791">
      <formula>$H1051="CÉLULA CONSTRUTIVA"</formula>
    </cfRule>
  </conditionalFormatting>
  <conditionalFormatting sqref="J1052:K1052">
    <cfRule type="expression" dxfId="6368" priority="2786">
      <formula>$H1052="ETAPA"</formula>
    </cfRule>
    <cfRule type="expression" dxfId="6367" priority="2784">
      <formula>$H1052="SUBETAPA"</formula>
    </cfRule>
    <cfRule type="expression" dxfId="6366" priority="2785">
      <formula>$H1052="CÉLULA CONSTRUTIVA"</formula>
    </cfRule>
  </conditionalFormatting>
  <conditionalFormatting sqref="J1053:K1053">
    <cfRule type="expression" dxfId="6365" priority="2783">
      <formula>$H1053="ETAPA"</formula>
    </cfRule>
    <cfRule type="expression" dxfId="6364" priority="2782">
      <formula>$H1053="CÉLULA CONSTRUTIVA"</formula>
    </cfRule>
    <cfRule type="expression" dxfId="6363" priority="2781">
      <formula>$H1053="SUBETAPA"</formula>
    </cfRule>
  </conditionalFormatting>
  <conditionalFormatting sqref="J1069:K1069">
    <cfRule type="expression" dxfId="6362" priority="2777">
      <formula>$H1069="ETAPA"</formula>
    </cfRule>
    <cfRule type="expression" dxfId="6361" priority="2776">
      <formula>$H1069="CÉLULA CONSTRUTIVA"</formula>
    </cfRule>
    <cfRule type="expression" dxfId="6360" priority="2775">
      <formula>$H1069="SUBETAPA"</formula>
    </cfRule>
  </conditionalFormatting>
  <conditionalFormatting sqref="J1070:K1070">
    <cfRule type="expression" dxfId="6359" priority="2771">
      <formula>$H1070="ETAPA"</formula>
    </cfRule>
    <cfRule type="expression" dxfId="6358" priority="2770">
      <formula>$H1070="CÉLULA CONSTRUTIVA"</formula>
    </cfRule>
    <cfRule type="expression" dxfId="6357" priority="2769">
      <formula>$H1070="SUBETAPA"</formula>
    </cfRule>
  </conditionalFormatting>
  <conditionalFormatting sqref="J1071:K1071">
    <cfRule type="expression" dxfId="6356" priority="2774">
      <formula>$H1071="ETAPA"</formula>
    </cfRule>
    <cfRule type="expression" dxfId="6355" priority="2773">
      <formula>$H1071="CÉLULA CONSTRUTIVA"</formula>
    </cfRule>
    <cfRule type="expression" dxfId="6354" priority="2772">
      <formula>$H1071="SUBETAPA"</formula>
    </cfRule>
  </conditionalFormatting>
  <conditionalFormatting sqref="J1072:K1072">
    <cfRule type="expression" dxfId="6353" priority="2768">
      <formula>$H1072="ETAPA"</formula>
    </cfRule>
    <cfRule type="expression" dxfId="6352" priority="2767">
      <formula>$H1072="CÉLULA CONSTRUTIVA"</formula>
    </cfRule>
    <cfRule type="expression" dxfId="6351" priority="2766">
      <formula>$H1072="SUBETAPA"</formula>
    </cfRule>
  </conditionalFormatting>
  <conditionalFormatting sqref="J1073:K1073">
    <cfRule type="expression" dxfId="6350" priority="2764">
      <formula>$H1073="CÉLULA CONSTRUTIVA"</formula>
    </cfRule>
    <cfRule type="expression" dxfId="6349" priority="2763">
      <formula>$H1073="SUBETAPA"</formula>
    </cfRule>
    <cfRule type="expression" dxfId="6348" priority="2765">
      <formula>$H1073="ETAPA"</formula>
    </cfRule>
  </conditionalFormatting>
  <conditionalFormatting sqref="J1089:K1089">
    <cfRule type="expression" dxfId="6347" priority="2757">
      <formula>$H1089="SUBETAPA"</formula>
    </cfRule>
    <cfRule type="expression" dxfId="6346" priority="2758">
      <formula>$H1089="CÉLULA CONSTRUTIVA"</formula>
    </cfRule>
    <cfRule type="expression" dxfId="6345" priority="2759">
      <formula>$H1089="ETAPA"</formula>
    </cfRule>
  </conditionalFormatting>
  <conditionalFormatting sqref="J1090:K1090">
    <cfRule type="expression" dxfId="6344" priority="2753">
      <formula>$H1090="ETAPA"</formula>
    </cfRule>
    <cfRule type="expression" dxfId="6343" priority="2752">
      <formula>$H1090="CÉLULA CONSTRUTIVA"</formula>
    </cfRule>
    <cfRule type="expression" dxfId="6342" priority="2751">
      <formula>$H1090="SUBETAPA"</formula>
    </cfRule>
  </conditionalFormatting>
  <conditionalFormatting sqref="J1091:K1091">
    <cfRule type="expression" dxfId="6341" priority="2754">
      <formula>$H1091="SUBETAPA"</formula>
    </cfRule>
    <cfRule type="expression" dxfId="6340" priority="2755">
      <formula>$H1091="CÉLULA CONSTRUTIVA"</formula>
    </cfRule>
    <cfRule type="expression" dxfId="6339" priority="2756">
      <formula>$H1091="ETAPA"</formula>
    </cfRule>
  </conditionalFormatting>
  <conditionalFormatting sqref="J1092:K1092">
    <cfRule type="expression" dxfId="6338" priority="2750">
      <formula>$H1092="ETAPA"</formula>
    </cfRule>
    <cfRule type="expression" dxfId="6337" priority="2749">
      <formula>$H1092="CÉLULA CONSTRUTIVA"</formula>
    </cfRule>
    <cfRule type="expression" dxfId="6336" priority="2748">
      <formula>$H1092="SUBETAPA"</formula>
    </cfRule>
  </conditionalFormatting>
  <conditionalFormatting sqref="J1093:K1093">
    <cfRule type="expression" dxfId="6335" priority="2745">
      <formula>$H1093="SUBETAPA"</formula>
    </cfRule>
    <cfRule type="expression" dxfId="6334" priority="2747">
      <formula>$H1093="ETAPA"</formula>
    </cfRule>
    <cfRule type="expression" dxfId="6333" priority="2746">
      <formula>$H1093="CÉLULA CONSTRUTIVA"</formula>
    </cfRule>
  </conditionalFormatting>
  <conditionalFormatting sqref="J311:L311">
    <cfRule type="expression" dxfId="6332" priority="12633">
      <formula>$H311="SUBETAPA"</formula>
    </cfRule>
  </conditionalFormatting>
  <conditionalFormatting sqref="J351:L351">
    <cfRule type="expression" dxfId="6331" priority="12436">
      <formula>$H351="SUBETAPA"</formula>
    </cfRule>
  </conditionalFormatting>
  <conditionalFormatting sqref="J370:L370">
    <cfRule type="expression" dxfId="6330" priority="12407">
      <formula>$H370="SUBETAPA"</formula>
    </cfRule>
  </conditionalFormatting>
  <conditionalFormatting sqref="J722:L723">
    <cfRule type="expression" dxfId="6329" priority="10564">
      <formula>$H722="SUBETAPA"</formula>
    </cfRule>
    <cfRule type="expression" dxfId="6328" priority="10565">
      <formula>$H722="CÉLULA CONSTRUTIVA"</formula>
    </cfRule>
    <cfRule type="expression" dxfId="6327" priority="10566">
      <formula>$H722="ETAPA"</formula>
    </cfRule>
  </conditionalFormatting>
  <conditionalFormatting sqref="K313">
    <cfRule type="expression" dxfId="6326" priority="4679">
      <formula>$H313="ETAPA"</formula>
    </cfRule>
    <cfRule type="expression" dxfId="6325" priority="4677">
      <formula>$H313="SUBETAPA"</formula>
    </cfRule>
    <cfRule type="expression" dxfId="6324" priority="4678">
      <formula>$H313="CÉLULA CONSTRUTIVA"</formula>
    </cfRule>
  </conditionalFormatting>
  <conditionalFormatting sqref="K333">
    <cfRule type="expression" dxfId="6323" priority="4675">
      <formula>$H333="CÉLULA CONSTRUTIVA"</formula>
    </cfRule>
    <cfRule type="expression" dxfId="6322" priority="4674">
      <formula>$H333="SUBETAPA"</formula>
    </cfRule>
    <cfRule type="expression" dxfId="6321" priority="4676">
      <formula>$H333="ETAPA"</formula>
    </cfRule>
  </conditionalFormatting>
  <conditionalFormatting sqref="K353">
    <cfRule type="expression" dxfId="6320" priority="4671">
      <formula>$H353="SUBETAPA"</formula>
    </cfRule>
    <cfRule type="expression" dxfId="6319" priority="4673">
      <formula>$H353="ETAPA"</formula>
    </cfRule>
    <cfRule type="expression" dxfId="6318" priority="4672">
      <formula>$H353="CÉLULA CONSTRUTIVA"</formula>
    </cfRule>
  </conditionalFormatting>
  <conditionalFormatting sqref="K372">
    <cfRule type="expression" dxfId="6317" priority="4668">
      <formula>$H372="SUBETAPA"</formula>
    </cfRule>
    <cfRule type="expression" dxfId="6316" priority="4670">
      <formula>$H372="ETAPA"</formula>
    </cfRule>
    <cfRule type="expression" dxfId="6315" priority="4669">
      <formula>$H372="CÉLULA CONSTRUTIVA"</formula>
    </cfRule>
  </conditionalFormatting>
  <conditionalFormatting sqref="K728">
    <cfRule type="expression" dxfId="6314" priority="1671">
      <formula>$H728="ETAPA"</formula>
    </cfRule>
    <cfRule type="expression" dxfId="6313" priority="1669">
      <formula>$H728="SUBETAPA"</formula>
    </cfRule>
    <cfRule type="expression" dxfId="6312" priority="1670">
      <formula>$H728="CÉLULA CONSTRUTIVA"</formula>
    </cfRule>
  </conditionalFormatting>
  <conditionalFormatting sqref="K733:K735">
    <cfRule type="expression" dxfId="6311" priority="10541">
      <formula>$H733="ETAPA"</formula>
    </cfRule>
    <cfRule type="expression" dxfId="6310" priority="10540">
      <formula>$H733="CÉLULA CONSTRUTIVA"</formula>
    </cfRule>
    <cfRule type="expression" dxfId="6309" priority="10539">
      <formula>$H733="SUBETAPA"</formula>
    </cfRule>
  </conditionalFormatting>
  <conditionalFormatting sqref="K745">
    <cfRule type="expression" dxfId="6308" priority="10366">
      <formula>$H745="ETAPA"</formula>
    </cfRule>
    <cfRule type="expression" dxfId="6307" priority="10365">
      <formula>$H745="CÉLULA CONSTRUTIVA"</formula>
    </cfRule>
    <cfRule type="expression" dxfId="6306" priority="10364">
      <formula>$H745="SUBETAPA"</formula>
    </cfRule>
  </conditionalFormatting>
  <conditionalFormatting sqref="K746">
    <cfRule type="expression" dxfId="6305" priority="2915">
      <formula>$H746="SUBETAPA"</formula>
    </cfRule>
    <cfRule type="expression" dxfId="6304" priority="2916">
      <formula>$H746="CÉLULA CONSTRUTIVA"</formula>
    </cfRule>
    <cfRule type="expression" dxfId="6303" priority="2917">
      <formula>$H746="ETAPA"</formula>
    </cfRule>
  </conditionalFormatting>
  <conditionalFormatting sqref="K750">
    <cfRule type="expression" dxfId="6302" priority="10536">
      <formula>$H750="SUBETAPA"</formula>
    </cfRule>
    <cfRule type="expression" dxfId="6301" priority="10537">
      <formula>$H750="CÉLULA CONSTRUTIVA"</formula>
    </cfRule>
    <cfRule type="expression" dxfId="6300" priority="10538">
      <formula>$H750="ETAPA"</formula>
    </cfRule>
  </conditionalFormatting>
  <conditionalFormatting sqref="K752">
    <cfRule type="expression" dxfId="6299" priority="2820">
      <formula>$H752="ETAPA"</formula>
    </cfRule>
    <cfRule type="expression" dxfId="6298" priority="2819">
      <formula>$H752="CÉLULA CONSTRUTIVA"</formula>
    </cfRule>
    <cfRule type="expression" dxfId="6297" priority="2818">
      <formula>$H752="SUBETAPA"</formula>
    </cfRule>
  </conditionalFormatting>
  <conditionalFormatting sqref="K778:K780">
    <cfRule type="expression" dxfId="6296" priority="10838">
      <formula>$H778="SUBETAPA"</formula>
    </cfRule>
    <cfRule type="expression" dxfId="6295" priority="10839">
      <formula>$H778="CÉLULA CONSTRUTIVA"</formula>
    </cfRule>
    <cfRule type="expression" dxfId="6294" priority="10840">
      <formula>$H778="ETAPA"</formula>
    </cfRule>
  </conditionalFormatting>
  <conditionalFormatting sqref="K782 L785">
    <cfRule type="expression" dxfId="6293" priority="10843">
      <formula>$H782="ETAPA"</formula>
    </cfRule>
    <cfRule type="expression" dxfId="6292" priority="10841">
      <formula>$H782="SUBETAPA"</formula>
    </cfRule>
    <cfRule type="expression" dxfId="6291" priority="10842">
      <formula>$H782="CÉLULA CONSTRUTIVA"</formula>
    </cfRule>
  </conditionalFormatting>
  <conditionalFormatting sqref="K785:K787">
    <cfRule type="expression" dxfId="6290" priority="2821">
      <formula>$H785="SUBETAPA"</formula>
    </cfRule>
    <cfRule type="expression" dxfId="6289" priority="2822">
      <formula>$H785="CÉLULA CONSTRUTIVA"</formula>
    </cfRule>
    <cfRule type="expression" dxfId="6288" priority="2823">
      <formula>$H785="ETAPA"</formula>
    </cfRule>
  </conditionalFormatting>
  <conditionalFormatting sqref="K800:K802">
    <cfRule type="expression" dxfId="6287" priority="2806">
      <formula>$H800="ETAPA"</formula>
    </cfRule>
    <cfRule type="expression" dxfId="6286" priority="2805">
      <formula>$H800="CÉLULA CONSTRUTIVA"</formula>
    </cfRule>
    <cfRule type="expression" dxfId="6285" priority="2804">
      <formula>$H800="SUBETAPA"</formula>
    </cfRule>
  </conditionalFormatting>
  <conditionalFormatting sqref="K825:K827">
    <cfRule type="expression" dxfId="6284" priority="10586">
      <formula>$H825="ETAPA"</formula>
    </cfRule>
    <cfRule type="expression" dxfId="6283" priority="10585">
      <formula>$H825="CÉLULA CONSTRUTIVA"</formula>
    </cfRule>
    <cfRule type="expression" dxfId="6282" priority="10584">
      <formula>$H825="SUBETAPA"</formula>
    </cfRule>
  </conditionalFormatting>
  <conditionalFormatting sqref="K963">
    <cfRule type="expression" dxfId="6281" priority="8640">
      <formula>$H963="CÉLULA CONSTRUTIVA"</formula>
    </cfRule>
    <cfRule type="expression" dxfId="6280" priority="8639">
      <formula>$H963="SUBETAPA"</formula>
    </cfRule>
    <cfRule type="expression" dxfId="6279" priority="8641">
      <formula>$H963="ETAPA"</formula>
    </cfRule>
  </conditionalFormatting>
  <conditionalFormatting sqref="K991">
    <cfRule type="expression" dxfId="6278" priority="8931">
      <formula>$H991="ETAPA"</formula>
    </cfRule>
    <cfRule type="expression" dxfId="6277" priority="8930">
      <formula>$H991="CÉLULA CONSTRUTIVA"</formula>
    </cfRule>
    <cfRule type="expression" dxfId="6276" priority="8929">
      <formula>$H991="SUBETAPA"</formula>
    </cfRule>
  </conditionalFormatting>
  <conditionalFormatting sqref="K1004">
    <cfRule type="expression" dxfId="6275" priority="8923">
      <formula>$H1004="SUBETAPA"</formula>
    </cfRule>
    <cfRule type="expression" dxfId="6274" priority="8925">
      <formula>$H1004="ETAPA"</formula>
    </cfRule>
    <cfRule type="expression" dxfId="6273" priority="8924">
      <formula>$H1004="CÉLULA CONSTRUTIVA"</formula>
    </cfRule>
  </conditionalFormatting>
  <conditionalFormatting sqref="K1220">
    <cfRule type="expression" dxfId="6272" priority="582">
      <formula>$H1220="CÉLULA CONSTRUTIVA"</formula>
    </cfRule>
    <cfRule type="expression" dxfId="6271" priority="583">
      <formula>$H1220="ETAPA"</formula>
    </cfRule>
    <cfRule type="expression" dxfId="6270" priority="581">
      <formula>$H1220="SUBETAPA"</formula>
    </cfRule>
  </conditionalFormatting>
  <conditionalFormatting sqref="K1302">
    <cfRule type="expression" dxfId="6269" priority="551">
      <formula>$H1302="CÉLULA CONSTRUTIVA"</formula>
    </cfRule>
    <cfRule type="expression" dxfId="6268" priority="550">
      <formula>$H1302="SUBETAPA"</formula>
    </cfRule>
    <cfRule type="expression" dxfId="6267" priority="552">
      <formula>$H1302="ETAPA"</formula>
    </cfRule>
  </conditionalFormatting>
  <conditionalFormatting sqref="K122:L122">
    <cfRule type="expression" dxfId="6266" priority="135">
      <formula>$H122="SUBETAPA"</formula>
    </cfRule>
    <cfRule type="expression" dxfId="6265" priority="136">
      <formula>$H122="CÉLULA CONSTRUTIVA"</formula>
    </cfRule>
    <cfRule type="expression" dxfId="6264" priority="137">
      <formula>$H122="ETAPA"</formula>
    </cfRule>
  </conditionalFormatting>
  <conditionalFormatting sqref="K124:L124">
    <cfRule type="expression" dxfId="6263" priority="123">
      <formula>$H124="SUBETAPA"</formula>
    </cfRule>
    <cfRule type="expression" dxfId="6262" priority="124">
      <formula>$H124="CÉLULA CONSTRUTIVA"</formula>
    </cfRule>
    <cfRule type="expression" dxfId="6261" priority="125">
      <formula>$H124="ETAPA"</formula>
    </cfRule>
  </conditionalFormatting>
  <conditionalFormatting sqref="K126:L126">
    <cfRule type="expression" dxfId="6260" priority="114">
      <formula>$H126="SUBETAPA"</formula>
    </cfRule>
    <cfRule type="expression" dxfId="6259" priority="116">
      <formula>$H126="ETAPA"</formula>
    </cfRule>
    <cfRule type="expression" dxfId="6258" priority="115">
      <formula>$H126="CÉLULA CONSTRUTIVA"</formula>
    </cfRule>
  </conditionalFormatting>
  <conditionalFormatting sqref="K130:L130">
    <cfRule type="expression" dxfId="6257" priority="102">
      <formula>$H130="SUBETAPA"</formula>
    </cfRule>
    <cfRule type="expression" dxfId="6256" priority="103">
      <formula>$H130="CÉLULA CONSTRUTIVA"</formula>
    </cfRule>
    <cfRule type="expression" dxfId="6255" priority="104">
      <formula>$H130="ETAPA"</formula>
    </cfRule>
  </conditionalFormatting>
  <conditionalFormatting sqref="K278:L279">
    <cfRule type="expression" dxfId="6254" priority="12673">
      <formula>$H278="CÉLULA CONSTRUTIVA"</formula>
    </cfRule>
    <cfRule type="expression" dxfId="6253" priority="12674">
      <formula>$H278="ETAPA"</formula>
    </cfRule>
  </conditionalFormatting>
  <conditionalFormatting sqref="K278:L280">
    <cfRule type="expression" dxfId="6252" priority="12672">
      <formula>$H278="SUBETAPA"</formula>
    </cfRule>
  </conditionalFormatting>
  <conditionalFormatting sqref="K743:L743 H743:J744">
    <cfRule type="expression" dxfId="6251" priority="10916">
      <formula>$H743="SUBETAPA"</formula>
    </cfRule>
    <cfRule type="expression" dxfId="6250" priority="10918">
      <formula>$H743="ETAPA"</formula>
    </cfRule>
    <cfRule type="expression" dxfId="6249" priority="10917">
      <formula>$H743="CÉLULA CONSTRUTIVA"</formula>
    </cfRule>
  </conditionalFormatting>
  <conditionalFormatting sqref="K744:L744">
    <cfRule type="expression" dxfId="6248" priority="10911">
      <formula>$H744="CÉLULA CONSTRUTIVA"</formula>
    </cfRule>
    <cfRule type="expression" dxfId="6247" priority="10912">
      <formula>$H744="ETAPA"</formula>
    </cfRule>
    <cfRule type="expression" dxfId="6246" priority="10910">
      <formula>$H744="SUBETAPA"</formula>
    </cfRule>
  </conditionalFormatting>
  <conditionalFormatting sqref="K747:L749 L750 L745">
    <cfRule type="expression" dxfId="6245" priority="10914">
      <formula>$H745="CÉLULA CONSTRUTIVA"</formula>
    </cfRule>
    <cfRule type="expression" dxfId="6244" priority="10913">
      <formula>$H745="SUBETAPA"</formula>
    </cfRule>
    <cfRule type="expression" dxfId="6243" priority="10915">
      <formula>$H745="ETAPA"</formula>
    </cfRule>
  </conditionalFormatting>
  <conditionalFormatting sqref="K751:L751">
    <cfRule type="expression" dxfId="6242" priority="10908">
      <formula>$H751="CÉLULA CONSTRUTIVA"</formula>
    </cfRule>
    <cfRule type="expression" dxfId="6241" priority="10907">
      <formula>$H751="SUBETAPA"</formula>
    </cfRule>
    <cfRule type="expression" dxfId="6240" priority="10909">
      <formula>$H751="ETAPA"</formula>
    </cfRule>
  </conditionalFormatting>
  <conditionalFormatting sqref="K761:L761">
    <cfRule type="expression" dxfId="6239" priority="10874">
      <formula>$H761="SUBETAPA"</formula>
    </cfRule>
    <cfRule type="expression" dxfId="6238" priority="10876">
      <formula>$H761="ETAPA"</formula>
    </cfRule>
    <cfRule type="expression" dxfId="6237" priority="10875">
      <formula>$H761="CÉLULA CONSTRUTIVA"</formula>
    </cfRule>
  </conditionalFormatting>
  <conditionalFormatting sqref="K762:L767">
    <cfRule type="expression" dxfId="6236" priority="10879">
      <formula>$H762="ETAPA"</formula>
    </cfRule>
    <cfRule type="expression" dxfId="6235" priority="10877">
      <formula>$H762="SUBETAPA"</formula>
    </cfRule>
    <cfRule type="expression" dxfId="6234" priority="10878">
      <formula>$H762="CÉLULA CONSTRUTIVA"</formula>
    </cfRule>
  </conditionalFormatting>
  <conditionalFormatting sqref="K768:L768 K769">
    <cfRule type="expression" dxfId="6233" priority="10873">
      <formula>$H768="ETAPA"</formula>
    </cfRule>
    <cfRule type="expression" dxfId="6232" priority="10871">
      <formula>$H768="SUBETAPA"</formula>
    </cfRule>
    <cfRule type="expression" dxfId="6231" priority="10872">
      <formula>$H768="CÉLULA CONSTRUTIVA"</formula>
    </cfRule>
  </conditionalFormatting>
  <conditionalFormatting sqref="K781:L781 L782">
    <cfRule type="expression" dxfId="6230" priority="10781">
      <formula>$H781="SUBETAPA"</formula>
    </cfRule>
    <cfRule type="expression" dxfId="6229" priority="10783">
      <formula>$H781="ETAPA"</formula>
    </cfRule>
    <cfRule type="expression" dxfId="6228" priority="10782">
      <formula>$H781="CÉLULA CONSTRUTIVA"</formula>
    </cfRule>
  </conditionalFormatting>
  <conditionalFormatting sqref="K796:L797 G796:G797 N796:O797">
    <cfRule type="expression" dxfId="6227" priority="2902">
      <formula>$H796="CÉLULA CONSTRUTIVA"</formula>
    </cfRule>
    <cfRule type="expression" dxfId="6226" priority="2901">
      <formula>$H796="SUBETAPA"</formula>
    </cfRule>
    <cfRule type="expression" dxfId="6225" priority="2903">
      <formula>$H796="ETAPA"</formula>
    </cfRule>
  </conditionalFormatting>
  <conditionalFormatting sqref="K799:L799 L800:L801">
    <cfRule type="expression" dxfId="6224" priority="2856">
      <formula>$H799="CÉLULA CONSTRUTIVA"</formula>
    </cfRule>
    <cfRule type="expression" dxfId="6223" priority="2857">
      <formula>$H799="ETAPA"</formula>
    </cfRule>
    <cfRule type="expression" dxfId="6222" priority="2855">
      <formula>$H799="SUBETAPA"</formula>
    </cfRule>
  </conditionalFormatting>
  <conditionalFormatting sqref="K815:L815 K814">
    <cfRule type="expression" dxfId="6221" priority="10708">
      <formula>$H814="CÉLULA CONSTRUTIVA"</formula>
    </cfRule>
    <cfRule type="expression" dxfId="6220" priority="10707">
      <formula>$H814="SUBETAPA"</formula>
    </cfRule>
    <cfRule type="expression" dxfId="6219" priority="10709">
      <formula>$H814="ETAPA"</formula>
    </cfRule>
  </conditionalFormatting>
  <conditionalFormatting sqref="K823:L824 L825">
    <cfRule type="expression" dxfId="6218" priority="10671">
      <formula>$H823="ETAPA"</formula>
    </cfRule>
    <cfRule type="expression" dxfId="6217" priority="10669">
      <formula>$H823="SUBETAPA"</formula>
    </cfRule>
    <cfRule type="expression" dxfId="6216" priority="10670">
      <formula>$H823="CÉLULA CONSTRUTIVA"</formula>
    </cfRule>
  </conditionalFormatting>
  <conditionalFormatting sqref="K1151:L1152">
    <cfRule type="expression" dxfId="6215" priority="409">
      <formula>$H1151="SUBETAPA"</formula>
    </cfRule>
    <cfRule type="expression" dxfId="6214" priority="410">
      <formula>$H1151="CÉLULA CONSTRUTIVA"</formula>
    </cfRule>
    <cfRule type="expression" dxfId="6213" priority="411">
      <formula>$H1151="ETAPA"</formula>
    </cfRule>
  </conditionalFormatting>
  <conditionalFormatting sqref="K1191:L1191">
    <cfRule type="expression" dxfId="6212" priority="3358">
      <formula>$H1191="SUBETAPA"</formula>
    </cfRule>
    <cfRule type="expression" dxfId="6211" priority="3359">
      <formula>$H1191="CÉLULA CONSTRUTIVA"</formula>
    </cfRule>
    <cfRule type="expression" dxfId="6210" priority="3360">
      <formula>$H1191="ETAPA"</formula>
    </cfRule>
  </conditionalFormatting>
  <conditionalFormatting sqref="K1289:L1289">
    <cfRule type="expression" dxfId="6209" priority="619">
      <formula>$H1289="ETAPA"</formula>
    </cfRule>
    <cfRule type="expression" dxfId="6208" priority="618">
      <formula>$H1289="CÉLULA CONSTRUTIVA"</formula>
    </cfRule>
    <cfRule type="expression" dxfId="6207" priority="617">
      <formula>$H1289="SUBETAPA"</formula>
    </cfRule>
  </conditionalFormatting>
  <conditionalFormatting sqref="K236:P236 K237:L237 N237:P237">
    <cfRule type="expression" dxfId="6206" priority="11653">
      <formula>$H236="SUBETAPA"</formula>
    </cfRule>
  </conditionalFormatting>
  <conditionalFormatting sqref="L304:L308">
    <cfRule type="expression" dxfId="6205" priority="12649">
      <formula>$H304="CÉLULA CONSTRUTIVA"</formula>
    </cfRule>
    <cfRule type="expression" dxfId="6204" priority="12650">
      <formula>$H304="ETAPA"</formula>
    </cfRule>
  </conditionalFormatting>
  <conditionalFormatting sqref="L324:L328">
    <cfRule type="expression" dxfId="6203" priority="12637">
      <formula>$H324="CÉLULA CONSTRUTIVA"</formula>
    </cfRule>
    <cfRule type="expression" dxfId="6202" priority="12638">
      <formula>$H324="ETAPA"</formula>
    </cfRule>
  </conditionalFormatting>
  <conditionalFormatting sqref="L402:L403">
    <cfRule type="expression" dxfId="6201" priority="11438">
      <formula>$H402="ETAPA"</formula>
    </cfRule>
    <cfRule type="expression" dxfId="6200" priority="11437">
      <formula>$H402="CÉLULA CONSTRUTIVA"</formula>
    </cfRule>
  </conditionalFormatting>
  <conditionalFormatting sqref="L711:L712">
    <cfRule type="expression" dxfId="6199" priority="10953">
      <formula>$H711="SUBETAPA"</formula>
    </cfRule>
    <cfRule type="expression" dxfId="6198" priority="10954">
      <formula>$H711="CÉLULA CONSTRUTIVA"</formula>
    </cfRule>
    <cfRule type="expression" dxfId="6197" priority="10955">
      <formula>$H711="ETAPA"</formula>
    </cfRule>
  </conditionalFormatting>
  <conditionalFormatting sqref="L720">
    <cfRule type="expression" dxfId="6196" priority="10455">
      <formula>$H720="ETAPA"</formula>
    </cfRule>
    <cfRule type="expression" dxfId="6195" priority="10454">
      <formula>$H720="CÉLULA CONSTRUTIVA"</formula>
    </cfRule>
    <cfRule type="expression" dxfId="6194" priority="10453">
      <formula>$H720="SUBETAPA"</formula>
    </cfRule>
  </conditionalFormatting>
  <conditionalFormatting sqref="L737">
    <cfRule type="expression" dxfId="6193" priority="10474">
      <formula>$H737="CÉLULA CONSTRUTIVA"</formula>
    </cfRule>
    <cfRule type="expression" dxfId="6192" priority="10475">
      <formula>$H737="ETAPA"</formula>
    </cfRule>
    <cfRule type="expression" dxfId="6191" priority="10473">
      <formula>$H737="SUBETAPA"</formula>
    </cfRule>
  </conditionalFormatting>
  <conditionalFormatting sqref="L746">
    <cfRule type="expression" dxfId="6190" priority="2921">
      <formula>$H746="SUBETAPA"</formula>
    </cfRule>
    <cfRule type="expression" dxfId="6189" priority="2922">
      <formula>$H746="CÉLULA CONSTRUTIVA"</formula>
    </cfRule>
    <cfRule type="expression" dxfId="6188" priority="2923">
      <formula>$H746="ETAPA"</formula>
    </cfRule>
  </conditionalFormatting>
  <conditionalFormatting sqref="L752">
    <cfRule type="expression" dxfId="6187" priority="10906">
      <formula>$H752="ETAPA"</formula>
    </cfRule>
    <cfRule type="expression" dxfId="6186" priority="10904">
      <formula>$H752="SUBETAPA"</formula>
    </cfRule>
    <cfRule type="expression" dxfId="6185" priority="10905">
      <formula>$H752="CÉLULA CONSTRUTIVA"</formula>
    </cfRule>
  </conditionalFormatting>
  <conditionalFormatting sqref="L754">
    <cfRule type="expression" dxfId="6184" priority="10482">
      <formula>$H754="SUBETAPA"</formula>
    </cfRule>
    <cfRule type="expression" dxfId="6183" priority="10483">
      <formula>$H754="CÉLULA CONSTRUTIVA"</formula>
    </cfRule>
    <cfRule type="expression" dxfId="6182" priority="10484">
      <formula>$H754="ETAPA"</formula>
    </cfRule>
  </conditionalFormatting>
  <conditionalFormatting sqref="L769">
    <cfRule type="expression" dxfId="6181" priority="10870">
      <formula>$H769="ETAPA"</formula>
    </cfRule>
    <cfRule type="expression" dxfId="6180" priority="10868">
      <formula>$H769="SUBETAPA"</formula>
    </cfRule>
    <cfRule type="expression" dxfId="6179" priority="10869">
      <formula>$H769="CÉLULA CONSTRUTIVA"</formula>
    </cfRule>
  </conditionalFormatting>
  <conditionalFormatting sqref="L778:L780">
    <cfRule type="expression" dxfId="6178" priority="10797">
      <formula>$H778="ETAPA"</formula>
    </cfRule>
    <cfRule type="expression" dxfId="6177" priority="10796">
      <formula>$H778="CÉLULA CONSTRUTIVA"</formula>
    </cfRule>
    <cfRule type="expression" dxfId="6176" priority="10795">
      <formula>$H778="SUBETAPA"</formula>
    </cfRule>
  </conditionalFormatting>
  <conditionalFormatting sqref="L786">
    <cfRule type="expression" dxfId="6175" priority="10836">
      <formula>$H786="CÉLULA CONSTRUTIVA"</formula>
    </cfRule>
    <cfRule type="expression" dxfId="6174" priority="10837">
      <formula>$H786="ETAPA"</formula>
    </cfRule>
    <cfRule type="expression" dxfId="6173" priority="10835">
      <formula>$H786="SUBETAPA"</formula>
    </cfRule>
  </conditionalFormatting>
  <conditionalFormatting sqref="L787">
    <cfRule type="expression" dxfId="6172" priority="10833">
      <formula>$H787="CÉLULA CONSTRUTIVA"</formula>
    </cfRule>
    <cfRule type="expression" dxfId="6171" priority="10832">
      <formula>$H787="SUBETAPA"</formula>
    </cfRule>
    <cfRule type="expression" dxfId="6170" priority="10834">
      <formula>$H787="ETAPA"</formula>
    </cfRule>
  </conditionalFormatting>
  <conditionalFormatting sqref="L802">
    <cfRule type="expression" dxfId="6169" priority="10764">
      <formula>$H802="CÉLULA CONSTRUTIVA"</formula>
    </cfRule>
    <cfRule type="expression" dxfId="6168" priority="10763">
      <formula>$H802="SUBETAPA"</formula>
    </cfRule>
    <cfRule type="expression" dxfId="6167" priority="10765">
      <formula>$H802="ETAPA"</formula>
    </cfRule>
  </conditionalFormatting>
  <conditionalFormatting sqref="L826">
    <cfRule type="expression" dxfId="6166" priority="10624">
      <formula>$H826="ETAPA"</formula>
    </cfRule>
    <cfRule type="expression" dxfId="6165" priority="10623">
      <formula>$H826="CÉLULA CONSTRUTIVA"</formula>
    </cfRule>
    <cfRule type="expression" dxfId="6164" priority="10622">
      <formula>$H826="SUBETAPA"</formula>
    </cfRule>
  </conditionalFormatting>
  <conditionalFormatting sqref="L827">
    <cfRule type="expression" dxfId="6163" priority="10591">
      <formula>$H827="CÉLULA CONSTRUTIVA"</formula>
    </cfRule>
    <cfRule type="expression" dxfId="6162" priority="10592">
      <formula>$H827="ETAPA"</formula>
    </cfRule>
    <cfRule type="expression" dxfId="6161" priority="10590">
      <formula>$H827="SUBETAPA"</formula>
    </cfRule>
  </conditionalFormatting>
  <conditionalFormatting sqref="L855">
    <cfRule type="expression" dxfId="6160" priority="1722">
      <formula>$H855="CÉLULA CONSTRUTIVA"</formula>
    </cfRule>
    <cfRule type="expression" dxfId="6159" priority="1723">
      <formula>$H855="ETAPA"</formula>
    </cfRule>
    <cfRule type="expression" dxfId="6158" priority="1721">
      <formula>$H855="SUBETAPA"</formula>
    </cfRule>
  </conditionalFormatting>
  <conditionalFormatting sqref="L863">
    <cfRule type="expression" dxfId="6157" priority="1718">
      <formula>$H863="SUBETAPA"</formula>
    </cfRule>
    <cfRule type="expression" dxfId="6156" priority="1719">
      <formula>$H863="CÉLULA CONSTRUTIVA"</formula>
    </cfRule>
    <cfRule type="expression" dxfId="6155" priority="1720">
      <formula>$H863="ETAPA"</formula>
    </cfRule>
  </conditionalFormatting>
  <conditionalFormatting sqref="L916">
    <cfRule type="expression" dxfId="6154" priority="9562">
      <formula>$H916="ETAPA"</formula>
    </cfRule>
    <cfRule type="expression" dxfId="6153" priority="9560">
      <formula>$H916="SUBETAPA"</formula>
    </cfRule>
    <cfRule type="expression" dxfId="6152" priority="9561">
      <formula>$H916="CÉLULA CONSTRUTIVA"</formula>
    </cfRule>
  </conditionalFormatting>
  <conditionalFormatting sqref="L978">
    <cfRule type="expression" dxfId="6151" priority="8700">
      <formula>$H978="CÉLULA CONSTRUTIVA"</formula>
    </cfRule>
    <cfRule type="expression" dxfId="6150" priority="8701">
      <formula>$H978="ETAPA"</formula>
    </cfRule>
    <cfRule type="expression" dxfId="6149" priority="8699">
      <formula>$H978="SUBETAPA"</formula>
    </cfRule>
  </conditionalFormatting>
  <conditionalFormatting sqref="L1006">
    <cfRule type="expression" dxfId="6148" priority="8988">
      <formula>$H1006="ETAPA"</formula>
    </cfRule>
    <cfRule type="expression" dxfId="6147" priority="8987">
      <formula>$H1006="CÉLULA CONSTRUTIVA"</formula>
    </cfRule>
    <cfRule type="expression" dxfId="6146" priority="8986">
      <formula>$H1006="SUBETAPA"</formula>
    </cfRule>
  </conditionalFormatting>
  <conditionalFormatting sqref="L1020:L1022">
    <cfRule type="expression" dxfId="6145" priority="546">
      <formula>$H1020="ETAPA"</formula>
    </cfRule>
    <cfRule type="expression" dxfId="6144" priority="544">
      <formula>$H1020="SUBETAPA"</formula>
    </cfRule>
    <cfRule type="expression" dxfId="6143" priority="545">
      <formula>$H1020="CÉLULA CONSTRUTIVA"</formula>
    </cfRule>
  </conditionalFormatting>
  <conditionalFormatting sqref="L1023">
    <cfRule type="expression" dxfId="6142" priority="541">
      <formula>$H1023="SUBETAPA"</formula>
    </cfRule>
    <cfRule type="expression" dxfId="6141" priority="542">
      <formula>$H1023="CÉLULA CONSTRUTIVA"</formula>
    </cfRule>
    <cfRule type="expression" dxfId="6140" priority="543">
      <formula>$H1023="ETAPA"</formula>
    </cfRule>
  </conditionalFormatting>
  <conditionalFormatting sqref="L1029">
    <cfRule type="expression" dxfId="6139" priority="538">
      <formula>$H1029="SUBETAPA"</formula>
    </cfRule>
    <cfRule type="expression" dxfId="6138" priority="539">
      <formula>$H1029="CÉLULA CONSTRUTIVA"</formula>
    </cfRule>
    <cfRule type="expression" dxfId="6137" priority="540">
      <formula>$H1029="ETAPA"</formula>
    </cfRule>
  </conditionalFormatting>
  <conditionalFormatting sqref="L1030">
    <cfRule type="expression" dxfId="6136" priority="534">
      <formula>$H1030="ETAPA"</formula>
    </cfRule>
    <cfRule type="expression" dxfId="6135" priority="532">
      <formula>$H1030="SUBETAPA"</formula>
    </cfRule>
    <cfRule type="expression" dxfId="6134" priority="533">
      <formula>$H1030="CÉLULA CONSTRUTIVA"</formula>
    </cfRule>
  </conditionalFormatting>
  <conditionalFormatting sqref="L1031">
    <cfRule type="expression" dxfId="6133" priority="535">
      <formula>$H1031="SUBETAPA"</formula>
    </cfRule>
    <cfRule type="expression" dxfId="6132" priority="536">
      <formula>$H1031="CÉLULA CONSTRUTIVA"</formula>
    </cfRule>
    <cfRule type="expression" dxfId="6131" priority="537">
      <formula>$H1031="ETAPA"</formula>
    </cfRule>
  </conditionalFormatting>
  <conditionalFormatting sqref="L1032">
    <cfRule type="expression" dxfId="6130" priority="531">
      <formula>$H1032="ETAPA"</formula>
    </cfRule>
    <cfRule type="expression" dxfId="6129" priority="530">
      <formula>$H1032="CÉLULA CONSTRUTIVA"</formula>
    </cfRule>
    <cfRule type="expression" dxfId="6128" priority="529">
      <formula>$H1032="SUBETAPA"</formula>
    </cfRule>
  </conditionalFormatting>
  <conditionalFormatting sqref="L1033">
    <cfRule type="expression" dxfId="6127" priority="528">
      <formula>$H1033="ETAPA"</formula>
    </cfRule>
    <cfRule type="expression" dxfId="6126" priority="527">
      <formula>$H1033="CÉLULA CONSTRUTIVA"</formula>
    </cfRule>
    <cfRule type="expression" dxfId="6125" priority="526">
      <formula>$H1033="SUBETAPA"</formula>
    </cfRule>
  </conditionalFormatting>
  <conditionalFormatting sqref="L1040">
    <cfRule type="expression" dxfId="6124" priority="522">
      <formula>$H1040="ETAPA"</formula>
    </cfRule>
    <cfRule type="expression" dxfId="6123" priority="520">
      <formula>$H1040="SUBETAPA"</formula>
    </cfRule>
    <cfRule type="expression" dxfId="6122" priority="521">
      <formula>$H1040="CÉLULA CONSTRUTIVA"</formula>
    </cfRule>
  </conditionalFormatting>
  <conditionalFormatting sqref="L1041:L1042">
    <cfRule type="expression" dxfId="6121" priority="517">
      <formula>$H1041="SUBETAPA"</formula>
    </cfRule>
    <cfRule type="expression" dxfId="6120" priority="518">
      <formula>$H1041="CÉLULA CONSTRUTIVA"</formula>
    </cfRule>
    <cfRule type="expression" dxfId="6119" priority="519">
      <formula>$H1041="ETAPA"</formula>
    </cfRule>
  </conditionalFormatting>
  <conditionalFormatting sqref="L1043">
    <cfRule type="expression" dxfId="6118" priority="525">
      <formula>$H1043="ETAPA"</formula>
    </cfRule>
    <cfRule type="expression" dxfId="6117" priority="524">
      <formula>$H1043="CÉLULA CONSTRUTIVA"</formula>
    </cfRule>
    <cfRule type="expression" dxfId="6116" priority="523">
      <formula>$H1043="SUBETAPA"</formula>
    </cfRule>
  </conditionalFormatting>
  <conditionalFormatting sqref="L1046:L1047">
    <cfRule type="expression" dxfId="6115" priority="6945">
      <formula>$H1046="CÉLULA CONSTRUTIVA"</formula>
    </cfRule>
    <cfRule type="expression" dxfId="6114" priority="6944">
      <formula>$H1046="SUBETAPA"</formula>
    </cfRule>
    <cfRule type="expression" dxfId="6113" priority="6946">
      <formula>$H1046="ETAPA"</formula>
    </cfRule>
  </conditionalFormatting>
  <conditionalFormatting sqref="L1049">
    <cfRule type="expression" dxfId="6112" priority="516">
      <formula>$H1049="ETAPA"</formula>
    </cfRule>
    <cfRule type="expression" dxfId="6111" priority="514">
      <formula>$H1049="SUBETAPA"</formula>
    </cfRule>
    <cfRule type="expression" dxfId="6110" priority="515">
      <formula>$H1049="CÉLULA CONSTRUTIVA"</formula>
    </cfRule>
  </conditionalFormatting>
  <conditionalFormatting sqref="L1050">
    <cfRule type="expression" dxfId="6109" priority="510">
      <formula>$H1050="ETAPA"</formula>
    </cfRule>
    <cfRule type="expression" dxfId="6108" priority="509">
      <formula>$H1050="CÉLULA CONSTRUTIVA"</formula>
    </cfRule>
    <cfRule type="expression" dxfId="6107" priority="508">
      <formula>$H1050="SUBETAPA"</formula>
    </cfRule>
  </conditionalFormatting>
  <conditionalFormatting sqref="L1051">
    <cfRule type="expression" dxfId="6106" priority="513">
      <formula>$H1051="ETAPA"</formula>
    </cfRule>
    <cfRule type="expression" dxfId="6105" priority="512">
      <formula>$H1051="CÉLULA CONSTRUTIVA"</formula>
    </cfRule>
    <cfRule type="expression" dxfId="6104" priority="511">
      <formula>$H1051="SUBETAPA"</formula>
    </cfRule>
  </conditionalFormatting>
  <conditionalFormatting sqref="L1052">
    <cfRule type="expression" dxfId="6103" priority="506">
      <formula>$H1052="CÉLULA CONSTRUTIVA"</formula>
    </cfRule>
    <cfRule type="expression" dxfId="6102" priority="505">
      <formula>$H1052="SUBETAPA"</formula>
    </cfRule>
    <cfRule type="expression" dxfId="6101" priority="507">
      <formula>$H1052="ETAPA"</formula>
    </cfRule>
  </conditionalFormatting>
  <conditionalFormatting sqref="L1053">
    <cfRule type="expression" dxfId="6100" priority="502">
      <formula>$H1053="SUBETAPA"</formula>
    </cfRule>
    <cfRule type="expression" dxfId="6099" priority="504">
      <formula>$H1053="ETAPA"</formula>
    </cfRule>
    <cfRule type="expression" dxfId="6098" priority="503">
      <formula>$H1053="CÉLULA CONSTRUTIVA"</formula>
    </cfRule>
  </conditionalFormatting>
  <conditionalFormatting sqref="L1060:L1063">
    <cfRule type="expression" dxfId="6097" priority="501">
      <formula>$H1060="ETAPA"</formula>
    </cfRule>
    <cfRule type="expression" dxfId="6096" priority="500">
      <formula>$H1060="CÉLULA CONSTRUTIVA"</formula>
    </cfRule>
    <cfRule type="expression" dxfId="6095" priority="499">
      <formula>$H1060="SUBETAPA"</formula>
    </cfRule>
  </conditionalFormatting>
  <conditionalFormatting sqref="L1066:L1067">
    <cfRule type="expression" dxfId="6094" priority="6935">
      <formula>$H1066="ETAPA"</formula>
    </cfRule>
    <cfRule type="expression" dxfId="6093" priority="6933">
      <formula>$H1066="SUBETAPA"</formula>
    </cfRule>
    <cfRule type="expression" dxfId="6092" priority="6934">
      <formula>$H1066="CÉLULA CONSTRUTIVA"</formula>
    </cfRule>
  </conditionalFormatting>
  <conditionalFormatting sqref="L1069">
    <cfRule type="expression" dxfId="6091" priority="496">
      <formula>$H1069="SUBETAPA"</formula>
    </cfRule>
    <cfRule type="expression" dxfId="6090" priority="497">
      <formula>$H1069="CÉLULA CONSTRUTIVA"</formula>
    </cfRule>
    <cfRule type="expression" dxfId="6089" priority="498">
      <formula>$H1069="ETAPA"</formula>
    </cfRule>
  </conditionalFormatting>
  <conditionalFormatting sqref="L1070">
    <cfRule type="expression" dxfId="6088" priority="492">
      <formula>$H1070="ETAPA"</formula>
    </cfRule>
    <cfRule type="expression" dxfId="6087" priority="491">
      <formula>$H1070="CÉLULA CONSTRUTIVA"</formula>
    </cfRule>
    <cfRule type="expression" dxfId="6086" priority="490">
      <formula>$H1070="SUBETAPA"</formula>
    </cfRule>
  </conditionalFormatting>
  <conditionalFormatting sqref="L1071">
    <cfRule type="expression" dxfId="6085" priority="495">
      <formula>$H1071="ETAPA"</formula>
    </cfRule>
    <cfRule type="expression" dxfId="6084" priority="494">
      <formula>$H1071="CÉLULA CONSTRUTIVA"</formula>
    </cfRule>
    <cfRule type="expression" dxfId="6083" priority="493">
      <formula>$H1071="SUBETAPA"</formula>
    </cfRule>
  </conditionalFormatting>
  <conditionalFormatting sqref="L1072">
    <cfRule type="expression" dxfId="6082" priority="489">
      <formula>$H1072="ETAPA"</formula>
    </cfRule>
    <cfRule type="expression" dxfId="6081" priority="488">
      <formula>$H1072="CÉLULA CONSTRUTIVA"</formula>
    </cfRule>
    <cfRule type="expression" dxfId="6080" priority="487">
      <formula>$H1072="SUBETAPA"</formula>
    </cfRule>
  </conditionalFormatting>
  <conditionalFormatting sqref="L1073">
    <cfRule type="expression" dxfId="6079" priority="484">
      <formula>$H1073="SUBETAPA"</formula>
    </cfRule>
    <cfRule type="expression" dxfId="6078" priority="485">
      <formula>$H1073="CÉLULA CONSTRUTIVA"</formula>
    </cfRule>
    <cfRule type="expression" dxfId="6077" priority="486">
      <formula>$H1073="ETAPA"</formula>
    </cfRule>
  </conditionalFormatting>
  <conditionalFormatting sqref="L1080:L1083">
    <cfRule type="expression" dxfId="6076" priority="481">
      <formula>$H1080="SUBETAPA"</formula>
    </cfRule>
    <cfRule type="expression" dxfId="6075" priority="482">
      <formula>$H1080="CÉLULA CONSTRUTIVA"</formula>
    </cfRule>
    <cfRule type="expression" dxfId="6074" priority="483">
      <formula>$H1080="ETAPA"</formula>
    </cfRule>
  </conditionalFormatting>
  <conditionalFormatting sqref="L1089">
    <cfRule type="expression" dxfId="6073" priority="478">
      <formula>$H1089="SUBETAPA"</formula>
    </cfRule>
    <cfRule type="expression" dxfId="6072" priority="479">
      <formula>$H1089="CÉLULA CONSTRUTIVA"</formula>
    </cfRule>
    <cfRule type="expression" dxfId="6071" priority="480">
      <formula>$H1089="ETAPA"</formula>
    </cfRule>
  </conditionalFormatting>
  <conditionalFormatting sqref="L1090">
    <cfRule type="expression" dxfId="6070" priority="474">
      <formula>$H1090="ETAPA"</formula>
    </cfRule>
    <cfRule type="expression" dxfId="6069" priority="473">
      <formula>$H1090="CÉLULA CONSTRUTIVA"</formula>
    </cfRule>
    <cfRule type="expression" dxfId="6068" priority="472">
      <formula>$H1090="SUBETAPA"</formula>
    </cfRule>
  </conditionalFormatting>
  <conditionalFormatting sqref="L1091">
    <cfRule type="expression" dxfId="6067" priority="476">
      <formula>$H1091="CÉLULA CONSTRUTIVA"</formula>
    </cfRule>
    <cfRule type="expression" dxfId="6066" priority="475">
      <formula>$H1091="SUBETAPA"</formula>
    </cfRule>
    <cfRule type="expression" dxfId="6065" priority="477">
      <formula>$H1091="ETAPA"</formula>
    </cfRule>
  </conditionalFormatting>
  <conditionalFormatting sqref="L1092">
    <cfRule type="expression" dxfId="6064" priority="469">
      <formula>$H1092="SUBETAPA"</formula>
    </cfRule>
    <cfRule type="expression" dxfId="6063" priority="471">
      <formula>$H1092="ETAPA"</formula>
    </cfRule>
    <cfRule type="expression" dxfId="6062" priority="470">
      <formula>$H1092="CÉLULA CONSTRUTIVA"</formula>
    </cfRule>
  </conditionalFormatting>
  <conditionalFormatting sqref="L1093">
    <cfRule type="expression" dxfId="6061" priority="466">
      <formula>$H1093="SUBETAPA"</formula>
    </cfRule>
    <cfRule type="expression" dxfId="6060" priority="467">
      <formula>$H1093="CÉLULA CONSTRUTIVA"</formula>
    </cfRule>
    <cfRule type="expression" dxfId="6059" priority="468">
      <formula>$H1093="ETAPA"</formula>
    </cfRule>
  </conditionalFormatting>
  <conditionalFormatting sqref="L1098 L1100:L1101">
    <cfRule type="expression" dxfId="6058" priority="463">
      <formula>$H1098="SUBETAPA"</formula>
    </cfRule>
    <cfRule type="expression" dxfId="6057" priority="464">
      <formula>$H1098="CÉLULA CONSTRUTIVA"</formula>
    </cfRule>
    <cfRule type="expression" dxfId="6056" priority="465">
      <formula>$H1098="ETAPA"</formula>
    </cfRule>
  </conditionalFormatting>
  <conditionalFormatting sqref="L1099">
    <cfRule type="expression" dxfId="6055" priority="138">
      <formula>$H1099="SUBETAPA"</formula>
    </cfRule>
    <cfRule type="expression" dxfId="6054" priority="140">
      <formula>$H1099="ETAPA"</formula>
    </cfRule>
    <cfRule type="expression" dxfId="6053" priority="139">
      <formula>$H1099="CÉLULA CONSTRUTIVA"</formula>
    </cfRule>
  </conditionalFormatting>
  <conditionalFormatting sqref="L1107">
    <cfRule type="expression" dxfId="6052" priority="458">
      <formula>$H1107="CÉLULA CONSTRUTIVA"</formula>
    </cfRule>
    <cfRule type="expression" dxfId="6051" priority="459">
      <formula>$H1107="ETAPA"</formula>
    </cfRule>
    <cfRule type="expression" dxfId="6050" priority="457">
      <formula>$H1107="SUBETAPA"</formula>
    </cfRule>
  </conditionalFormatting>
  <conditionalFormatting sqref="L1108">
    <cfRule type="expression" dxfId="6049" priority="450">
      <formula>$H1108="ETAPA"</formula>
    </cfRule>
    <cfRule type="expression" dxfId="6048" priority="449">
      <formula>$H1108="CÉLULA CONSTRUTIVA"</formula>
    </cfRule>
    <cfRule type="expression" dxfId="6047" priority="448">
      <formula>$H1108="SUBETAPA"</formula>
    </cfRule>
    <cfRule type="expression" dxfId="6046" priority="461">
      <formula>$H1108="CÉLULA CONSTRUTIVA"</formula>
    </cfRule>
    <cfRule type="expression" dxfId="6045" priority="462">
      <formula>$H1108="ETAPA"</formula>
    </cfRule>
    <cfRule type="expression" dxfId="6044" priority="460">
      <formula>$H1108="SUBETAPA"</formula>
    </cfRule>
  </conditionalFormatting>
  <conditionalFormatting sqref="L1109">
    <cfRule type="expression" dxfId="6043" priority="447">
      <formula>$H1109="ETAPA"</formula>
    </cfRule>
    <cfRule type="expression" dxfId="6042" priority="455">
      <formula>$H1109="CÉLULA CONSTRUTIVA"</formula>
    </cfRule>
    <cfRule type="expression" dxfId="6041" priority="445">
      <formula>$H1109="SUBETAPA"</formula>
    </cfRule>
    <cfRule type="expression" dxfId="6040" priority="446">
      <formula>$H1109="CÉLULA CONSTRUTIVA"</formula>
    </cfRule>
    <cfRule type="expression" dxfId="6039" priority="454">
      <formula>$H1109="SUBETAPA"</formula>
    </cfRule>
    <cfRule type="expression" dxfId="6038" priority="456">
      <formula>$H1109="ETAPA"</formula>
    </cfRule>
  </conditionalFormatting>
  <conditionalFormatting sqref="L1110">
    <cfRule type="expression" dxfId="6037" priority="451">
      <formula>$H1110="SUBETAPA"</formula>
    </cfRule>
    <cfRule type="expression" dxfId="6036" priority="452">
      <formula>$H1110="CÉLULA CONSTRUTIVA"</formula>
    </cfRule>
    <cfRule type="expression" dxfId="6035" priority="453">
      <formula>$H1110="ETAPA"</formula>
    </cfRule>
  </conditionalFormatting>
  <conditionalFormatting sqref="L1115:L1117">
    <cfRule type="expression" dxfId="6034" priority="444">
      <formula>$H1115="ETAPA"</formula>
    </cfRule>
    <cfRule type="expression" dxfId="6033" priority="443">
      <formula>$H1115="CÉLULA CONSTRUTIVA"</formula>
    </cfRule>
    <cfRule type="expression" dxfId="6032" priority="442">
      <formula>$H1115="SUBETAPA"</formula>
    </cfRule>
  </conditionalFormatting>
  <conditionalFormatting sqref="L1123:L1125">
    <cfRule type="expression" dxfId="6031" priority="440">
      <formula>$H1123="CÉLULA CONSTRUTIVA"</formula>
    </cfRule>
    <cfRule type="expression" dxfId="6030" priority="439">
      <formula>$H1123="SUBETAPA"</formula>
    </cfRule>
    <cfRule type="expression" dxfId="6029" priority="441">
      <formula>$H1123="ETAPA"</formula>
    </cfRule>
  </conditionalFormatting>
  <conditionalFormatting sqref="L1130:L1133">
    <cfRule type="expression" dxfId="6028" priority="436">
      <formula>$H1130="SUBETAPA"</formula>
    </cfRule>
    <cfRule type="expression" dxfId="6027" priority="438">
      <formula>$H1130="ETAPA"</formula>
    </cfRule>
    <cfRule type="expression" dxfId="6026" priority="437">
      <formula>$H1130="CÉLULA CONSTRUTIVA"</formula>
    </cfRule>
  </conditionalFormatting>
  <conditionalFormatting sqref="L1139">
    <cfRule type="expression" dxfId="6025" priority="435">
      <formula>$H1139="ETAPA"</formula>
    </cfRule>
    <cfRule type="expression" dxfId="6024" priority="433">
      <formula>$H1139="SUBETAPA"</formula>
    </cfRule>
    <cfRule type="expression" dxfId="6023" priority="434">
      <formula>$H1139="CÉLULA CONSTRUTIVA"</formula>
    </cfRule>
  </conditionalFormatting>
  <conditionalFormatting sqref="L1140">
    <cfRule type="expression" dxfId="6022" priority="427">
      <formula>$H1140="SUBETAPA"</formula>
    </cfRule>
    <cfRule type="expression" dxfId="6021" priority="428">
      <formula>$H1140="CÉLULA CONSTRUTIVA"</formula>
    </cfRule>
    <cfRule type="expression" dxfId="6020" priority="429">
      <formula>$H1140="ETAPA"</formula>
    </cfRule>
  </conditionalFormatting>
  <conditionalFormatting sqref="L1141">
    <cfRule type="expression" dxfId="6019" priority="430">
      <formula>$H1141="SUBETAPA"</formula>
    </cfRule>
    <cfRule type="expression" dxfId="6018" priority="431">
      <formula>$H1141="CÉLULA CONSTRUTIVA"</formula>
    </cfRule>
    <cfRule type="expression" dxfId="6017" priority="432">
      <formula>$H1141="ETAPA"</formula>
    </cfRule>
  </conditionalFormatting>
  <conditionalFormatting sqref="L1144:L1145">
    <cfRule type="expression" dxfId="6016" priority="416">
      <formula>$H1144="CÉLULA CONSTRUTIVA"</formula>
    </cfRule>
    <cfRule type="expression" dxfId="6015" priority="417">
      <formula>$H1144="ETAPA"</formula>
    </cfRule>
    <cfRule type="expression" dxfId="6014" priority="415">
      <formula>$H1144="SUBETAPA"</formula>
    </cfRule>
  </conditionalFormatting>
  <conditionalFormatting sqref="L1147:L1149">
    <cfRule type="expression" dxfId="6013" priority="413">
      <formula>$H1147="CÉLULA CONSTRUTIVA"</formula>
    </cfRule>
    <cfRule type="expression" dxfId="6012" priority="412">
      <formula>$H1147="SUBETAPA"</formula>
    </cfRule>
    <cfRule type="expression" dxfId="6011" priority="414">
      <formula>$H1147="ETAPA"</formula>
    </cfRule>
  </conditionalFormatting>
  <conditionalFormatting sqref="L1216">
    <cfRule type="expression" dxfId="6010" priority="3341">
      <formula>$H1216="CÉLULA CONSTRUTIVA"</formula>
    </cfRule>
    <cfRule type="expression" dxfId="6009" priority="3342">
      <formula>$H1216="ETAPA"</formula>
    </cfRule>
    <cfRule type="expression" dxfId="6008" priority="3340">
      <formula>$H1216="SUBETAPA"</formula>
    </cfRule>
  </conditionalFormatting>
  <conditionalFormatting sqref="L1233">
    <cfRule type="expression" dxfId="6007" priority="3337">
      <formula>$H1233="SUBETAPA"</formula>
    </cfRule>
    <cfRule type="expression" dxfId="6006" priority="3339">
      <formula>$H1233="ETAPA"</formula>
    </cfRule>
    <cfRule type="expression" dxfId="6005" priority="3338">
      <formula>$H1233="CÉLULA CONSTRUTIVA"</formula>
    </cfRule>
  </conditionalFormatting>
  <conditionalFormatting sqref="L1237">
    <cfRule type="expression" dxfId="6004" priority="3318">
      <formula>$H1237="ETAPA"</formula>
    </cfRule>
    <cfRule type="expression" dxfId="6003" priority="3317">
      <formula>$H1237="CÉLULA CONSTRUTIVA"</formula>
    </cfRule>
    <cfRule type="expression" dxfId="6002" priority="3316">
      <formula>$H1237="SUBETAPA"</formula>
    </cfRule>
  </conditionalFormatting>
  <conditionalFormatting sqref="L1240">
    <cfRule type="expression" dxfId="6001" priority="3324">
      <formula>$H1240="ETAPA"</formula>
    </cfRule>
    <cfRule type="expression" dxfId="6000" priority="3323">
      <formula>$H1240="CÉLULA CONSTRUTIVA"</formula>
    </cfRule>
    <cfRule type="expression" dxfId="5999" priority="3322">
      <formula>$H1240="SUBETAPA"</formula>
    </cfRule>
  </conditionalFormatting>
  <conditionalFormatting sqref="L1250:L1252">
    <cfRule type="expression" dxfId="5998" priority="3330">
      <formula>$H1250="ETAPA"</formula>
    </cfRule>
    <cfRule type="expression" dxfId="5997" priority="3329">
      <formula>$H1250="CÉLULA CONSTRUTIVA"</formula>
    </cfRule>
    <cfRule type="expression" dxfId="5996" priority="3328">
      <formula>$H1250="SUBETAPA"</formula>
    </cfRule>
  </conditionalFormatting>
  <conditionalFormatting sqref="L1255">
    <cfRule type="expression" dxfId="5995" priority="3336">
      <formula>$H1255="ETAPA"</formula>
    </cfRule>
    <cfRule type="expression" dxfId="5994" priority="3335">
      <formula>$H1255="CÉLULA CONSTRUTIVA"</formula>
    </cfRule>
    <cfRule type="expression" dxfId="5993" priority="3334">
      <formula>$H1255="SUBETAPA"</formula>
    </cfRule>
  </conditionalFormatting>
  <conditionalFormatting sqref="L1259">
    <cfRule type="expression" dxfId="5992" priority="3313">
      <formula>$H1259="SUBETAPA"</formula>
    </cfRule>
    <cfRule type="expression" dxfId="5991" priority="3314">
      <formula>$H1259="CÉLULA CONSTRUTIVA"</formula>
    </cfRule>
    <cfRule type="expression" dxfId="5990" priority="3315">
      <formula>$H1259="ETAPA"</formula>
    </cfRule>
  </conditionalFormatting>
  <conditionalFormatting sqref="L1262">
    <cfRule type="expression" dxfId="5989" priority="3319">
      <formula>$H1262="SUBETAPA"</formula>
    </cfRule>
    <cfRule type="expression" dxfId="5988" priority="3320">
      <formula>$H1262="CÉLULA CONSTRUTIVA"</formula>
    </cfRule>
    <cfRule type="expression" dxfId="5987" priority="3321">
      <formula>$H1262="ETAPA"</formula>
    </cfRule>
  </conditionalFormatting>
  <conditionalFormatting sqref="L1270:L1272">
    <cfRule type="expression" dxfId="5986" priority="3327">
      <formula>$H1270="ETAPA"</formula>
    </cfRule>
    <cfRule type="expression" dxfId="5985" priority="3326">
      <formula>$H1270="CÉLULA CONSTRUTIVA"</formula>
    </cfRule>
    <cfRule type="expression" dxfId="5984" priority="3325">
      <formula>$H1270="SUBETAPA"</formula>
    </cfRule>
  </conditionalFormatting>
  <conditionalFormatting sqref="M12:M25 M125 M127:M129 M131:M185 M188:M201 M27:M123">
    <cfRule type="expression" dxfId="5983" priority="864">
      <formula>$H12="SUBETAPA"</formula>
    </cfRule>
    <cfRule type="expression" dxfId="5982" priority="865">
      <formula>$H12="CÉLULA CONSTRUTIVA"</formula>
    </cfRule>
    <cfRule type="expression" dxfId="5981" priority="866">
      <formula>$H12="ETAPA"</formula>
    </cfRule>
  </conditionalFormatting>
  <conditionalFormatting sqref="M26">
    <cfRule type="expression" dxfId="5980" priority="632">
      <formula>$H26="CÉLULA CONSTRUTIVA"</formula>
    </cfRule>
    <cfRule type="expression" dxfId="5979" priority="631">
      <formula>$H26="SUBETAPA"</formula>
    </cfRule>
    <cfRule type="expression" dxfId="5978" priority="633">
      <formula>$H26="ETAPA"</formula>
    </cfRule>
  </conditionalFormatting>
  <conditionalFormatting sqref="M124">
    <cfRule type="expression" dxfId="5977" priority="126">
      <formula>$H124="SUBETAPA"</formula>
    </cfRule>
    <cfRule type="expression" dxfId="5976" priority="127">
      <formula>$H124="CÉLULA CONSTRUTIVA"</formula>
    </cfRule>
    <cfRule type="expression" dxfId="5975" priority="128">
      <formula>$H124="ETAPA"</formula>
    </cfRule>
  </conditionalFormatting>
  <conditionalFormatting sqref="M126">
    <cfRule type="expression" dxfId="5974" priority="119">
      <formula>$H126="ETAPA"</formula>
    </cfRule>
    <cfRule type="expression" dxfId="5973" priority="118">
      <formula>$H126="CÉLULA CONSTRUTIVA"</formula>
    </cfRule>
    <cfRule type="expression" dxfId="5972" priority="117">
      <formula>$H126="SUBETAPA"</formula>
    </cfRule>
  </conditionalFormatting>
  <conditionalFormatting sqref="M130">
    <cfRule type="expression" dxfId="5971" priority="105">
      <formula>$H130="SUBETAPA"</formula>
    </cfRule>
    <cfRule type="expression" dxfId="5970" priority="106">
      <formula>$H130="CÉLULA CONSTRUTIVA"</formula>
    </cfRule>
    <cfRule type="expression" dxfId="5969" priority="107">
      <formula>$H130="ETAPA"</formula>
    </cfRule>
  </conditionalFormatting>
  <conditionalFormatting sqref="M186:M187">
    <cfRule type="expression" dxfId="5968" priority="85">
      <formula>$H186="SUBETAPA"</formula>
    </cfRule>
    <cfRule type="expression" dxfId="5967" priority="86">
      <formula>$H186="CÉLULA CONSTRUTIVA"</formula>
    </cfRule>
    <cfRule type="expression" dxfId="5966" priority="87">
      <formula>$H186="ETAPA"</formula>
    </cfRule>
  </conditionalFormatting>
  <conditionalFormatting sqref="M212:M213">
    <cfRule type="expression" dxfId="5965" priority="6069">
      <formula>$H212="SUBETAPA"</formula>
    </cfRule>
    <cfRule type="expression" dxfId="5964" priority="6070">
      <formula>$H212="CÉLULA CONSTRUTIVA"</formula>
    </cfRule>
    <cfRule type="expression" dxfId="5963" priority="6071">
      <formula>$H212="ETAPA"</formula>
    </cfRule>
  </conditionalFormatting>
  <conditionalFormatting sqref="M217">
    <cfRule type="expression" dxfId="5962" priority="6068">
      <formula>$H217="ETAPA"</formula>
    </cfRule>
    <cfRule type="expression" dxfId="5961" priority="6067">
      <formula>$H217="CÉLULA CONSTRUTIVA"</formula>
    </cfRule>
    <cfRule type="expression" dxfId="5960" priority="6066">
      <formula>$H217="SUBETAPA"</formula>
    </cfRule>
  </conditionalFormatting>
  <conditionalFormatting sqref="M220">
    <cfRule type="expression" dxfId="5959" priority="6065">
      <formula>$H220="ETAPA"</formula>
    </cfRule>
    <cfRule type="expression" dxfId="5958" priority="6063">
      <formula>$H220="SUBETAPA"</formula>
    </cfRule>
    <cfRule type="expression" dxfId="5957" priority="6064">
      <formula>$H220="CÉLULA CONSTRUTIVA"</formula>
    </cfRule>
  </conditionalFormatting>
  <conditionalFormatting sqref="M222:M224">
    <cfRule type="expression" dxfId="5956" priority="6060">
      <formula>$H222="SUBETAPA"</formula>
    </cfRule>
    <cfRule type="expression" dxfId="5955" priority="6062">
      <formula>$H222="ETAPA"</formula>
    </cfRule>
    <cfRule type="expression" dxfId="5954" priority="6061">
      <formula>$H222="CÉLULA CONSTRUTIVA"</formula>
    </cfRule>
  </conditionalFormatting>
  <conditionalFormatting sqref="M226">
    <cfRule type="expression" dxfId="5953" priority="6057">
      <formula>$H226="SUBETAPA"</formula>
    </cfRule>
    <cfRule type="expression" dxfId="5952" priority="6058">
      <formula>$H226="CÉLULA CONSTRUTIVA"</formula>
    </cfRule>
    <cfRule type="expression" dxfId="5951" priority="6059">
      <formula>$H226="ETAPA"</formula>
    </cfRule>
  </conditionalFormatting>
  <conditionalFormatting sqref="M229:M230">
    <cfRule type="expression" dxfId="5950" priority="6054">
      <formula>$H229="SUBETAPA"</formula>
    </cfRule>
    <cfRule type="expression" dxfId="5949" priority="6056">
      <formula>$H229="ETAPA"</formula>
    </cfRule>
    <cfRule type="expression" dxfId="5948" priority="6055">
      <formula>$H229="CÉLULA CONSTRUTIVA"</formula>
    </cfRule>
  </conditionalFormatting>
  <conditionalFormatting sqref="M232:M233">
    <cfRule type="expression" dxfId="5947" priority="6052">
      <formula>$H232="CÉLULA CONSTRUTIVA"</formula>
    </cfRule>
    <cfRule type="expression" dxfId="5946" priority="6053">
      <formula>$H232="ETAPA"</formula>
    </cfRule>
    <cfRule type="expression" dxfId="5945" priority="6051">
      <formula>$H232="SUBETAPA"</formula>
    </cfRule>
  </conditionalFormatting>
  <conditionalFormatting sqref="M235">
    <cfRule type="expression" dxfId="5944" priority="6048">
      <formula>$H235="SUBETAPA"</formula>
    </cfRule>
    <cfRule type="expression" dxfId="5943" priority="6050">
      <formula>$H235="ETAPA"</formula>
    </cfRule>
    <cfRule type="expression" dxfId="5942" priority="6049">
      <formula>$H235="CÉLULA CONSTRUTIVA"</formula>
    </cfRule>
  </conditionalFormatting>
  <conditionalFormatting sqref="M237">
    <cfRule type="expression" dxfId="5941" priority="6047">
      <formula>$H237="ETAPA"</formula>
    </cfRule>
    <cfRule type="expression" dxfId="5940" priority="6046">
      <formula>$H237="CÉLULA CONSTRUTIVA"</formula>
    </cfRule>
    <cfRule type="expression" dxfId="5939" priority="6045">
      <formula>$H237="SUBETAPA"</formula>
    </cfRule>
  </conditionalFormatting>
  <conditionalFormatting sqref="M241">
    <cfRule type="expression" dxfId="5938" priority="4718">
      <formula>$H241="CÉLULA CONSTRUTIVA"</formula>
    </cfRule>
    <cfRule type="expression" dxfId="5937" priority="4717">
      <formula>$H241="SUBETAPA"</formula>
    </cfRule>
    <cfRule type="expression" dxfId="5936" priority="4719">
      <formula>$H241="ETAPA"</formula>
    </cfRule>
  </conditionalFormatting>
  <conditionalFormatting sqref="M242">
    <cfRule type="expression" dxfId="5935" priority="4704">
      <formula>$H242="CÉLULA CONSTRUTIVA"</formula>
    </cfRule>
    <cfRule type="expression" dxfId="5934" priority="4703">
      <formula>$H242="SUBETAPA"</formula>
    </cfRule>
    <cfRule type="expression" dxfId="5933" priority="4705">
      <formula>$H242="ETAPA"</formula>
    </cfRule>
  </conditionalFormatting>
  <conditionalFormatting sqref="M244:M249">
    <cfRule type="expression" dxfId="5932" priority="6039">
      <formula>$H244="SUBETAPA"</formula>
    </cfRule>
    <cfRule type="expression" dxfId="5931" priority="6040">
      <formula>$H244="CÉLULA CONSTRUTIVA"</formula>
    </cfRule>
    <cfRule type="expression" dxfId="5930" priority="6041">
      <formula>$H244="ETAPA"</formula>
    </cfRule>
  </conditionalFormatting>
  <conditionalFormatting sqref="M251">
    <cfRule type="expression" dxfId="5929" priority="6036">
      <formula>$H251="SUBETAPA"</formula>
    </cfRule>
    <cfRule type="expression" dxfId="5928" priority="6037">
      <formula>$H251="CÉLULA CONSTRUTIVA"</formula>
    </cfRule>
    <cfRule type="expression" dxfId="5927" priority="6038">
      <formula>$H251="ETAPA"</formula>
    </cfRule>
  </conditionalFormatting>
  <conditionalFormatting sqref="M253">
    <cfRule type="expression" dxfId="5926" priority="6033">
      <formula>$H253="SUBETAPA"</formula>
    </cfRule>
    <cfRule type="expression" dxfId="5925" priority="6034">
      <formula>$H253="CÉLULA CONSTRUTIVA"</formula>
    </cfRule>
    <cfRule type="expression" dxfId="5924" priority="6035">
      <formula>$H253="ETAPA"</formula>
    </cfRule>
  </conditionalFormatting>
  <conditionalFormatting sqref="M257:M260">
    <cfRule type="expression" dxfId="5923" priority="6025">
      <formula>$H257="CÉLULA CONSTRUTIVA"</formula>
    </cfRule>
    <cfRule type="expression" dxfId="5922" priority="6026">
      <formula>$H257="ETAPA"</formula>
    </cfRule>
    <cfRule type="expression" dxfId="5921" priority="6024">
      <formula>$H257="SUBETAPA"</formula>
    </cfRule>
  </conditionalFormatting>
  <conditionalFormatting sqref="M262:M267">
    <cfRule type="expression" dxfId="5920" priority="6021">
      <formula>$H262="SUBETAPA"</formula>
    </cfRule>
    <cfRule type="expression" dxfId="5919" priority="6023">
      <formula>$H262="ETAPA"</formula>
    </cfRule>
    <cfRule type="expression" dxfId="5918" priority="6022">
      <formula>$H262="CÉLULA CONSTRUTIVA"</formula>
    </cfRule>
  </conditionalFormatting>
  <conditionalFormatting sqref="M270">
    <cfRule type="expression" dxfId="5917" priority="6019">
      <formula>$H270="CÉLULA CONSTRUTIVA"</formula>
    </cfRule>
    <cfRule type="expression" dxfId="5916" priority="6020">
      <formula>$H270="ETAPA"</formula>
    </cfRule>
    <cfRule type="expression" dxfId="5915" priority="6018">
      <formula>$H270="SUBETAPA"</formula>
    </cfRule>
  </conditionalFormatting>
  <conditionalFormatting sqref="M278:M281">
    <cfRule type="expression" dxfId="5914" priority="6010">
      <formula>$H278="CÉLULA CONSTRUTIVA"</formula>
    </cfRule>
    <cfRule type="expression" dxfId="5913" priority="6009">
      <formula>$H278="SUBETAPA"</formula>
    </cfRule>
    <cfRule type="expression" dxfId="5912" priority="6011">
      <formula>$H278="ETAPA"</formula>
    </cfRule>
  </conditionalFormatting>
  <conditionalFormatting sqref="M283:M288">
    <cfRule type="expression" dxfId="5911" priority="6008">
      <formula>$H283="ETAPA"</formula>
    </cfRule>
    <cfRule type="expression" dxfId="5910" priority="6006">
      <formula>$H283="SUBETAPA"</formula>
    </cfRule>
    <cfRule type="expression" dxfId="5909" priority="6007">
      <formula>$H283="CÉLULA CONSTRUTIVA"</formula>
    </cfRule>
  </conditionalFormatting>
  <conditionalFormatting sqref="M291">
    <cfRule type="expression" dxfId="5908" priority="6005">
      <formula>$H291="ETAPA"</formula>
    </cfRule>
    <cfRule type="expression" dxfId="5907" priority="6004">
      <formula>$H291="CÉLULA CONSTRUTIVA"</formula>
    </cfRule>
    <cfRule type="expression" dxfId="5906" priority="6003">
      <formula>$H291="SUBETAPA"</formula>
    </cfRule>
  </conditionalFormatting>
  <conditionalFormatting sqref="M293">
    <cfRule type="expression" dxfId="5905" priority="4667">
      <formula>$H293="ETAPA"</formula>
    </cfRule>
    <cfRule type="expression" dxfId="5904" priority="4666">
      <formula>$H293="CÉLULA CONSTRUTIVA"</formula>
    </cfRule>
    <cfRule type="expression" dxfId="5903" priority="4665">
      <formula>$H293="SUBETAPA"</formula>
    </cfRule>
  </conditionalFormatting>
  <conditionalFormatting sqref="M298:M301">
    <cfRule type="expression" dxfId="5902" priority="5996">
      <formula>$H298="ETAPA"</formula>
    </cfRule>
    <cfRule type="expression" dxfId="5901" priority="5995">
      <formula>$H298="CÉLULA CONSTRUTIVA"</formula>
    </cfRule>
    <cfRule type="expression" dxfId="5900" priority="5994">
      <formula>$H298="SUBETAPA"</formula>
    </cfRule>
  </conditionalFormatting>
  <conditionalFormatting sqref="M303:M308">
    <cfRule type="expression" dxfId="5899" priority="5987">
      <formula>$H303="ETAPA"</formula>
    </cfRule>
    <cfRule type="expression" dxfId="5898" priority="5986">
      <formula>$H303="CÉLULA CONSTRUTIVA"</formula>
    </cfRule>
    <cfRule type="expression" dxfId="5897" priority="5985">
      <formula>$H303="SUBETAPA"</formula>
    </cfRule>
  </conditionalFormatting>
  <conditionalFormatting sqref="M311">
    <cfRule type="expression" dxfId="5896" priority="5984">
      <formula>$H311="ETAPA"</formula>
    </cfRule>
    <cfRule type="expression" dxfId="5895" priority="5983">
      <formula>$H311="CÉLULA CONSTRUTIVA"</formula>
    </cfRule>
    <cfRule type="expression" dxfId="5894" priority="5982">
      <formula>$H311="SUBETAPA"</formula>
    </cfRule>
  </conditionalFormatting>
  <conditionalFormatting sqref="M313">
    <cfRule type="expression" dxfId="5893" priority="4662">
      <formula>$H313="SUBETAPA"</formula>
    </cfRule>
    <cfRule type="expression" dxfId="5892" priority="4663">
      <formula>$H313="CÉLULA CONSTRUTIVA"</formula>
    </cfRule>
    <cfRule type="expression" dxfId="5891" priority="4664">
      <formula>$H313="ETAPA"</formula>
    </cfRule>
  </conditionalFormatting>
  <conditionalFormatting sqref="M318:M320">
    <cfRule type="expression" dxfId="5890" priority="5981">
      <formula>$H318="ETAPA"</formula>
    </cfRule>
    <cfRule type="expression" dxfId="5889" priority="5979">
      <formula>$H318="SUBETAPA"</formula>
    </cfRule>
    <cfRule type="expression" dxfId="5888" priority="5980">
      <formula>$H318="CÉLULA CONSTRUTIVA"</formula>
    </cfRule>
  </conditionalFormatting>
  <conditionalFormatting sqref="M321">
    <cfRule type="expression" dxfId="5887" priority="5271">
      <formula>$H321="SUBETAPA"</formula>
    </cfRule>
    <cfRule type="expression" dxfId="5886" priority="5272">
      <formula>$H321="CÉLULA CONSTRUTIVA"</formula>
    </cfRule>
    <cfRule type="expression" dxfId="5885" priority="5273">
      <formula>$H321="ETAPA"</formula>
    </cfRule>
  </conditionalFormatting>
  <conditionalFormatting sqref="M331">
    <cfRule type="expression" dxfId="5884" priority="5973">
      <formula>$H331="SUBETAPA"</formula>
    </cfRule>
    <cfRule type="expression" dxfId="5883" priority="5974">
      <formula>$H331="CÉLULA CONSTRUTIVA"</formula>
    </cfRule>
    <cfRule type="expression" dxfId="5882" priority="5975">
      <formula>$H331="ETAPA"</formula>
    </cfRule>
  </conditionalFormatting>
  <conditionalFormatting sqref="M333">
    <cfRule type="expression" dxfId="5881" priority="4661">
      <formula>$H333="ETAPA"</formula>
    </cfRule>
    <cfRule type="expression" dxfId="5880" priority="4660">
      <formula>$H333="CÉLULA CONSTRUTIVA"</formula>
    </cfRule>
    <cfRule type="expression" dxfId="5879" priority="4659">
      <formula>$H333="SUBETAPA"</formula>
    </cfRule>
  </conditionalFormatting>
  <conditionalFormatting sqref="M338:M340">
    <cfRule type="expression" dxfId="5878" priority="5965">
      <formula>$H338="CÉLULA CONSTRUTIVA"</formula>
    </cfRule>
    <cfRule type="expression" dxfId="5877" priority="5966">
      <formula>$H338="ETAPA"</formula>
    </cfRule>
    <cfRule type="expression" dxfId="5876" priority="5964">
      <formula>$H338="SUBETAPA"</formula>
    </cfRule>
  </conditionalFormatting>
  <conditionalFormatting sqref="M341">
    <cfRule type="expression" dxfId="5875" priority="5260">
      <formula>$H341="SUBETAPA"</formula>
    </cfRule>
    <cfRule type="expression" dxfId="5874" priority="5261">
      <formula>$H341="CÉLULA CONSTRUTIVA"</formula>
    </cfRule>
    <cfRule type="expression" dxfId="5873" priority="5262">
      <formula>$H341="ETAPA"</formula>
    </cfRule>
  </conditionalFormatting>
  <conditionalFormatting sqref="M343:M348">
    <cfRule type="expression" dxfId="5872" priority="5963">
      <formula>$H343="ETAPA"</formula>
    </cfRule>
    <cfRule type="expression" dxfId="5871" priority="5961">
      <formula>$H343="SUBETAPA"</formula>
    </cfRule>
    <cfRule type="expression" dxfId="5870" priority="5962">
      <formula>$H343="CÉLULA CONSTRUTIVA"</formula>
    </cfRule>
  </conditionalFormatting>
  <conditionalFormatting sqref="M351">
    <cfRule type="expression" dxfId="5869" priority="5960">
      <formula>$H351="ETAPA"</formula>
    </cfRule>
    <cfRule type="expression" dxfId="5868" priority="5958">
      <formula>$H351="SUBETAPA"</formula>
    </cfRule>
    <cfRule type="expression" dxfId="5867" priority="5959">
      <formula>$H351="CÉLULA CONSTRUTIVA"</formula>
    </cfRule>
  </conditionalFormatting>
  <conditionalFormatting sqref="M353">
    <cfRule type="expression" dxfId="5866" priority="4657">
      <formula>$H353="CÉLULA CONSTRUTIVA"</formula>
    </cfRule>
    <cfRule type="expression" dxfId="5865" priority="4658">
      <formula>$H353="ETAPA"</formula>
    </cfRule>
    <cfRule type="expression" dxfId="5864" priority="4656">
      <formula>$H353="SUBETAPA"</formula>
    </cfRule>
  </conditionalFormatting>
  <conditionalFormatting sqref="M358:M361">
    <cfRule type="expression" dxfId="5863" priority="5251">
      <formula>$H358="ETAPA"</formula>
    </cfRule>
    <cfRule type="expression" dxfId="5862" priority="5250">
      <formula>$H358="CÉLULA CONSTRUTIVA"</formula>
    </cfRule>
    <cfRule type="expression" dxfId="5861" priority="5249">
      <formula>$H358="SUBETAPA"</formula>
    </cfRule>
  </conditionalFormatting>
  <conditionalFormatting sqref="M370">
    <cfRule type="expression" dxfId="5860" priority="4623">
      <formula>$H370="SUBETAPA"</formula>
    </cfRule>
    <cfRule type="expression" dxfId="5859" priority="4624">
      <formula>$H370="CÉLULA CONSTRUTIVA"</formula>
    </cfRule>
    <cfRule type="expression" dxfId="5858" priority="4625">
      <formula>$H370="ETAPA"</formula>
    </cfRule>
  </conditionalFormatting>
  <conditionalFormatting sqref="M372">
    <cfRule type="expression" dxfId="5857" priority="4621">
      <formula>$H372="CÉLULA CONSTRUTIVA"</formula>
    </cfRule>
    <cfRule type="expression" dxfId="5856" priority="4622">
      <formula>$H372="ETAPA"</formula>
    </cfRule>
    <cfRule type="expression" dxfId="5855" priority="4620">
      <formula>$H372="SUBETAPA"</formula>
    </cfRule>
  </conditionalFormatting>
  <conditionalFormatting sqref="M377:M379">
    <cfRule type="expression" dxfId="5854" priority="4636">
      <formula>$H377="CÉLULA CONSTRUTIVA"</formula>
    </cfRule>
    <cfRule type="expression" dxfId="5853" priority="4637">
      <formula>$H377="ETAPA"</formula>
    </cfRule>
    <cfRule type="expression" dxfId="5852" priority="4635">
      <formula>$H377="SUBETAPA"</formula>
    </cfRule>
  </conditionalFormatting>
  <conditionalFormatting sqref="M381:M385">
    <cfRule type="expression" dxfId="5851" priority="4634">
      <formula>$H381="ETAPA"</formula>
    </cfRule>
    <cfRule type="expression" dxfId="5850" priority="4633">
      <formula>$H381="CÉLULA CONSTRUTIVA"</formula>
    </cfRule>
    <cfRule type="expression" dxfId="5849" priority="4632">
      <formula>$H381="SUBETAPA"</formula>
    </cfRule>
  </conditionalFormatting>
  <conditionalFormatting sqref="M387">
    <cfRule type="expression" dxfId="5848" priority="4629">
      <formula>$H387="SUBETAPA"</formula>
    </cfRule>
    <cfRule type="expression" dxfId="5847" priority="4630">
      <formula>$H387="CÉLULA CONSTRUTIVA"</formula>
    </cfRule>
    <cfRule type="expression" dxfId="5846" priority="4631">
      <formula>$H387="ETAPA"</formula>
    </cfRule>
  </conditionalFormatting>
  <conditionalFormatting sqref="M393:M394">
    <cfRule type="expression" dxfId="5845" priority="5949">
      <formula>$H393="SUBETAPA"</formula>
    </cfRule>
    <cfRule type="expression" dxfId="5844" priority="5950">
      <formula>$H393="CÉLULA CONSTRUTIVA"</formula>
    </cfRule>
    <cfRule type="expression" dxfId="5843" priority="5951">
      <formula>$H393="ETAPA"</formula>
    </cfRule>
  </conditionalFormatting>
  <conditionalFormatting sqref="M395 M397 M401">
    <cfRule type="expression" dxfId="5842" priority="11434">
      <formula>$H395="CÉLULA CONSTRUTIVA"</formula>
    </cfRule>
    <cfRule type="expression" dxfId="5841" priority="11435">
      <formula>$H395="ETAPA"</formula>
    </cfRule>
  </conditionalFormatting>
  <conditionalFormatting sqref="M396">
    <cfRule type="expression" dxfId="5840" priority="5946">
      <formula>$H396="SUBETAPA"</formula>
    </cfRule>
    <cfRule type="expression" dxfId="5839" priority="5948">
      <formula>$H396="ETAPA"</formula>
    </cfRule>
    <cfRule type="expression" dxfId="5838" priority="5947">
      <formula>$H396="CÉLULA CONSTRUTIVA"</formula>
    </cfRule>
  </conditionalFormatting>
  <conditionalFormatting sqref="M398:M400">
    <cfRule type="expression" dxfId="5837" priority="5945">
      <formula>$H398="ETAPA"</formula>
    </cfRule>
    <cfRule type="expression" dxfId="5836" priority="5943">
      <formula>$H398="SUBETAPA"</formula>
    </cfRule>
    <cfRule type="expression" dxfId="5835" priority="5944">
      <formula>$H398="CÉLULA CONSTRUTIVA"</formula>
    </cfRule>
  </conditionalFormatting>
  <conditionalFormatting sqref="M402:M403">
    <cfRule type="expression" dxfId="5834" priority="5942">
      <formula>$H402="ETAPA"</formula>
    </cfRule>
    <cfRule type="expression" dxfId="5833" priority="5941">
      <formula>$H402="CÉLULA CONSTRUTIVA"</formula>
    </cfRule>
    <cfRule type="expression" dxfId="5832" priority="5940">
      <formula>$H402="SUBETAPA"</formula>
    </cfRule>
  </conditionalFormatting>
  <conditionalFormatting sqref="M406:M408">
    <cfRule type="expression" dxfId="5831" priority="5939">
      <formula>$H406="ETAPA"</formula>
    </cfRule>
    <cfRule type="expression" dxfId="5830" priority="5938">
      <formula>$H406="CÉLULA CONSTRUTIVA"</formula>
    </cfRule>
    <cfRule type="expression" dxfId="5829" priority="5937">
      <formula>$H406="SUBETAPA"</formula>
    </cfRule>
  </conditionalFormatting>
  <conditionalFormatting sqref="M410">
    <cfRule type="expression" dxfId="5828" priority="5936">
      <formula>$H410="ETAPA"</formula>
    </cfRule>
    <cfRule type="expression" dxfId="5827" priority="5935">
      <formula>$H410="CÉLULA CONSTRUTIVA"</formula>
    </cfRule>
    <cfRule type="expression" dxfId="5826" priority="5934">
      <formula>$H410="SUBETAPA"</formula>
    </cfRule>
  </conditionalFormatting>
  <conditionalFormatting sqref="M412:M414">
    <cfRule type="expression" dxfId="5825" priority="5933">
      <formula>$H412="ETAPA"</formula>
    </cfRule>
    <cfRule type="expression" dxfId="5824" priority="5931">
      <formula>$H412="SUBETAPA"</formula>
    </cfRule>
    <cfRule type="expression" dxfId="5823" priority="5932">
      <formula>$H412="CÉLULA CONSTRUTIVA"</formula>
    </cfRule>
  </conditionalFormatting>
  <conditionalFormatting sqref="M416:M417">
    <cfRule type="expression" dxfId="5822" priority="5928">
      <formula>$H416="SUBETAPA"</formula>
    </cfRule>
    <cfRule type="expression" dxfId="5821" priority="5930">
      <formula>$H416="ETAPA"</formula>
    </cfRule>
    <cfRule type="expression" dxfId="5820" priority="5929">
      <formula>$H416="CÉLULA CONSTRUTIVA"</formula>
    </cfRule>
  </conditionalFormatting>
  <conditionalFormatting sqref="M420:M422">
    <cfRule type="expression" dxfId="5819" priority="5925">
      <formula>$H420="SUBETAPA"</formula>
    </cfRule>
    <cfRule type="expression" dxfId="5818" priority="5927">
      <formula>$H420="ETAPA"</formula>
    </cfRule>
    <cfRule type="expression" dxfId="5817" priority="5926">
      <formula>$H420="CÉLULA CONSTRUTIVA"</formula>
    </cfRule>
  </conditionalFormatting>
  <conditionalFormatting sqref="M424">
    <cfRule type="expression" dxfId="5816" priority="5924">
      <formula>$H424="ETAPA"</formula>
    </cfRule>
    <cfRule type="expression" dxfId="5815" priority="5923">
      <formula>$H424="CÉLULA CONSTRUTIVA"</formula>
    </cfRule>
    <cfRule type="expression" dxfId="5814" priority="5922">
      <formula>$H424="SUBETAPA"</formula>
    </cfRule>
  </conditionalFormatting>
  <conditionalFormatting sqref="M426:M428">
    <cfRule type="expression" dxfId="5813" priority="5920">
      <formula>$H426="CÉLULA CONSTRUTIVA"</formula>
    </cfRule>
    <cfRule type="expression" dxfId="5812" priority="5919">
      <formula>$H426="SUBETAPA"</formula>
    </cfRule>
    <cfRule type="expression" dxfId="5811" priority="5921">
      <formula>$H426="ETAPA"</formula>
    </cfRule>
  </conditionalFormatting>
  <conditionalFormatting sqref="M430:M431">
    <cfRule type="expression" dxfId="5810" priority="5918">
      <formula>$H430="ETAPA"</formula>
    </cfRule>
    <cfRule type="expression" dxfId="5809" priority="5917">
      <formula>$H430="CÉLULA CONSTRUTIVA"</formula>
    </cfRule>
    <cfRule type="expression" dxfId="5808" priority="5916">
      <formula>$H430="SUBETAPA"</formula>
    </cfRule>
  </conditionalFormatting>
  <conditionalFormatting sqref="M434:M436">
    <cfRule type="expression" dxfId="5807" priority="5915">
      <formula>$H434="ETAPA"</formula>
    </cfRule>
    <cfRule type="expression" dxfId="5806" priority="5914">
      <formula>$H434="CÉLULA CONSTRUTIVA"</formula>
    </cfRule>
    <cfRule type="expression" dxfId="5805" priority="5913">
      <formula>$H434="SUBETAPA"</formula>
    </cfRule>
  </conditionalFormatting>
  <conditionalFormatting sqref="M438">
    <cfRule type="expression" dxfId="5804" priority="5912">
      <formula>$H438="ETAPA"</formula>
    </cfRule>
    <cfRule type="expression" dxfId="5803" priority="5911">
      <formula>$H438="CÉLULA CONSTRUTIVA"</formula>
    </cfRule>
    <cfRule type="expression" dxfId="5802" priority="5910">
      <formula>$H438="SUBETAPA"</formula>
    </cfRule>
  </conditionalFormatting>
  <conditionalFormatting sqref="M440:M442">
    <cfRule type="expression" dxfId="5801" priority="5909">
      <formula>$H440="ETAPA"</formula>
    </cfRule>
    <cfRule type="expression" dxfId="5800" priority="5908">
      <formula>$H440="CÉLULA CONSTRUTIVA"</formula>
    </cfRule>
    <cfRule type="expression" dxfId="5799" priority="5907">
      <formula>$H440="SUBETAPA"</formula>
    </cfRule>
  </conditionalFormatting>
  <conditionalFormatting sqref="M444:M445">
    <cfRule type="expression" dxfId="5798" priority="5905">
      <formula>$H444="CÉLULA CONSTRUTIVA"</formula>
    </cfRule>
    <cfRule type="expression" dxfId="5797" priority="5904">
      <formula>$H444="SUBETAPA"</formula>
    </cfRule>
    <cfRule type="expression" dxfId="5796" priority="5906">
      <formula>$H444="ETAPA"</formula>
    </cfRule>
  </conditionalFormatting>
  <conditionalFormatting sqref="M448:M449">
    <cfRule type="expression" dxfId="5795" priority="5903">
      <formula>$H448="ETAPA"</formula>
    </cfRule>
    <cfRule type="expression" dxfId="5794" priority="5901">
      <formula>$H448="SUBETAPA"</formula>
    </cfRule>
    <cfRule type="expression" dxfId="5793" priority="5902">
      <formula>$H448="CÉLULA CONSTRUTIVA"</formula>
    </cfRule>
  </conditionalFormatting>
  <conditionalFormatting sqref="M451">
    <cfRule type="expression" dxfId="5792" priority="5898">
      <formula>$H451="SUBETAPA"</formula>
    </cfRule>
    <cfRule type="expression" dxfId="5791" priority="5899">
      <formula>$H451="CÉLULA CONSTRUTIVA"</formula>
    </cfRule>
    <cfRule type="expression" dxfId="5790" priority="5900">
      <formula>$H451="ETAPA"</formula>
    </cfRule>
  </conditionalFormatting>
  <conditionalFormatting sqref="M453:M455">
    <cfRule type="expression" dxfId="5789" priority="5896">
      <formula>$H453="CÉLULA CONSTRUTIVA"</formula>
    </cfRule>
    <cfRule type="expression" dxfId="5788" priority="5897">
      <formula>$H453="ETAPA"</formula>
    </cfRule>
    <cfRule type="expression" dxfId="5787" priority="5895">
      <formula>$H453="SUBETAPA"</formula>
    </cfRule>
  </conditionalFormatting>
  <conditionalFormatting sqref="M457:M458">
    <cfRule type="expression" dxfId="5786" priority="5894">
      <formula>$H457="ETAPA"</formula>
    </cfRule>
    <cfRule type="expression" dxfId="5785" priority="5892">
      <formula>$H457="SUBETAPA"</formula>
    </cfRule>
    <cfRule type="expression" dxfId="5784" priority="5893">
      <formula>$H457="CÉLULA CONSTRUTIVA"</formula>
    </cfRule>
  </conditionalFormatting>
  <conditionalFormatting sqref="M461:M463">
    <cfRule type="expression" dxfId="5783" priority="5889">
      <formula>$H461="SUBETAPA"</formula>
    </cfRule>
    <cfRule type="expression" dxfId="5782" priority="5891">
      <formula>$H461="ETAPA"</formula>
    </cfRule>
    <cfRule type="expression" dxfId="5781" priority="5890">
      <formula>$H461="CÉLULA CONSTRUTIVA"</formula>
    </cfRule>
  </conditionalFormatting>
  <conditionalFormatting sqref="M465:M466">
    <cfRule type="expression" dxfId="5780" priority="5888">
      <formula>$H465="ETAPA"</formula>
    </cfRule>
    <cfRule type="expression" dxfId="5779" priority="5886">
      <formula>$H465="SUBETAPA"</formula>
    </cfRule>
    <cfRule type="expression" dxfId="5778" priority="5887">
      <formula>$H465="CÉLULA CONSTRUTIVA"</formula>
    </cfRule>
  </conditionalFormatting>
  <conditionalFormatting sqref="M468:M470">
    <cfRule type="expression" dxfId="5777" priority="5885">
      <formula>$H468="ETAPA"</formula>
    </cfRule>
    <cfRule type="expression" dxfId="5776" priority="5883">
      <formula>$H468="SUBETAPA"</formula>
    </cfRule>
    <cfRule type="expression" dxfId="5775" priority="5884">
      <formula>$H468="CÉLULA CONSTRUTIVA"</formula>
    </cfRule>
  </conditionalFormatting>
  <conditionalFormatting sqref="M472:M473">
    <cfRule type="expression" dxfId="5774" priority="5881">
      <formula>$H472="CÉLULA CONSTRUTIVA"</formula>
    </cfRule>
    <cfRule type="expression" dxfId="5773" priority="5880">
      <formula>$H472="SUBETAPA"</formula>
    </cfRule>
    <cfRule type="expression" dxfId="5772" priority="5882">
      <formula>$H472="ETAPA"</formula>
    </cfRule>
  </conditionalFormatting>
  <conditionalFormatting sqref="M476:M477">
    <cfRule type="expression" dxfId="5771" priority="5877">
      <formula>$H476="SUBETAPA"</formula>
    </cfRule>
    <cfRule type="expression" dxfId="5770" priority="5878">
      <formula>$H476="CÉLULA CONSTRUTIVA"</formula>
    </cfRule>
    <cfRule type="expression" dxfId="5769" priority="5879">
      <formula>$H476="ETAPA"</formula>
    </cfRule>
  </conditionalFormatting>
  <conditionalFormatting sqref="M479">
    <cfRule type="expression" dxfId="5768" priority="5874">
      <formula>$H479="SUBETAPA"</formula>
    </cfRule>
    <cfRule type="expression" dxfId="5767" priority="5875">
      <formula>$H479="CÉLULA CONSTRUTIVA"</formula>
    </cfRule>
    <cfRule type="expression" dxfId="5766" priority="5876">
      <formula>$H479="ETAPA"</formula>
    </cfRule>
  </conditionalFormatting>
  <conditionalFormatting sqref="M481:M483">
    <cfRule type="expression" dxfId="5765" priority="5873">
      <formula>$H481="ETAPA"</formula>
    </cfRule>
    <cfRule type="expression" dxfId="5764" priority="5872">
      <formula>$H481="CÉLULA CONSTRUTIVA"</formula>
    </cfRule>
    <cfRule type="expression" dxfId="5763" priority="5871">
      <formula>$H481="SUBETAPA"</formula>
    </cfRule>
  </conditionalFormatting>
  <conditionalFormatting sqref="M485:M486">
    <cfRule type="expression" dxfId="5762" priority="5870">
      <formula>$H485="ETAPA"</formula>
    </cfRule>
    <cfRule type="expression" dxfId="5761" priority="5869">
      <formula>$H485="CÉLULA CONSTRUTIVA"</formula>
    </cfRule>
    <cfRule type="expression" dxfId="5760" priority="5868">
      <formula>$H485="SUBETAPA"</formula>
    </cfRule>
  </conditionalFormatting>
  <conditionalFormatting sqref="M489:M490">
    <cfRule type="expression" dxfId="5759" priority="5867">
      <formula>$H489="ETAPA"</formula>
    </cfRule>
    <cfRule type="expression" dxfId="5758" priority="5866">
      <formula>$H489="CÉLULA CONSTRUTIVA"</formula>
    </cfRule>
    <cfRule type="expression" dxfId="5757" priority="5865">
      <formula>$H489="SUBETAPA"</formula>
    </cfRule>
  </conditionalFormatting>
  <conditionalFormatting sqref="M492:M494">
    <cfRule type="expression" dxfId="5756" priority="5862">
      <formula>$H492="SUBETAPA"</formula>
    </cfRule>
    <cfRule type="expression" dxfId="5755" priority="5863">
      <formula>$H492="CÉLULA CONSTRUTIVA"</formula>
    </cfRule>
    <cfRule type="expression" dxfId="5754" priority="5864">
      <formula>$H492="ETAPA"</formula>
    </cfRule>
  </conditionalFormatting>
  <conditionalFormatting sqref="M496">
    <cfRule type="expression" dxfId="5753" priority="5860">
      <formula>$H496="CÉLULA CONSTRUTIVA"</formula>
    </cfRule>
    <cfRule type="expression" dxfId="5752" priority="5859">
      <formula>$H496="SUBETAPA"</formula>
    </cfRule>
    <cfRule type="expression" dxfId="5751" priority="5861">
      <formula>$H496="ETAPA"</formula>
    </cfRule>
  </conditionalFormatting>
  <conditionalFormatting sqref="M500">
    <cfRule type="expression" dxfId="5750" priority="2447">
      <formula>$H500="ETAPA"</formula>
    </cfRule>
    <cfRule type="expression" dxfId="5749" priority="2445">
      <formula>$H500="SUBETAPA"</formula>
    </cfRule>
    <cfRule type="expression" dxfId="5748" priority="2446">
      <formula>$H500="CÉLULA CONSTRUTIVA"</formula>
    </cfRule>
  </conditionalFormatting>
  <conditionalFormatting sqref="M502">
    <cfRule type="expression" dxfId="5747" priority="2448">
      <formula>$H502="SUBETAPA"</formula>
    </cfRule>
    <cfRule type="expression" dxfId="5746" priority="2449">
      <formula>$H502="CÉLULA CONSTRUTIVA"</formula>
    </cfRule>
    <cfRule type="expression" dxfId="5745" priority="2450">
      <formula>$H502="ETAPA"</formula>
    </cfRule>
  </conditionalFormatting>
  <conditionalFormatting sqref="M504">
    <cfRule type="expression" dxfId="5744" priority="1064">
      <formula>$H504="ETAPA"</formula>
    </cfRule>
    <cfRule type="expression" dxfId="5743" priority="1062">
      <formula>$H504="SUBETAPA"</formula>
    </cfRule>
    <cfRule type="expression" dxfId="5742" priority="1063">
      <formula>$H504="CÉLULA CONSTRUTIVA"</formula>
    </cfRule>
  </conditionalFormatting>
  <conditionalFormatting sqref="M506">
    <cfRule type="expression" dxfId="5741" priority="1060">
      <formula>$H506="CÉLULA CONSTRUTIVA"</formula>
    </cfRule>
    <cfRule type="expression" dxfId="5740" priority="1061">
      <formula>$H506="ETAPA"</formula>
    </cfRule>
    <cfRule type="expression" dxfId="5739" priority="1059">
      <formula>$H506="SUBETAPA"</formula>
    </cfRule>
  </conditionalFormatting>
  <conditionalFormatting sqref="M508">
    <cfRule type="expression" dxfId="5738" priority="1056">
      <formula>$H508="SUBETAPA"</formula>
    </cfRule>
    <cfRule type="expression" dxfId="5737" priority="1057">
      <formula>$H508="CÉLULA CONSTRUTIVA"</formula>
    </cfRule>
    <cfRule type="expression" dxfId="5736" priority="1058">
      <formula>$H508="ETAPA"</formula>
    </cfRule>
  </conditionalFormatting>
  <conditionalFormatting sqref="M510">
    <cfRule type="expression" dxfId="5735" priority="1054">
      <formula>$H510="CÉLULA CONSTRUTIVA"</formula>
    </cfRule>
    <cfRule type="expression" dxfId="5734" priority="1055">
      <formula>$H510="ETAPA"</formula>
    </cfRule>
    <cfRule type="expression" dxfId="5733" priority="1053">
      <formula>$H510="SUBETAPA"</formula>
    </cfRule>
  </conditionalFormatting>
  <conditionalFormatting sqref="M512">
    <cfRule type="expression" dxfId="5732" priority="2465">
      <formula>$H512="ETAPA"</formula>
    </cfRule>
    <cfRule type="expression" dxfId="5731" priority="2463">
      <formula>$H512="SUBETAPA"</formula>
    </cfRule>
    <cfRule type="expression" dxfId="5730" priority="2464">
      <formula>$H512="CÉLULA CONSTRUTIVA"</formula>
    </cfRule>
  </conditionalFormatting>
  <conditionalFormatting sqref="M516">
    <cfRule type="expression" dxfId="5729" priority="1067">
      <formula>$H516="ETAPA"</formula>
    </cfRule>
    <cfRule type="expression" dxfId="5728" priority="1065">
      <formula>$H516="SUBETAPA"</formula>
    </cfRule>
    <cfRule type="expression" dxfId="5727" priority="1066">
      <formula>$H516="CÉLULA CONSTRUTIVA"</formula>
    </cfRule>
  </conditionalFormatting>
  <conditionalFormatting sqref="M520">
    <cfRule type="expression" dxfId="5726" priority="981">
      <formula>$H520="CÉLULA CONSTRUTIVA"</formula>
    </cfRule>
    <cfRule type="expression" dxfId="5725" priority="982">
      <formula>$H520="ETAPA"</formula>
    </cfRule>
    <cfRule type="expression" dxfId="5724" priority="980">
      <formula>$H520="SUBETAPA"</formula>
    </cfRule>
  </conditionalFormatting>
  <conditionalFormatting sqref="M522">
    <cfRule type="expression" dxfId="5723" priority="2483">
      <formula>$H522="ETAPA"</formula>
    </cfRule>
    <cfRule type="expression" dxfId="5722" priority="2482">
      <formula>$H522="CÉLULA CONSTRUTIVA"</formula>
    </cfRule>
    <cfRule type="expression" dxfId="5721" priority="2481">
      <formula>$H522="SUBETAPA"</formula>
    </cfRule>
  </conditionalFormatting>
  <conditionalFormatting sqref="M524">
    <cfRule type="expression" dxfId="5720" priority="2480">
      <formula>$H524="ETAPA"</formula>
    </cfRule>
    <cfRule type="expression" dxfId="5719" priority="2479">
      <formula>$H524="CÉLULA CONSTRUTIVA"</formula>
    </cfRule>
    <cfRule type="expression" dxfId="5718" priority="2478">
      <formula>$H524="SUBETAPA"</formula>
    </cfRule>
  </conditionalFormatting>
  <conditionalFormatting sqref="M526">
    <cfRule type="expression" dxfId="5717" priority="2477">
      <formula>$H526="ETAPA"</formula>
    </cfRule>
    <cfRule type="expression" dxfId="5716" priority="2476">
      <formula>$H526="CÉLULA CONSTRUTIVA"</formula>
    </cfRule>
    <cfRule type="expression" dxfId="5715" priority="2475">
      <formula>$H526="SUBETAPA"</formula>
    </cfRule>
  </conditionalFormatting>
  <conditionalFormatting sqref="M528">
    <cfRule type="expression" dxfId="5714" priority="2469">
      <formula>$H528="SUBETAPA"</formula>
    </cfRule>
    <cfRule type="expression" dxfId="5713" priority="2470">
      <formula>$H528="CÉLULA CONSTRUTIVA"</formula>
    </cfRule>
    <cfRule type="expression" dxfId="5712" priority="2471">
      <formula>$H528="ETAPA"</formula>
    </cfRule>
  </conditionalFormatting>
  <conditionalFormatting sqref="M530">
    <cfRule type="expression" dxfId="5711" priority="2466">
      <formula>$H530="SUBETAPA"</formula>
    </cfRule>
    <cfRule type="expression" dxfId="5710" priority="2468">
      <formula>$H530="ETAPA"</formula>
    </cfRule>
    <cfRule type="expression" dxfId="5709" priority="2467">
      <formula>$H530="CÉLULA CONSTRUTIVA"</formula>
    </cfRule>
  </conditionalFormatting>
  <conditionalFormatting sqref="M533">
    <cfRule type="expression" dxfId="5708" priority="2305">
      <formula>$H533="ETAPA"</formula>
    </cfRule>
    <cfRule type="expression" dxfId="5707" priority="2303">
      <formula>$H533="SUBETAPA"</formula>
    </cfRule>
    <cfRule type="expression" dxfId="5706" priority="2304">
      <formula>$H533="CÉLULA CONSTRUTIVA"</formula>
    </cfRule>
  </conditionalFormatting>
  <conditionalFormatting sqref="M535">
    <cfRule type="expression" dxfId="5705" priority="2299">
      <formula>$H535="ETAPA"</formula>
    </cfRule>
    <cfRule type="expression" dxfId="5704" priority="2297">
      <formula>$H535="SUBETAPA"</formula>
    </cfRule>
    <cfRule type="expression" dxfId="5703" priority="2298">
      <formula>$H535="CÉLULA CONSTRUTIVA"</formula>
    </cfRule>
  </conditionalFormatting>
  <conditionalFormatting sqref="M537">
    <cfRule type="expression" dxfId="5702" priority="2288">
      <formula>$H537="SUBETAPA"</formula>
    </cfRule>
    <cfRule type="expression" dxfId="5701" priority="2289">
      <formula>$H537="CÉLULA CONSTRUTIVA"</formula>
    </cfRule>
    <cfRule type="expression" dxfId="5700" priority="2290">
      <formula>$H537="ETAPA"</formula>
    </cfRule>
  </conditionalFormatting>
  <conditionalFormatting sqref="M540">
    <cfRule type="expression" dxfId="5699" priority="1987">
      <formula>$H540="SUBETAPA"</formula>
    </cfRule>
    <cfRule type="expression" dxfId="5698" priority="1988">
      <formula>$H540="CÉLULA CONSTRUTIVA"</formula>
    </cfRule>
    <cfRule type="expression" dxfId="5697" priority="1989">
      <formula>$H540="ETAPA"</formula>
    </cfRule>
  </conditionalFormatting>
  <conditionalFormatting sqref="M542">
    <cfRule type="expression" dxfId="5696" priority="1981">
      <formula>$H542="SUBETAPA"</formula>
    </cfRule>
    <cfRule type="expression" dxfId="5695" priority="1982">
      <formula>$H542="CÉLULA CONSTRUTIVA"</formula>
    </cfRule>
    <cfRule type="expression" dxfId="5694" priority="1983">
      <formula>$H542="ETAPA"</formula>
    </cfRule>
  </conditionalFormatting>
  <conditionalFormatting sqref="M544">
    <cfRule type="expression" dxfId="5693" priority="1972">
      <formula>$H544="SUBETAPA"</formula>
    </cfRule>
    <cfRule type="expression" dxfId="5692" priority="1974">
      <formula>$H544="ETAPA"</formula>
    </cfRule>
    <cfRule type="expression" dxfId="5691" priority="1973">
      <formula>$H544="CÉLULA CONSTRUTIVA"</formula>
    </cfRule>
  </conditionalFormatting>
  <conditionalFormatting sqref="M547">
    <cfRule type="expression" dxfId="5690" priority="2068">
      <formula>$H547="ETAPA"</formula>
    </cfRule>
    <cfRule type="expression" dxfId="5689" priority="2067">
      <formula>$H547="CÉLULA CONSTRUTIVA"</formula>
    </cfRule>
    <cfRule type="expression" dxfId="5688" priority="2066">
      <formula>$H547="SUBETAPA"</formula>
    </cfRule>
  </conditionalFormatting>
  <conditionalFormatting sqref="M549">
    <cfRule type="expression" dxfId="5687" priority="2057">
      <formula>$H549="SUBETAPA"</formula>
    </cfRule>
    <cfRule type="expression" dxfId="5686" priority="2059">
      <formula>$H549="ETAPA"</formula>
    </cfRule>
    <cfRule type="expression" dxfId="5685" priority="2058">
      <formula>$H549="CÉLULA CONSTRUTIVA"</formula>
    </cfRule>
  </conditionalFormatting>
  <conditionalFormatting sqref="M551">
    <cfRule type="expression" dxfId="5684" priority="2053">
      <formula>$H551="ETAPA"</formula>
    </cfRule>
    <cfRule type="expression" dxfId="5683" priority="2051">
      <formula>$H551="SUBETAPA"</formula>
    </cfRule>
    <cfRule type="expression" dxfId="5682" priority="2052">
      <formula>$H551="CÉLULA CONSTRUTIVA"</formula>
    </cfRule>
  </conditionalFormatting>
  <conditionalFormatting sqref="M554">
    <cfRule type="expression" dxfId="5681" priority="2145">
      <formula>$H554="SUBETAPA"</formula>
    </cfRule>
    <cfRule type="expression" dxfId="5680" priority="2146">
      <formula>$H554="CÉLULA CONSTRUTIVA"</formula>
    </cfRule>
    <cfRule type="expression" dxfId="5679" priority="2147">
      <formula>$H554="ETAPA"</formula>
    </cfRule>
  </conditionalFormatting>
  <conditionalFormatting sqref="M556">
    <cfRule type="expression" dxfId="5678" priority="2143">
      <formula>$H556="CÉLULA CONSTRUTIVA"</formula>
    </cfRule>
    <cfRule type="expression" dxfId="5677" priority="2142">
      <formula>$H556="SUBETAPA"</formula>
    </cfRule>
    <cfRule type="expression" dxfId="5676" priority="2144">
      <formula>$H556="ETAPA"</formula>
    </cfRule>
  </conditionalFormatting>
  <conditionalFormatting sqref="M558">
    <cfRule type="expression" dxfId="5675" priority="2138">
      <formula>$H558="ETAPA"</formula>
    </cfRule>
    <cfRule type="expression" dxfId="5674" priority="2136">
      <formula>$H558="SUBETAPA"</formula>
    </cfRule>
    <cfRule type="expression" dxfId="5673" priority="2137">
      <formula>$H558="CÉLULA CONSTRUTIVA"</formula>
    </cfRule>
  </conditionalFormatting>
  <conditionalFormatting sqref="M560">
    <cfRule type="expression" dxfId="5672" priority="2131">
      <formula>$H560="CÉLULA CONSTRUTIVA"</formula>
    </cfRule>
    <cfRule type="expression" dxfId="5671" priority="2130">
      <formula>$H560="SUBETAPA"</formula>
    </cfRule>
    <cfRule type="expression" dxfId="5670" priority="2132">
      <formula>$H560="ETAPA"</formula>
    </cfRule>
  </conditionalFormatting>
  <conditionalFormatting sqref="M563">
    <cfRule type="expression" dxfId="5669" priority="2224">
      <formula>$H563="SUBETAPA"</formula>
    </cfRule>
    <cfRule type="expression" dxfId="5668" priority="2225">
      <formula>$H563="CÉLULA CONSTRUTIVA"</formula>
    </cfRule>
    <cfRule type="expression" dxfId="5667" priority="2226">
      <formula>$H563="ETAPA"</formula>
    </cfRule>
  </conditionalFormatting>
  <conditionalFormatting sqref="M565">
    <cfRule type="expression" dxfId="5666" priority="2221">
      <formula>$H565="SUBETAPA"</formula>
    </cfRule>
    <cfRule type="expression" dxfId="5665" priority="2222">
      <formula>$H565="CÉLULA CONSTRUTIVA"</formula>
    </cfRule>
    <cfRule type="expression" dxfId="5664" priority="2223">
      <formula>$H565="ETAPA"</formula>
    </cfRule>
  </conditionalFormatting>
  <conditionalFormatting sqref="M567">
    <cfRule type="expression" dxfId="5663" priority="2217">
      <formula>$H567="ETAPA"</formula>
    </cfRule>
    <cfRule type="expression" dxfId="5662" priority="2215">
      <formula>$H567="SUBETAPA"</formula>
    </cfRule>
    <cfRule type="expression" dxfId="5661" priority="2216">
      <formula>$H567="CÉLULA CONSTRUTIVA"</formula>
    </cfRule>
  </conditionalFormatting>
  <conditionalFormatting sqref="M569">
    <cfRule type="expression" dxfId="5660" priority="2210">
      <formula>$H569="CÉLULA CONSTRUTIVA"</formula>
    </cfRule>
    <cfRule type="expression" dxfId="5659" priority="2209">
      <formula>$H569="SUBETAPA"</formula>
    </cfRule>
    <cfRule type="expression" dxfId="5658" priority="2211">
      <formula>$H569="ETAPA"</formula>
    </cfRule>
  </conditionalFormatting>
  <conditionalFormatting sqref="M572">
    <cfRule type="expression" dxfId="5657" priority="1910">
      <formula>$H572="ETAPA"</formula>
    </cfRule>
    <cfRule type="expression" dxfId="5656" priority="1908">
      <formula>$H572="SUBETAPA"</formula>
    </cfRule>
    <cfRule type="expression" dxfId="5655" priority="1909">
      <formula>$H572="CÉLULA CONSTRUTIVA"</formula>
    </cfRule>
  </conditionalFormatting>
  <conditionalFormatting sqref="M574">
    <cfRule type="expression" dxfId="5654" priority="1906">
      <formula>$H574="CÉLULA CONSTRUTIVA"</formula>
    </cfRule>
    <cfRule type="expression" dxfId="5653" priority="1907">
      <formula>$H574="ETAPA"</formula>
    </cfRule>
    <cfRule type="expression" dxfId="5652" priority="1905">
      <formula>$H574="SUBETAPA"</formula>
    </cfRule>
  </conditionalFormatting>
  <conditionalFormatting sqref="M576">
    <cfRule type="expression" dxfId="5651" priority="1901">
      <formula>$H576="ETAPA"</formula>
    </cfRule>
    <cfRule type="expression" dxfId="5650" priority="1900">
      <formula>$H576="CÉLULA CONSTRUTIVA"</formula>
    </cfRule>
    <cfRule type="expression" dxfId="5649" priority="1899">
      <formula>$H576="SUBETAPA"</formula>
    </cfRule>
  </conditionalFormatting>
  <conditionalFormatting sqref="M578">
    <cfRule type="expression" dxfId="5648" priority="1895">
      <formula>$H578="ETAPA"</formula>
    </cfRule>
    <cfRule type="expression" dxfId="5647" priority="1894">
      <formula>$H578="CÉLULA CONSTRUTIVA"</formula>
    </cfRule>
    <cfRule type="expression" dxfId="5646" priority="1893">
      <formula>$H578="SUBETAPA"</formula>
    </cfRule>
  </conditionalFormatting>
  <conditionalFormatting sqref="M582">
    <cfRule type="expression" dxfId="5645" priority="1855">
      <formula>$H582="ETAPA"</formula>
    </cfRule>
    <cfRule type="expression" dxfId="5644" priority="1854">
      <formula>$H582="CÉLULA CONSTRUTIVA"</formula>
    </cfRule>
    <cfRule type="expression" dxfId="5643" priority="1853">
      <formula>$H582="SUBETAPA"</formula>
    </cfRule>
  </conditionalFormatting>
  <conditionalFormatting sqref="M584">
    <cfRule type="expression" dxfId="5642" priority="2435">
      <formula>$H584="ETAPA"</formula>
    </cfRule>
    <cfRule type="expression" dxfId="5641" priority="2434">
      <formula>$H584="CÉLULA CONSTRUTIVA"</formula>
    </cfRule>
    <cfRule type="expression" dxfId="5640" priority="2433">
      <formula>$H584="SUBETAPA"</formula>
    </cfRule>
  </conditionalFormatting>
  <conditionalFormatting sqref="M586">
    <cfRule type="expression" dxfId="5639" priority="2438">
      <formula>$H586="ETAPA"</formula>
    </cfRule>
    <cfRule type="expression" dxfId="5638" priority="2436">
      <formula>$H586="SUBETAPA"</formula>
    </cfRule>
    <cfRule type="expression" dxfId="5637" priority="2437">
      <formula>$H586="CÉLULA CONSTRUTIVA"</formula>
    </cfRule>
  </conditionalFormatting>
  <conditionalFormatting sqref="M588">
    <cfRule type="expression" dxfId="5636" priority="2440">
      <formula>$H588="CÉLULA CONSTRUTIVA"</formula>
    </cfRule>
    <cfRule type="expression" dxfId="5635" priority="2439">
      <formula>$H588="SUBETAPA"</formula>
    </cfRule>
    <cfRule type="expression" dxfId="5634" priority="2441">
      <formula>$H588="ETAPA"</formula>
    </cfRule>
  </conditionalFormatting>
  <conditionalFormatting sqref="M595:M596">
    <cfRule type="expression" dxfId="5633" priority="1672">
      <formula>$H595="SUBETAPA"</formula>
    </cfRule>
    <cfRule type="expression" dxfId="5632" priority="1673">
      <formula>$H595="CÉLULA CONSTRUTIVA"</formula>
    </cfRule>
    <cfRule type="expression" dxfId="5631" priority="1674">
      <formula>$H595="ETAPA"</formula>
    </cfRule>
  </conditionalFormatting>
  <conditionalFormatting sqref="M607">
    <cfRule type="expression" dxfId="5630" priority="3152">
      <formula>$H607="SUBETAPA"</formula>
    </cfRule>
    <cfRule type="expression" dxfId="5629" priority="3154">
      <formula>$H607="ETAPA"</formula>
    </cfRule>
    <cfRule type="expression" dxfId="5628" priority="3153">
      <formula>$H607="CÉLULA CONSTRUTIVA"</formula>
    </cfRule>
  </conditionalFormatting>
  <conditionalFormatting sqref="M610:M611">
    <cfRule type="expression" dxfId="5627" priority="3178">
      <formula>$H610="CÉLULA CONSTRUTIVA"</formula>
    </cfRule>
    <cfRule type="expression" dxfId="5626" priority="3177">
      <formula>$H610="SUBETAPA"</formula>
    </cfRule>
    <cfRule type="expression" dxfId="5625" priority="3179">
      <formula>$H610="ETAPA"</formula>
    </cfRule>
  </conditionalFormatting>
  <conditionalFormatting sqref="M621:M622">
    <cfRule type="expression" dxfId="5624" priority="3667">
      <formula>$H621="ETAPA"</formula>
    </cfRule>
    <cfRule type="expression" dxfId="5623" priority="3666">
      <formula>$H621="CÉLULA CONSTRUTIVA"</formula>
    </cfRule>
    <cfRule type="expression" dxfId="5622" priority="3665">
      <formula>$H621="SUBETAPA"</formula>
    </cfRule>
  </conditionalFormatting>
  <conditionalFormatting sqref="M629:M630">
    <cfRule type="expression" dxfId="5621" priority="3717">
      <formula>$H629="SUBETAPA"</formula>
    </cfRule>
    <cfRule type="expression" dxfId="5620" priority="3718">
      <formula>$H629="CÉLULA CONSTRUTIVA"</formula>
    </cfRule>
    <cfRule type="expression" dxfId="5619" priority="3719">
      <formula>$H629="ETAPA"</formula>
    </cfRule>
  </conditionalFormatting>
  <conditionalFormatting sqref="M637:M638">
    <cfRule type="expression" dxfId="5618" priority="3779">
      <formula>$H637="ETAPA"</formula>
    </cfRule>
    <cfRule type="expression" dxfId="5617" priority="3778">
      <formula>$H637="CÉLULA CONSTRUTIVA"</formula>
    </cfRule>
    <cfRule type="expression" dxfId="5616" priority="3777">
      <formula>$H637="SUBETAPA"</formula>
    </cfRule>
  </conditionalFormatting>
  <conditionalFormatting sqref="M654:M655">
    <cfRule type="expression" dxfId="5615" priority="3804">
      <formula>$H654="ETAPA"</formula>
    </cfRule>
    <cfRule type="expression" dxfId="5614" priority="3803">
      <formula>$H654="CÉLULA CONSTRUTIVA"</formula>
    </cfRule>
    <cfRule type="expression" dxfId="5613" priority="3802">
      <formula>$H654="SUBETAPA"</formula>
    </cfRule>
  </conditionalFormatting>
  <conditionalFormatting sqref="M687:M688">
    <cfRule type="expression" dxfId="5612" priority="3126">
      <formula>$H687="SUBETAPA"</formula>
    </cfRule>
    <cfRule type="expression" dxfId="5611" priority="3128">
      <formula>$H687="ETAPA"</formula>
    </cfRule>
    <cfRule type="expression" dxfId="5610" priority="3127">
      <formula>$H687="CÉLULA CONSTRUTIVA"</formula>
    </cfRule>
  </conditionalFormatting>
  <conditionalFormatting sqref="M692">
    <cfRule type="expression" dxfId="5609" priority="3101">
      <formula>$H692="SUBETAPA"</formula>
    </cfRule>
    <cfRule type="expression" dxfId="5608" priority="3103">
      <formula>$H692="ETAPA"</formula>
    </cfRule>
    <cfRule type="expression" dxfId="5607" priority="3102">
      <formula>$H692="CÉLULA CONSTRUTIVA"</formula>
    </cfRule>
  </conditionalFormatting>
  <conditionalFormatting sqref="M706:M713">
    <cfRule type="expression" dxfId="5606" priority="5858">
      <formula>$H706="ETAPA"</formula>
    </cfRule>
    <cfRule type="expression" dxfId="5605" priority="5857">
      <formula>$H706="CÉLULA CONSTRUTIVA"</formula>
    </cfRule>
    <cfRule type="expression" dxfId="5604" priority="5856">
      <formula>$H706="SUBETAPA"</formula>
    </cfRule>
  </conditionalFormatting>
  <conditionalFormatting sqref="M715:M718">
    <cfRule type="expression" dxfId="5603" priority="5853">
      <formula>$H715="SUBETAPA"</formula>
    </cfRule>
    <cfRule type="expression" dxfId="5602" priority="5854">
      <formula>$H715="CÉLULA CONSTRUTIVA"</formula>
    </cfRule>
    <cfRule type="expression" dxfId="5601" priority="5855">
      <formula>$H715="ETAPA"</formula>
    </cfRule>
  </conditionalFormatting>
  <conditionalFormatting sqref="M719 O719:P719 G719:I720">
    <cfRule type="expression" dxfId="5600" priority="11349">
      <formula>$H719="SUBETAPA"</formula>
    </cfRule>
  </conditionalFormatting>
  <conditionalFormatting sqref="M720:M721">
    <cfRule type="expression" dxfId="5599" priority="5850">
      <formula>$H720="SUBETAPA"</formula>
    </cfRule>
    <cfRule type="expression" dxfId="5598" priority="5851">
      <formula>$H720="CÉLULA CONSTRUTIVA"</formula>
    </cfRule>
    <cfRule type="expression" dxfId="5597" priority="5852">
      <formula>$H720="ETAPA"</formula>
    </cfRule>
  </conditionalFormatting>
  <conditionalFormatting sqref="M723">
    <cfRule type="expression" dxfId="5596" priority="5847">
      <formula>$H723="SUBETAPA"</formula>
    </cfRule>
    <cfRule type="expression" dxfId="5595" priority="5848">
      <formula>$H723="CÉLULA CONSTRUTIVA"</formula>
    </cfRule>
    <cfRule type="expression" dxfId="5594" priority="5849">
      <formula>$H723="ETAPA"</formula>
    </cfRule>
  </conditionalFormatting>
  <conditionalFormatting sqref="M726:M730">
    <cfRule type="expression" dxfId="5593" priority="5845">
      <formula>$H726="CÉLULA CONSTRUTIVA"</formula>
    </cfRule>
    <cfRule type="expression" dxfId="5592" priority="5844">
      <formula>$H726="SUBETAPA"</formula>
    </cfRule>
    <cfRule type="expression" dxfId="5591" priority="5846">
      <formula>$H726="ETAPA"</formula>
    </cfRule>
  </conditionalFormatting>
  <conditionalFormatting sqref="M731">
    <cfRule type="expression" dxfId="5590" priority="4722">
      <formula>$H731="ETAPA"</formula>
    </cfRule>
    <cfRule type="expression" dxfId="5589" priority="4721">
      <formula>$H731="CÉLULA CONSTRUTIVA"</formula>
    </cfRule>
    <cfRule type="expression" dxfId="5588" priority="4720">
      <formula>$H731="SUBETAPA"</formula>
    </cfRule>
  </conditionalFormatting>
  <conditionalFormatting sqref="M732:M735">
    <cfRule type="expression" dxfId="5587" priority="5842">
      <formula>$H732="CÉLULA CONSTRUTIVA"</formula>
    </cfRule>
    <cfRule type="expression" dxfId="5586" priority="5843">
      <formula>$H732="ETAPA"</formula>
    </cfRule>
    <cfRule type="expression" dxfId="5585" priority="5841">
      <formula>$H732="SUBETAPA"</formula>
    </cfRule>
  </conditionalFormatting>
  <conditionalFormatting sqref="M737:M738">
    <cfRule type="expression" dxfId="5584" priority="5839">
      <formula>$H737="CÉLULA CONSTRUTIVA"</formula>
    </cfRule>
    <cfRule type="expression" dxfId="5583" priority="5838">
      <formula>$H737="SUBETAPA"</formula>
    </cfRule>
    <cfRule type="expression" dxfId="5582" priority="5840">
      <formula>$H737="ETAPA"</formula>
    </cfRule>
  </conditionalFormatting>
  <conditionalFormatting sqref="M740">
    <cfRule type="expression" dxfId="5581" priority="5835">
      <formula>$H740="SUBETAPA"</formula>
    </cfRule>
    <cfRule type="expression" dxfId="5580" priority="5837">
      <formula>$H740="ETAPA"</formula>
    </cfRule>
    <cfRule type="expression" dxfId="5579" priority="5836">
      <formula>$H740="CÉLULA CONSTRUTIVA"</formula>
    </cfRule>
  </conditionalFormatting>
  <conditionalFormatting sqref="M744:M745 M747">
    <cfRule type="expression" dxfId="5578" priority="5834">
      <formula>$H744="ETAPA"</formula>
    </cfRule>
    <cfRule type="expression" dxfId="5577" priority="5832">
      <formula>$H744="SUBETAPA"</formula>
    </cfRule>
    <cfRule type="expression" dxfId="5576" priority="5833">
      <formula>$H744="CÉLULA CONSTRUTIVA"</formula>
    </cfRule>
  </conditionalFormatting>
  <conditionalFormatting sqref="M746">
    <cfRule type="expression" dxfId="5575" priority="2904">
      <formula>$H746="SUBETAPA"</formula>
    </cfRule>
    <cfRule type="expression" dxfId="5574" priority="2906">
      <formula>$H746="ETAPA"</formula>
    </cfRule>
    <cfRule type="expression" dxfId="5573" priority="2905">
      <formula>$H746="CÉLULA CONSTRUTIVA"</formula>
    </cfRule>
  </conditionalFormatting>
  <conditionalFormatting sqref="M749:M752">
    <cfRule type="expression" dxfId="5572" priority="5831">
      <formula>$H749="ETAPA"</formula>
    </cfRule>
    <cfRule type="expression" dxfId="5571" priority="5830">
      <formula>$H749="CÉLULA CONSTRUTIVA"</formula>
    </cfRule>
    <cfRule type="expression" dxfId="5570" priority="5829">
      <formula>$H749="SUBETAPA"</formula>
    </cfRule>
  </conditionalFormatting>
  <conditionalFormatting sqref="M754:M755">
    <cfRule type="expression" dxfId="5569" priority="5828">
      <formula>$H754="ETAPA"</formula>
    </cfRule>
    <cfRule type="expression" dxfId="5568" priority="5826">
      <formula>$H754="SUBETAPA"</formula>
    </cfRule>
    <cfRule type="expression" dxfId="5567" priority="5827">
      <formula>$H754="CÉLULA CONSTRUTIVA"</formula>
    </cfRule>
  </conditionalFormatting>
  <conditionalFormatting sqref="M757">
    <cfRule type="expression" dxfId="5566" priority="5825">
      <formula>$H757="ETAPA"</formula>
    </cfRule>
    <cfRule type="expression" dxfId="5565" priority="5823">
      <formula>$H757="SUBETAPA"</formula>
    </cfRule>
    <cfRule type="expression" dxfId="5564" priority="5824">
      <formula>$H757="CÉLULA CONSTRUTIVA"</formula>
    </cfRule>
  </conditionalFormatting>
  <conditionalFormatting sqref="M760 G760:G762 N761:O762 N763 O760:P760">
    <cfRule type="expression" dxfId="5563" priority="11105">
      <formula>$H760="SUBETAPA"</formula>
    </cfRule>
    <cfRule type="expression" dxfId="5562" priority="11106">
      <formula>$H760="CÉLULA CONSTRUTIVA"</formula>
    </cfRule>
    <cfRule type="expression" dxfId="5561" priority="11107">
      <formula>$H760="ETAPA"</formula>
    </cfRule>
  </conditionalFormatting>
  <conditionalFormatting sqref="M761:M764">
    <cfRule type="expression" dxfId="5560" priority="5822">
      <formula>$H761="ETAPA"</formula>
    </cfRule>
    <cfRule type="expression" dxfId="5559" priority="5821">
      <formula>$H761="CÉLULA CONSTRUTIVA"</formula>
    </cfRule>
    <cfRule type="expression" dxfId="5558" priority="5820">
      <formula>$H761="SUBETAPA"</formula>
    </cfRule>
  </conditionalFormatting>
  <conditionalFormatting sqref="M766:M769">
    <cfRule type="expression" dxfId="5557" priority="5819">
      <formula>$H766="ETAPA"</formula>
    </cfRule>
    <cfRule type="expression" dxfId="5556" priority="5817">
      <formula>$H766="SUBETAPA"</formula>
    </cfRule>
    <cfRule type="expression" dxfId="5555" priority="5818">
      <formula>$H766="CÉLULA CONSTRUTIVA"</formula>
    </cfRule>
  </conditionalFormatting>
  <conditionalFormatting sqref="M771:M772">
    <cfRule type="expression" dxfId="5554" priority="5814">
      <formula>$H771="SUBETAPA"</formula>
    </cfRule>
    <cfRule type="expression" dxfId="5553" priority="5815">
      <formula>$H771="CÉLULA CONSTRUTIVA"</formula>
    </cfRule>
    <cfRule type="expression" dxfId="5552" priority="5816">
      <formula>$H771="ETAPA"</formula>
    </cfRule>
  </conditionalFormatting>
  <conditionalFormatting sqref="M774">
    <cfRule type="expression" dxfId="5551" priority="5813">
      <formula>$H774="ETAPA"</formula>
    </cfRule>
    <cfRule type="expression" dxfId="5550" priority="5811">
      <formula>$H774="SUBETAPA"</formula>
    </cfRule>
    <cfRule type="expression" dxfId="5549" priority="5812">
      <formula>$H774="CÉLULA CONSTRUTIVA"</formula>
    </cfRule>
  </conditionalFormatting>
  <conditionalFormatting sqref="M778:M782">
    <cfRule type="expression" dxfId="5548" priority="5808">
      <formula>$H778="SUBETAPA"</formula>
    </cfRule>
    <cfRule type="expression" dxfId="5547" priority="5809">
      <formula>$H778="CÉLULA CONSTRUTIVA"</formula>
    </cfRule>
    <cfRule type="expression" dxfId="5546" priority="5810">
      <formula>$H778="ETAPA"</formula>
    </cfRule>
  </conditionalFormatting>
  <conditionalFormatting sqref="M784:M787">
    <cfRule type="expression" dxfId="5545" priority="5805">
      <formula>$H784="SUBETAPA"</formula>
    </cfRule>
    <cfRule type="expression" dxfId="5544" priority="5806">
      <formula>$H784="CÉLULA CONSTRUTIVA"</formula>
    </cfRule>
    <cfRule type="expression" dxfId="5543" priority="5807">
      <formula>$H784="ETAPA"</formula>
    </cfRule>
  </conditionalFormatting>
  <conditionalFormatting sqref="M789">
    <cfRule type="expression" dxfId="5542" priority="5802">
      <formula>$H789="SUBETAPA"</formula>
    </cfRule>
    <cfRule type="expression" dxfId="5541" priority="5803">
      <formula>$H789="CÉLULA CONSTRUTIVA"</formula>
    </cfRule>
    <cfRule type="expression" dxfId="5540" priority="5804">
      <formula>$H789="ETAPA"</formula>
    </cfRule>
  </conditionalFormatting>
  <conditionalFormatting sqref="M791">
    <cfRule type="expression" dxfId="5539" priority="5800">
      <formula>$H791="CÉLULA CONSTRUTIVA"</formula>
    </cfRule>
    <cfRule type="expression" dxfId="5538" priority="5801">
      <formula>$H791="ETAPA"</formula>
    </cfRule>
    <cfRule type="expression" dxfId="5537" priority="5799">
      <formula>$H791="SUBETAPA"</formula>
    </cfRule>
  </conditionalFormatting>
  <conditionalFormatting sqref="M795">
    <cfRule type="expression" dxfId="5536" priority="5796">
      <formula>$H795="SUBETAPA"</formula>
    </cfRule>
    <cfRule type="expression" dxfId="5535" priority="5797">
      <formula>$H795="CÉLULA CONSTRUTIVA"</formula>
    </cfRule>
    <cfRule type="expression" dxfId="5534" priority="5798">
      <formula>$H795="ETAPA"</formula>
    </cfRule>
  </conditionalFormatting>
  <conditionalFormatting sqref="M796:M797">
    <cfRule type="expression" dxfId="5533" priority="2889">
      <formula>$H796="ETAPA"</formula>
    </cfRule>
    <cfRule type="expression" dxfId="5532" priority="2887">
      <formula>$H796="SUBETAPA"</formula>
    </cfRule>
    <cfRule type="expression" dxfId="5531" priority="2888">
      <formula>$H796="CÉLULA CONSTRUTIVA"</formula>
    </cfRule>
  </conditionalFormatting>
  <conditionalFormatting sqref="M799:M801">
    <cfRule type="expression" dxfId="5530" priority="2841">
      <formula>$H799="SUBETAPA"</formula>
    </cfRule>
    <cfRule type="expression" dxfId="5529" priority="2843">
      <formula>$H799="ETAPA"</formula>
    </cfRule>
    <cfRule type="expression" dxfId="5528" priority="2842">
      <formula>$H799="CÉLULA CONSTRUTIVA"</formula>
    </cfRule>
  </conditionalFormatting>
  <conditionalFormatting sqref="M802">
    <cfRule type="expression" dxfId="5527" priority="5795">
      <formula>$H802="ETAPA"</formula>
    </cfRule>
    <cfRule type="expression" dxfId="5526" priority="5793">
      <formula>$H802="SUBETAPA"</formula>
    </cfRule>
    <cfRule type="expression" dxfId="5525" priority="5794">
      <formula>$H802="CÉLULA CONSTRUTIVA"</formula>
    </cfRule>
  </conditionalFormatting>
  <conditionalFormatting sqref="M804">
    <cfRule type="expression" dxfId="5524" priority="5791">
      <formula>$H804="CÉLULA CONSTRUTIVA"</formula>
    </cfRule>
    <cfRule type="expression" dxfId="5523" priority="5792">
      <formula>$H804="ETAPA"</formula>
    </cfRule>
    <cfRule type="expression" dxfId="5522" priority="5790">
      <formula>$H804="SUBETAPA"</formula>
    </cfRule>
  </conditionalFormatting>
  <conditionalFormatting sqref="M806">
    <cfRule type="expression" dxfId="5521" priority="5788">
      <formula>$H806="CÉLULA CONSTRUTIVA"</formula>
    </cfRule>
    <cfRule type="expression" dxfId="5520" priority="5789">
      <formula>$H806="ETAPA"</formula>
    </cfRule>
    <cfRule type="expression" dxfId="5519" priority="5787">
      <formula>$H806="SUBETAPA"</formula>
    </cfRule>
  </conditionalFormatting>
  <conditionalFormatting sqref="M810">
    <cfRule type="expression" dxfId="5518" priority="5784">
      <formula>$H810="SUBETAPA"</formula>
    </cfRule>
    <cfRule type="expression" dxfId="5517" priority="5785">
      <formula>$H810="CÉLULA CONSTRUTIVA"</formula>
    </cfRule>
    <cfRule type="expression" dxfId="5516" priority="5786">
      <formula>$H810="ETAPA"</formula>
    </cfRule>
  </conditionalFormatting>
  <conditionalFormatting sqref="M811">
    <cfRule type="expression" dxfId="5515" priority="2824">
      <formula>$H811="SUBETAPA"</formula>
    </cfRule>
    <cfRule type="expression" dxfId="5514" priority="2826">
      <formula>$H811="ETAPA"</formula>
    </cfRule>
    <cfRule type="expression" dxfId="5513" priority="2825">
      <formula>$H811="CÉLULA CONSTRUTIVA"</formula>
    </cfRule>
  </conditionalFormatting>
  <conditionalFormatting sqref="M813:M815">
    <cfRule type="expression" dxfId="5512" priority="5781">
      <formula>$H813="SUBETAPA"</formula>
    </cfRule>
    <cfRule type="expression" dxfId="5511" priority="5783">
      <formula>$H813="ETAPA"</formula>
    </cfRule>
    <cfRule type="expression" dxfId="5510" priority="5782">
      <formula>$H813="CÉLULA CONSTRUTIVA"</formula>
    </cfRule>
  </conditionalFormatting>
  <conditionalFormatting sqref="M817">
    <cfRule type="expression" dxfId="5509" priority="5779">
      <formula>$H817="CÉLULA CONSTRUTIVA"</formula>
    </cfRule>
    <cfRule type="expression" dxfId="5508" priority="5780">
      <formula>$H817="ETAPA"</formula>
    </cfRule>
    <cfRule type="expression" dxfId="5507" priority="5778">
      <formula>$H817="SUBETAPA"</formula>
    </cfRule>
  </conditionalFormatting>
  <conditionalFormatting sqref="M819">
    <cfRule type="expression" dxfId="5506" priority="5777">
      <formula>$H819="ETAPA"</formula>
    </cfRule>
    <cfRule type="expression" dxfId="5505" priority="5776">
      <formula>$H819="CÉLULA CONSTRUTIVA"</formula>
    </cfRule>
    <cfRule type="expression" dxfId="5504" priority="5775">
      <formula>$H819="SUBETAPA"</formula>
    </cfRule>
  </conditionalFormatting>
  <conditionalFormatting sqref="M822">
    <cfRule type="expression" dxfId="5503" priority="5772">
      <formula>$H822="SUBETAPA"</formula>
    </cfRule>
    <cfRule type="expression" dxfId="5502" priority="5774">
      <formula>$H822="ETAPA"</formula>
    </cfRule>
    <cfRule type="expression" dxfId="5501" priority="5773">
      <formula>$H822="CÉLULA CONSTRUTIVA"</formula>
    </cfRule>
  </conditionalFormatting>
  <conditionalFormatting sqref="M824:M827">
    <cfRule type="expression" dxfId="5500" priority="5771">
      <formula>$H824="ETAPA"</formula>
    </cfRule>
    <cfRule type="expression" dxfId="5499" priority="5770">
      <formula>$H824="CÉLULA CONSTRUTIVA"</formula>
    </cfRule>
    <cfRule type="expression" dxfId="5498" priority="5769">
      <formula>$H824="SUBETAPA"</formula>
    </cfRule>
  </conditionalFormatting>
  <conditionalFormatting sqref="M829">
    <cfRule type="expression" dxfId="5497" priority="5767">
      <formula>$H829="CÉLULA CONSTRUTIVA"</formula>
    </cfRule>
    <cfRule type="expression" dxfId="5496" priority="5768">
      <formula>$H829="ETAPA"</formula>
    </cfRule>
    <cfRule type="expression" dxfId="5495" priority="5766">
      <formula>$H829="SUBETAPA"</formula>
    </cfRule>
  </conditionalFormatting>
  <conditionalFormatting sqref="M831">
    <cfRule type="expression" dxfId="5494" priority="5765">
      <formula>$H831="ETAPA"</formula>
    </cfRule>
    <cfRule type="expression" dxfId="5493" priority="5763">
      <formula>$H831="SUBETAPA"</formula>
    </cfRule>
    <cfRule type="expression" dxfId="5492" priority="5764">
      <formula>$H831="CÉLULA CONSTRUTIVA"</formula>
    </cfRule>
  </conditionalFormatting>
  <conditionalFormatting sqref="M832">
    <cfRule type="expression" dxfId="5491" priority="1649">
      <formula>$H832="SUBETAPA"</formula>
    </cfRule>
    <cfRule type="expression" dxfId="5490" priority="1650">
      <formula>$H832="CÉLULA CONSTRUTIVA"</formula>
    </cfRule>
    <cfRule type="expression" dxfId="5489" priority="1651">
      <formula>$H832="ETAPA"</formula>
    </cfRule>
  </conditionalFormatting>
  <conditionalFormatting sqref="M836">
    <cfRule type="expression" dxfId="5488" priority="5761">
      <formula>$H836="CÉLULA CONSTRUTIVA"</formula>
    </cfRule>
    <cfRule type="expression" dxfId="5487" priority="5760">
      <formula>$H836="SUBETAPA"</formula>
    </cfRule>
    <cfRule type="expression" dxfId="5486" priority="5762">
      <formula>$H836="ETAPA"</formula>
    </cfRule>
  </conditionalFormatting>
  <conditionalFormatting sqref="M838">
    <cfRule type="expression" dxfId="5485" priority="5759">
      <formula>$H838="ETAPA"</formula>
    </cfRule>
    <cfRule type="expression" dxfId="5484" priority="5758">
      <formula>$H838="CÉLULA CONSTRUTIVA"</formula>
    </cfRule>
    <cfRule type="expression" dxfId="5483" priority="5757">
      <formula>$H838="SUBETAPA"</formula>
    </cfRule>
  </conditionalFormatting>
  <conditionalFormatting sqref="M839">
    <cfRule type="expression" dxfId="5482" priority="5751">
      <formula>$H839="SUBETAPA"</formula>
    </cfRule>
    <cfRule type="expression" dxfId="5481" priority="5752">
      <formula>$H839="CÉLULA CONSTRUTIVA"</formula>
    </cfRule>
    <cfRule type="expression" dxfId="5480" priority="5753">
      <formula>$H839="ETAPA"</formula>
    </cfRule>
  </conditionalFormatting>
  <conditionalFormatting sqref="M841">
    <cfRule type="expression" dxfId="5479" priority="5749">
      <formula>$H841="CÉLULA CONSTRUTIVA"</formula>
    </cfRule>
    <cfRule type="expression" dxfId="5478" priority="5748">
      <formula>$H841="SUBETAPA"</formula>
    </cfRule>
    <cfRule type="expression" dxfId="5477" priority="5750">
      <formula>$H841="ETAPA"</formula>
    </cfRule>
  </conditionalFormatting>
  <conditionalFormatting sqref="M844">
    <cfRule type="expression" dxfId="5476" priority="5747">
      <formula>$H844="ETAPA"</formula>
    </cfRule>
    <cfRule type="expression" dxfId="5475" priority="5746">
      <formula>$H844="CÉLULA CONSTRUTIVA"</formula>
    </cfRule>
    <cfRule type="expression" dxfId="5474" priority="5745">
      <formula>$H844="SUBETAPA"</formula>
    </cfRule>
  </conditionalFormatting>
  <conditionalFormatting sqref="M849">
    <cfRule type="expression" dxfId="5473" priority="5741">
      <formula>$H849="ETAPA"</formula>
    </cfRule>
    <cfRule type="expression" dxfId="5472" priority="5740">
      <formula>$H849="CÉLULA CONSTRUTIVA"</formula>
    </cfRule>
    <cfRule type="expression" dxfId="5471" priority="5739">
      <formula>$H849="SUBETAPA"</formula>
    </cfRule>
  </conditionalFormatting>
  <conditionalFormatting sqref="M852">
    <cfRule type="expression" dxfId="5470" priority="5738">
      <formula>$H852="ETAPA"</formula>
    </cfRule>
    <cfRule type="expression" dxfId="5469" priority="5737">
      <formula>$H852="CÉLULA CONSTRUTIVA"</formula>
    </cfRule>
    <cfRule type="expression" dxfId="5468" priority="5736">
      <formula>$H852="SUBETAPA"</formula>
    </cfRule>
  </conditionalFormatting>
  <conditionalFormatting sqref="M857">
    <cfRule type="expression" dxfId="5467" priority="1724">
      <formula>$H857="SUBETAPA"</formula>
    </cfRule>
    <cfRule type="expression" dxfId="5466" priority="1726">
      <formula>$H857="ETAPA"</formula>
    </cfRule>
    <cfRule type="expression" dxfId="5465" priority="1725">
      <formula>$H857="CÉLULA CONSTRUTIVA"</formula>
    </cfRule>
  </conditionalFormatting>
  <conditionalFormatting sqref="M860">
    <cfRule type="expression" dxfId="5464" priority="5732">
      <formula>$H860="ETAPA"</formula>
    </cfRule>
    <cfRule type="expression" dxfId="5463" priority="5731">
      <formula>$H860="CÉLULA CONSTRUTIVA"</formula>
    </cfRule>
    <cfRule type="expression" dxfId="5462" priority="5730">
      <formula>$H860="SUBETAPA"</formula>
    </cfRule>
  </conditionalFormatting>
  <conditionalFormatting sqref="M865">
    <cfRule type="expression" dxfId="5461" priority="5724">
      <formula>$H865="SUBETAPA"</formula>
    </cfRule>
    <cfRule type="expression" dxfId="5460" priority="5726">
      <formula>$H865="ETAPA"</formula>
    </cfRule>
    <cfRule type="expression" dxfId="5459" priority="5725">
      <formula>$H865="CÉLULA CONSTRUTIVA"</formula>
    </cfRule>
  </conditionalFormatting>
  <conditionalFormatting sqref="M868">
    <cfRule type="expression" dxfId="5458" priority="5721">
      <formula>$H868="SUBETAPA"</formula>
    </cfRule>
    <cfRule type="expression" dxfId="5457" priority="5723">
      <formula>$H868="ETAPA"</formula>
    </cfRule>
    <cfRule type="expression" dxfId="5456" priority="5722">
      <formula>$H868="CÉLULA CONSTRUTIVA"</formula>
    </cfRule>
  </conditionalFormatting>
  <conditionalFormatting sqref="M873">
    <cfRule type="expression" dxfId="5455" priority="5717">
      <formula>$H873="ETAPA"</formula>
    </cfRule>
    <cfRule type="expression" dxfId="5454" priority="5716">
      <formula>$H873="CÉLULA CONSTRUTIVA"</formula>
    </cfRule>
    <cfRule type="expression" dxfId="5453" priority="5715">
      <formula>$H873="SUBETAPA"</formula>
    </cfRule>
  </conditionalFormatting>
  <conditionalFormatting sqref="M876">
    <cfRule type="expression" dxfId="5452" priority="5714">
      <formula>$H876="ETAPA"</formula>
    </cfRule>
    <cfRule type="expression" dxfId="5451" priority="5713">
      <formula>$H876="CÉLULA CONSTRUTIVA"</formula>
    </cfRule>
    <cfRule type="expression" dxfId="5450" priority="5712">
      <formula>$H876="SUBETAPA"</formula>
    </cfRule>
  </conditionalFormatting>
  <conditionalFormatting sqref="M881">
    <cfRule type="expression" dxfId="5449" priority="5708">
      <formula>$H881="ETAPA"</formula>
    </cfRule>
    <cfRule type="expression" dxfId="5448" priority="5706">
      <formula>$H881="SUBETAPA"</formula>
    </cfRule>
    <cfRule type="expression" dxfId="5447" priority="5707">
      <formula>$H881="CÉLULA CONSTRUTIVA"</formula>
    </cfRule>
  </conditionalFormatting>
  <conditionalFormatting sqref="M884">
    <cfRule type="expression" dxfId="5446" priority="5703">
      <formula>$H884="SUBETAPA"</formula>
    </cfRule>
    <cfRule type="expression" dxfId="5445" priority="5704">
      <formula>$H884="CÉLULA CONSTRUTIVA"</formula>
    </cfRule>
    <cfRule type="expression" dxfId="5444" priority="5705">
      <formula>$H884="ETAPA"</formula>
    </cfRule>
  </conditionalFormatting>
  <conditionalFormatting sqref="M886">
    <cfRule type="expression" dxfId="5443" priority="5701">
      <formula>$H886="CÉLULA CONSTRUTIVA"</formula>
    </cfRule>
    <cfRule type="expression" dxfId="5442" priority="5702">
      <formula>$H886="ETAPA"</formula>
    </cfRule>
    <cfRule type="expression" dxfId="5441" priority="5700">
      <formula>$H886="SUBETAPA"</formula>
    </cfRule>
  </conditionalFormatting>
  <conditionalFormatting sqref="M889">
    <cfRule type="expression" dxfId="5440" priority="5699">
      <formula>$H889="ETAPA"</formula>
    </cfRule>
    <cfRule type="expression" dxfId="5439" priority="5698">
      <formula>$H889="CÉLULA CONSTRUTIVA"</formula>
    </cfRule>
    <cfRule type="expression" dxfId="5438" priority="5697">
      <formula>$H889="SUBETAPA"</formula>
    </cfRule>
  </conditionalFormatting>
  <conditionalFormatting sqref="M891">
    <cfRule type="expression" dxfId="5437" priority="5696">
      <formula>$H891="ETAPA"</formula>
    </cfRule>
    <cfRule type="expression" dxfId="5436" priority="5695">
      <formula>$H891="CÉLULA CONSTRUTIVA"</formula>
    </cfRule>
    <cfRule type="expression" dxfId="5435" priority="5694">
      <formula>$H891="SUBETAPA"</formula>
    </cfRule>
  </conditionalFormatting>
  <conditionalFormatting sqref="M895:M899">
    <cfRule type="expression" dxfId="5434" priority="5693">
      <formula>$H895="ETAPA"</formula>
    </cfRule>
    <cfRule type="expression" dxfId="5433" priority="5691">
      <formula>$H895="SUBETAPA"</formula>
    </cfRule>
    <cfRule type="expression" dxfId="5432" priority="5692">
      <formula>$H895="CÉLULA CONSTRUTIVA"</formula>
    </cfRule>
  </conditionalFormatting>
  <conditionalFormatting sqref="M901:M905">
    <cfRule type="expression" dxfId="5431" priority="5687">
      <formula>$H901="ETAPA"</formula>
    </cfRule>
    <cfRule type="expression" dxfId="5430" priority="5686">
      <formula>$H901="CÉLULA CONSTRUTIVA"</formula>
    </cfRule>
    <cfRule type="expression" dxfId="5429" priority="5685">
      <formula>$H901="SUBETAPA"</formula>
    </cfRule>
  </conditionalFormatting>
  <conditionalFormatting sqref="M907">
    <cfRule type="expression" dxfId="5428" priority="5683">
      <formula>$H907="CÉLULA CONSTRUTIVA"</formula>
    </cfRule>
    <cfRule type="expression" dxfId="5427" priority="5682">
      <formula>$H907="SUBETAPA"</formula>
    </cfRule>
    <cfRule type="expression" dxfId="5426" priority="5684">
      <formula>$H907="ETAPA"</formula>
    </cfRule>
  </conditionalFormatting>
  <conditionalFormatting sqref="M909">
    <cfRule type="expression" dxfId="5425" priority="5681">
      <formula>$H909="ETAPA"</formula>
    </cfRule>
    <cfRule type="expression" dxfId="5424" priority="5679">
      <formula>$H909="SUBETAPA"</formula>
    </cfRule>
    <cfRule type="expression" dxfId="5423" priority="5680">
      <formula>$H909="CÉLULA CONSTRUTIVA"</formula>
    </cfRule>
  </conditionalFormatting>
  <conditionalFormatting sqref="M914:M916">
    <cfRule type="expression" dxfId="5422" priority="5674">
      <formula>$H914="CÉLULA CONSTRUTIVA"</formula>
    </cfRule>
    <cfRule type="expression" dxfId="5421" priority="5673">
      <formula>$H914="SUBETAPA"</formula>
    </cfRule>
    <cfRule type="expression" dxfId="5420" priority="5675">
      <formula>$H914="ETAPA"</formula>
    </cfRule>
  </conditionalFormatting>
  <conditionalFormatting sqref="M918">
    <cfRule type="expression" dxfId="5419" priority="5670">
      <formula>$H918="SUBETAPA"</formula>
    </cfRule>
    <cfRule type="expression" dxfId="5418" priority="5671">
      <formula>$H918="CÉLULA CONSTRUTIVA"</formula>
    </cfRule>
    <cfRule type="expression" dxfId="5417" priority="5672">
      <formula>$H918="ETAPA"</formula>
    </cfRule>
  </conditionalFormatting>
  <conditionalFormatting sqref="M920">
    <cfRule type="expression" dxfId="5416" priority="5668">
      <formula>$H920="CÉLULA CONSTRUTIVA"</formula>
    </cfRule>
    <cfRule type="expression" dxfId="5415" priority="5669">
      <formula>$H920="ETAPA"</formula>
    </cfRule>
    <cfRule type="expression" dxfId="5414" priority="5667">
      <formula>$H920="SUBETAPA"</formula>
    </cfRule>
  </conditionalFormatting>
  <conditionalFormatting sqref="M923:M924">
    <cfRule type="expression" dxfId="5413" priority="5666">
      <formula>$H923="ETAPA"</formula>
    </cfRule>
    <cfRule type="expression" dxfId="5412" priority="5664">
      <formula>$H923="SUBETAPA"</formula>
    </cfRule>
    <cfRule type="expression" dxfId="5411" priority="5665">
      <formula>$H923="CÉLULA CONSTRUTIVA"</formula>
    </cfRule>
  </conditionalFormatting>
  <conditionalFormatting sqref="M926">
    <cfRule type="expression" dxfId="5410" priority="5663">
      <formula>$H926="ETAPA"</formula>
    </cfRule>
    <cfRule type="expression" dxfId="5409" priority="5662">
      <formula>$H926="CÉLULA CONSTRUTIVA"</formula>
    </cfRule>
    <cfRule type="expression" dxfId="5408" priority="5661">
      <formula>$H926="SUBETAPA"</formula>
    </cfRule>
  </conditionalFormatting>
  <conditionalFormatting sqref="M928">
    <cfRule type="expression" dxfId="5407" priority="5658">
      <formula>$H928="SUBETAPA"</formula>
    </cfRule>
    <cfRule type="expression" dxfId="5406" priority="5659">
      <formula>$H928="CÉLULA CONSTRUTIVA"</formula>
    </cfRule>
    <cfRule type="expression" dxfId="5405" priority="5660">
      <formula>$H928="ETAPA"</formula>
    </cfRule>
  </conditionalFormatting>
  <conditionalFormatting sqref="M929">
    <cfRule type="expression" dxfId="5404" priority="5657">
      <formula>$H929="ETAPA"</formula>
    </cfRule>
    <cfRule type="expression" dxfId="5403" priority="5655">
      <formula>$H929="SUBETAPA"</formula>
    </cfRule>
    <cfRule type="expression" dxfId="5402" priority="5656">
      <formula>$H929="CÉLULA CONSTRUTIVA"</formula>
    </cfRule>
  </conditionalFormatting>
  <conditionalFormatting sqref="M931">
    <cfRule type="expression" dxfId="5401" priority="5653">
      <formula>$H931="CÉLULA CONSTRUTIVA"</formula>
    </cfRule>
    <cfRule type="expression" dxfId="5400" priority="5654">
      <formula>$H931="ETAPA"</formula>
    </cfRule>
    <cfRule type="expression" dxfId="5399" priority="5652">
      <formula>$H931="SUBETAPA"</formula>
    </cfRule>
  </conditionalFormatting>
  <conditionalFormatting sqref="M934">
    <cfRule type="expression" dxfId="5398" priority="5651">
      <formula>$H934="ETAPA"</formula>
    </cfRule>
    <cfRule type="expression" dxfId="5397" priority="5649">
      <formula>$H934="SUBETAPA"</formula>
    </cfRule>
    <cfRule type="expression" dxfId="5396" priority="5650">
      <formula>$H934="CÉLULA CONSTRUTIVA"</formula>
    </cfRule>
  </conditionalFormatting>
  <conditionalFormatting sqref="M935">
    <cfRule type="expression" dxfId="5395" priority="5646">
      <formula>$H935="SUBETAPA"</formula>
    </cfRule>
    <cfRule type="expression" dxfId="5394" priority="5647">
      <formula>$H935="CÉLULA CONSTRUTIVA"</formula>
    </cfRule>
    <cfRule type="expression" dxfId="5393" priority="5648">
      <formula>$H935="ETAPA"</formula>
    </cfRule>
  </conditionalFormatting>
  <conditionalFormatting sqref="M937">
    <cfRule type="expression" dxfId="5392" priority="5645">
      <formula>$H937="ETAPA"</formula>
    </cfRule>
    <cfRule type="expression" dxfId="5391" priority="5643">
      <formula>$H937="SUBETAPA"</formula>
    </cfRule>
    <cfRule type="expression" dxfId="5390" priority="5644">
      <formula>$H937="CÉLULA CONSTRUTIVA"</formula>
    </cfRule>
  </conditionalFormatting>
  <conditionalFormatting sqref="M939:M940">
    <cfRule type="expression" dxfId="5389" priority="5642">
      <formula>$H939="ETAPA"</formula>
    </cfRule>
    <cfRule type="expression" dxfId="5388" priority="5641">
      <formula>$H939="CÉLULA CONSTRUTIVA"</formula>
    </cfRule>
    <cfRule type="expression" dxfId="5387" priority="5640">
      <formula>$H939="SUBETAPA"</formula>
    </cfRule>
  </conditionalFormatting>
  <conditionalFormatting sqref="M942">
    <cfRule type="expression" dxfId="5386" priority="5638">
      <formula>$H942="CÉLULA CONSTRUTIVA"</formula>
    </cfRule>
    <cfRule type="expression" dxfId="5385" priority="5637">
      <formula>$H942="SUBETAPA"</formula>
    </cfRule>
    <cfRule type="expression" dxfId="5384" priority="5639">
      <formula>$H942="ETAPA"</formula>
    </cfRule>
  </conditionalFormatting>
  <conditionalFormatting sqref="M945">
    <cfRule type="expression" dxfId="5383" priority="5634">
      <formula>$H945="SUBETAPA"</formula>
    </cfRule>
    <cfRule type="expression" dxfId="5382" priority="5635">
      <formula>$H945="CÉLULA CONSTRUTIVA"</formula>
    </cfRule>
    <cfRule type="expression" dxfId="5381" priority="5636">
      <formula>$H945="ETAPA"</formula>
    </cfRule>
  </conditionalFormatting>
  <conditionalFormatting sqref="M947">
    <cfRule type="expression" dxfId="5380" priority="5633">
      <formula>$H947="ETAPA"</formula>
    </cfRule>
    <cfRule type="expression" dxfId="5379" priority="5632">
      <formula>$H947="CÉLULA CONSTRUTIVA"</formula>
    </cfRule>
    <cfRule type="expression" dxfId="5378" priority="5631">
      <formula>$H947="SUBETAPA"</formula>
    </cfRule>
  </conditionalFormatting>
  <conditionalFormatting sqref="M949">
    <cfRule type="expression" dxfId="5377" priority="5630">
      <formula>$H949="ETAPA"</formula>
    </cfRule>
    <cfRule type="expression" dxfId="5376" priority="5629">
      <formula>$H949="CÉLULA CONSTRUTIVA"</formula>
    </cfRule>
    <cfRule type="expression" dxfId="5375" priority="5628">
      <formula>$H949="SUBETAPA"</formula>
    </cfRule>
  </conditionalFormatting>
  <conditionalFormatting sqref="M951">
    <cfRule type="expression" dxfId="5374" priority="5627">
      <formula>$H951="ETAPA"</formula>
    </cfRule>
    <cfRule type="expression" dxfId="5373" priority="5625">
      <formula>$H951="SUBETAPA"</formula>
    </cfRule>
    <cfRule type="expression" dxfId="5372" priority="5626">
      <formula>$H951="CÉLULA CONSTRUTIVA"</formula>
    </cfRule>
  </conditionalFormatting>
  <conditionalFormatting sqref="M954:M957">
    <cfRule type="expression" dxfId="5371" priority="5622">
      <formula>$H954="SUBETAPA"</formula>
    </cfRule>
    <cfRule type="expression" dxfId="5370" priority="5623">
      <formula>$H954="CÉLULA CONSTRUTIVA"</formula>
    </cfRule>
    <cfRule type="expression" dxfId="5369" priority="5624">
      <formula>$H954="ETAPA"</formula>
    </cfRule>
  </conditionalFormatting>
  <conditionalFormatting sqref="M959">
    <cfRule type="expression" dxfId="5368" priority="5620">
      <formula>$H959="CÉLULA CONSTRUTIVA"</formula>
    </cfRule>
    <cfRule type="expression" dxfId="5367" priority="5619">
      <formula>$H959="SUBETAPA"</formula>
    </cfRule>
    <cfRule type="expression" dxfId="5366" priority="5621">
      <formula>$H959="ETAPA"</formula>
    </cfRule>
  </conditionalFormatting>
  <conditionalFormatting sqref="M961">
    <cfRule type="expression" dxfId="5365" priority="5616">
      <formula>$H961="SUBETAPA"</formula>
    </cfRule>
    <cfRule type="expression" dxfId="5364" priority="5618">
      <formula>$H961="ETAPA"</formula>
    </cfRule>
    <cfRule type="expression" dxfId="5363" priority="5617">
      <formula>$H961="CÉLULA CONSTRUTIVA"</formula>
    </cfRule>
  </conditionalFormatting>
  <conditionalFormatting sqref="M963">
    <cfRule type="expression" dxfId="5362" priority="5613">
      <formula>$H963="SUBETAPA"</formula>
    </cfRule>
    <cfRule type="expression" dxfId="5361" priority="5614">
      <formula>$H963="CÉLULA CONSTRUTIVA"</formula>
    </cfRule>
    <cfRule type="expression" dxfId="5360" priority="5615">
      <formula>$H963="ETAPA"</formula>
    </cfRule>
  </conditionalFormatting>
  <conditionalFormatting sqref="M965:M966">
    <cfRule type="expression" dxfId="5359" priority="5611">
      <formula>$H965="CÉLULA CONSTRUTIVA"</formula>
    </cfRule>
    <cfRule type="expression" dxfId="5358" priority="5610">
      <formula>$H965="SUBETAPA"</formula>
    </cfRule>
    <cfRule type="expression" dxfId="5357" priority="5612">
      <formula>$H965="ETAPA"</formula>
    </cfRule>
  </conditionalFormatting>
  <conditionalFormatting sqref="M968">
    <cfRule type="expression" dxfId="5356" priority="5609">
      <formula>$H968="ETAPA"</formula>
    </cfRule>
    <cfRule type="expression" dxfId="5355" priority="5608">
      <formula>$H968="CÉLULA CONSTRUTIVA"</formula>
    </cfRule>
    <cfRule type="expression" dxfId="5354" priority="5607">
      <formula>$H968="SUBETAPA"</formula>
    </cfRule>
  </conditionalFormatting>
  <conditionalFormatting sqref="M970">
    <cfRule type="expression" dxfId="5353" priority="5606">
      <formula>$H970="ETAPA"</formula>
    </cfRule>
    <cfRule type="expression" dxfId="5352" priority="5605">
      <formula>$H970="CÉLULA CONSTRUTIVA"</formula>
    </cfRule>
    <cfRule type="expression" dxfId="5351" priority="5604">
      <formula>$H970="SUBETAPA"</formula>
    </cfRule>
  </conditionalFormatting>
  <conditionalFormatting sqref="M972">
    <cfRule type="expression" dxfId="5350" priority="5603">
      <formula>$H972="ETAPA"</formula>
    </cfRule>
    <cfRule type="expression" dxfId="5349" priority="5602">
      <formula>$H972="CÉLULA CONSTRUTIVA"</formula>
    </cfRule>
    <cfRule type="expression" dxfId="5348" priority="5601">
      <formula>$H972="SUBETAPA"</formula>
    </cfRule>
  </conditionalFormatting>
  <conditionalFormatting sqref="M974:M975">
    <cfRule type="expression" dxfId="5347" priority="5600">
      <formula>$H974="ETAPA"</formula>
    </cfRule>
    <cfRule type="expression" dxfId="5346" priority="5599">
      <formula>$H974="CÉLULA CONSTRUTIVA"</formula>
    </cfRule>
    <cfRule type="expression" dxfId="5345" priority="5598">
      <formula>$H974="SUBETAPA"</formula>
    </cfRule>
  </conditionalFormatting>
  <conditionalFormatting sqref="M977:M978">
    <cfRule type="expression" dxfId="5344" priority="5593">
      <formula>$H977="CÉLULA CONSTRUTIVA"</formula>
    </cfRule>
    <cfRule type="expression" dxfId="5343" priority="5594">
      <formula>$H977="ETAPA"</formula>
    </cfRule>
    <cfRule type="expression" dxfId="5342" priority="5592">
      <formula>$H977="SUBETAPA"</formula>
    </cfRule>
  </conditionalFormatting>
  <conditionalFormatting sqref="M980">
    <cfRule type="expression" dxfId="5341" priority="5590">
      <formula>$H980="CÉLULA CONSTRUTIVA"</formula>
    </cfRule>
    <cfRule type="expression" dxfId="5340" priority="5591">
      <formula>$H980="ETAPA"</formula>
    </cfRule>
    <cfRule type="expression" dxfId="5339" priority="5589">
      <formula>$H980="SUBETAPA"</formula>
    </cfRule>
  </conditionalFormatting>
  <conditionalFormatting sqref="M982">
    <cfRule type="expression" dxfId="5338" priority="5586">
      <formula>$H982="SUBETAPA"</formula>
    </cfRule>
    <cfRule type="expression" dxfId="5337" priority="5588">
      <formula>$H982="ETAPA"</formula>
    </cfRule>
    <cfRule type="expression" dxfId="5336" priority="5587">
      <formula>$H982="CÉLULA CONSTRUTIVA"</formula>
    </cfRule>
  </conditionalFormatting>
  <conditionalFormatting sqref="M984">
    <cfRule type="expression" dxfId="5335" priority="5585">
      <formula>$H984="ETAPA"</formula>
    </cfRule>
    <cfRule type="expression" dxfId="5334" priority="5584">
      <formula>$H984="CÉLULA CONSTRUTIVA"</formula>
    </cfRule>
    <cfRule type="expression" dxfId="5333" priority="5583">
      <formula>$H984="SUBETAPA"</formula>
    </cfRule>
  </conditionalFormatting>
  <conditionalFormatting sqref="M987:M989">
    <cfRule type="expression" dxfId="5332" priority="5581">
      <formula>$H987="CÉLULA CONSTRUTIVA"</formula>
    </cfRule>
    <cfRule type="expression" dxfId="5331" priority="5582">
      <formula>$H987="ETAPA"</formula>
    </cfRule>
    <cfRule type="expression" dxfId="5330" priority="5580">
      <formula>$H987="SUBETAPA"</formula>
    </cfRule>
  </conditionalFormatting>
  <conditionalFormatting sqref="M991">
    <cfRule type="expression" dxfId="5329" priority="5578">
      <formula>$H991="CÉLULA CONSTRUTIVA"</formula>
    </cfRule>
    <cfRule type="expression" dxfId="5328" priority="5579">
      <formula>$H991="ETAPA"</formula>
    </cfRule>
    <cfRule type="expression" dxfId="5327" priority="5577">
      <formula>$H991="SUBETAPA"</formula>
    </cfRule>
  </conditionalFormatting>
  <conditionalFormatting sqref="M993">
    <cfRule type="expression" dxfId="5326" priority="5574">
      <formula>$H993="SUBETAPA"</formula>
    </cfRule>
    <cfRule type="expression" dxfId="5325" priority="5575">
      <formula>$H993="CÉLULA CONSTRUTIVA"</formula>
    </cfRule>
    <cfRule type="expression" dxfId="5324" priority="5576">
      <formula>$H993="ETAPA"</formula>
    </cfRule>
  </conditionalFormatting>
  <conditionalFormatting sqref="M995">
    <cfRule type="expression" dxfId="5323" priority="5573">
      <formula>$H995="ETAPA"</formula>
    </cfRule>
    <cfRule type="expression" dxfId="5322" priority="5571">
      <formula>$H995="SUBETAPA"</formula>
    </cfRule>
    <cfRule type="expression" dxfId="5321" priority="5572">
      <formula>$H995="CÉLULA CONSTRUTIVA"</formula>
    </cfRule>
  </conditionalFormatting>
  <conditionalFormatting sqref="M997">
    <cfRule type="expression" dxfId="5320" priority="5568">
      <formula>$H997="SUBETAPA"</formula>
    </cfRule>
    <cfRule type="expression" dxfId="5319" priority="5570">
      <formula>$H997="ETAPA"</formula>
    </cfRule>
    <cfRule type="expression" dxfId="5318" priority="5569">
      <formula>$H997="CÉLULA CONSTRUTIVA"</formula>
    </cfRule>
  </conditionalFormatting>
  <conditionalFormatting sqref="M999">
    <cfRule type="expression" dxfId="5317" priority="5567">
      <formula>$H999="ETAPA"</formula>
    </cfRule>
    <cfRule type="expression" dxfId="5316" priority="5566">
      <formula>$H999="CÉLULA CONSTRUTIVA"</formula>
    </cfRule>
    <cfRule type="expression" dxfId="5315" priority="5565">
      <formula>$H999="SUBETAPA"</formula>
    </cfRule>
  </conditionalFormatting>
  <conditionalFormatting sqref="M1000">
    <cfRule type="expression" dxfId="5314" priority="5564">
      <formula>$H1000="ETAPA"</formula>
    </cfRule>
    <cfRule type="expression" dxfId="5313" priority="5563">
      <formula>$H1000="CÉLULA CONSTRUTIVA"</formula>
    </cfRule>
    <cfRule type="expression" dxfId="5312" priority="5562">
      <formula>$H1000="SUBETAPA"</formula>
    </cfRule>
  </conditionalFormatting>
  <conditionalFormatting sqref="M1002">
    <cfRule type="expression" dxfId="5311" priority="5561">
      <formula>$H1002="ETAPA"</formula>
    </cfRule>
    <cfRule type="expression" dxfId="5310" priority="5560">
      <formula>$H1002="CÉLULA CONSTRUTIVA"</formula>
    </cfRule>
    <cfRule type="expression" dxfId="5309" priority="5559">
      <formula>$H1002="SUBETAPA"</formula>
    </cfRule>
  </conditionalFormatting>
  <conditionalFormatting sqref="M1004">
    <cfRule type="expression" dxfId="5308" priority="5556">
      <formula>$H1004="SUBETAPA"</formula>
    </cfRule>
    <cfRule type="expression" dxfId="5307" priority="5557">
      <formula>$H1004="CÉLULA CONSTRUTIVA"</formula>
    </cfRule>
    <cfRule type="expression" dxfId="5306" priority="5558">
      <formula>$H1004="ETAPA"</formula>
    </cfRule>
  </conditionalFormatting>
  <conditionalFormatting sqref="M1006">
    <cfRule type="expression" dxfId="5305" priority="5552">
      <formula>$H1006="ETAPA"</formula>
    </cfRule>
    <cfRule type="expression" dxfId="5304" priority="5550">
      <formula>$H1006="SUBETAPA"</formula>
    </cfRule>
    <cfRule type="expression" dxfId="5303" priority="5551">
      <formula>$H1006="CÉLULA CONSTRUTIVA"</formula>
    </cfRule>
  </conditionalFormatting>
  <conditionalFormatting sqref="M1007">
    <cfRule type="expression" dxfId="5302" priority="5555">
      <formula>$H1007="ETAPA"</formula>
    </cfRule>
    <cfRule type="expression" dxfId="5301" priority="5554">
      <formula>$H1007="CÉLULA CONSTRUTIVA"</formula>
    </cfRule>
    <cfRule type="expression" dxfId="5300" priority="5553">
      <formula>$H1007="SUBETAPA"</formula>
    </cfRule>
  </conditionalFormatting>
  <conditionalFormatting sqref="M1008">
    <cfRule type="expression" dxfId="5299" priority="5549">
      <formula>$H1008="ETAPA"</formula>
    </cfRule>
    <cfRule type="expression" dxfId="5298" priority="5547">
      <formula>$H1008="SUBETAPA"</formula>
    </cfRule>
    <cfRule type="expression" dxfId="5297" priority="5548">
      <formula>$H1008="CÉLULA CONSTRUTIVA"</formula>
    </cfRule>
  </conditionalFormatting>
  <conditionalFormatting sqref="M1010">
    <cfRule type="expression" dxfId="5296" priority="5546">
      <formula>$H1010="ETAPA"</formula>
    </cfRule>
    <cfRule type="expression" dxfId="5295" priority="5544">
      <formula>$H1010="SUBETAPA"</formula>
    </cfRule>
    <cfRule type="expression" dxfId="5294" priority="5545">
      <formula>$H1010="CÉLULA CONSTRUTIVA"</formula>
    </cfRule>
  </conditionalFormatting>
  <conditionalFormatting sqref="M1012">
    <cfRule type="expression" dxfId="5293" priority="5543">
      <formula>$H1012="ETAPA"</formula>
    </cfRule>
    <cfRule type="expression" dxfId="5292" priority="5542">
      <formula>$H1012="CÉLULA CONSTRUTIVA"</formula>
    </cfRule>
    <cfRule type="expression" dxfId="5291" priority="5541">
      <formula>$H1012="SUBETAPA"</formula>
    </cfRule>
  </conditionalFormatting>
  <conditionalFormatting sqref="M1016:M1036 P358:P360 P363:P367 M374:P374 N377:P379 N381:P385 N389:P389 P338:P340 M355:P355 P318:P320 M335:P335 N298:P301 M315:P315 N278:P281 G295:P295 N257:P260 O527:P527 O906:P906 M809:P809 O198:P198 G198:L201 O200:P200 G203:P211 G222:L224 N222:P224 G229:L230 N229:N230 P230 G231:P231 G232:L233 N232:P233 K234:P234 K235:L235 N235:P235 G243:P243 H243:H249 G244:L249 N244:O249 G250:P250 G251:L251 N251:O251 G252:P252 G253:L253 N253:P253 N262:O267 G268:O268 G270:L270 G271:M272 O272 M273 G275:O275 G281:L281 O289 G301:L301 O309 K312:M312 G322:M322 O329 K332:M332 O349 K352:M352 G362:M362 M363:M368 K371:M371 G381:L385 G388:M389 G410:L410 N410:O410 G424:L424 N424:O424 G438:L438 O438 G448:L449 N448:O449 G451:L451 O451 G476:L477 N476:O477 G479:L479 N479:O479 G489:L490 N489:O490 G496:L496 N496:O496 G497:P498 G499:M499 O499:P499 G500:L500 N500:O500 G501:M501 O501:P501 G502:L502 N502:O502 G503:M503 O503:P503 G504:L504 N504:O504 G505:M505 O505:P505 G506:L506 N506:O506 G507:M507 O507:P507 G508:L508 N508:O508 G509:M509 O509:P509 G510:L510 N510:O510 G511:M511 O511:P511 G512:L512 N512:O512 G513:P515 G516:L516 N516:O516 G517:P517 G518:M518 O518:P518 G521:M521 O521:P521 G522:L522 O522 G523:M523 O523:P523 G524:L524 O524 G525:M525 O525:P525 G526:L526 O526 G527:M527 G528:L528 O528 G529:M529 O529:P529 G530:L530 O530 G579:P580 G583:P583 G584:L584 N584 G585:P585 G586:L586 N586 G587:P587 G588:L588 N588:O588 G589:P591 G592:O593 G594:P594 G596:L596 N596:O596 M604:M606 M608:M609 P609 G612:M616 G617:P620 G628:P628 G636:P636 G639:M643 N642:P643 G646:L648 M646:M653 M656:M662 M664 G667:P667 G668:L668 M668:M679 G673:L679 N676:P679 G682:L684 M682:M686 G689:M691 N690:P691 G695:L697 M695:M699 G700:M702 N701:P702 G706:L706 N706:O707 G707:K707 L707:L710 K726:L726 O726:P726 G726:J727 K783:L784 M794:P794 G794:G795 K795:L795 N795:O795 G798 K798:M798 O798:P798 G809:G810 K810:L810 N810:O810 K812:L813 L814 G823:G826 G833:P834 G835:M835 O835:P835 G836:L836 N836:O836 G837:M837 O837:P837 N838:O838 G838:L839 N839:P839 G840:M840 O840:P840 G841:L841 N841:O841 M846:M847 P847 M854:M855 P855 M862:M863 P863 M870:M871 P871 M878:M879 P879 G882:P882 G883:M883 O883:P883 G884:L884 N884:O884 G885:P885 G886:L886 N886:O886 G887:P887 G888:M888 O888:P888 G889:L889 N889:O889 G890:P890 G891:L891 N891:O891 G899:L899 N899:O899 G902:K902 N902:O902 G906:M906 G907:L907 N907:O907 G909:L909 N909:O909 M911:M912 P911:P912 G923:I923 K923:L923 N923:O924 G924:L924 G925:M925 O925:P925 G926:L926 N926:O926 G934:L934 N934:O934 L935 G936:M936 O936:P936 G937:L937 N937:O937 G945:L945 N945:O945 G946:M946 O946:P946 G947:L947 N947:O947 L955:L956 G956:K956 N956:O956 L966 N972:O972 L988:L989 G989:K989 N989:O989 G992:M992 O992:P992 L993 G999:L999 N999:O999 L1000 G1020:K1022 N1020:O1022 G1029:K1029 N1029:O1029 P1031 M1038:M1056 G1043:K1043 N1043:O1043 P1049:P1053 G1053:I1053 N1053:O1053 M1058:M1076 G1060:K1063 N1060:O1063 P1069:P1073 G1073:I1073 N1073:O1073 M1078:M1150 G1080:K1083 N1080:O1083 P1089:P1093 G1093:I1093 N1093:O1093 G1096:L1096 N1096:O1096 G1098:K1101 N1098:O1101 G1107:I1107 N1107:O1107 K1107:K1110 P1107:P1110 G1109:I1110 N1109:O1110 G1113:L1113 N1113:O1113 G1115:K1117 N1115:O1117 G1123:K1123 N1123:P1125 G1124:I1125 K1124:K1125 G1128:L1128 N1128:O1128 G1130:K1133 N1130:O1133 G1139:K1139 O1139:O1140 P1139:P1141 G1140:I1140 K1140 G1142:L1142 N1142:P1142 N1144:O1144 G1144:K1145 O1145 G1151:I1152 M1151:P1152 O1163:P1163 G1164:L1167 N1164:O1167 O1173:P1173 L1174:M1174 P1174:P1177 G1175:O1175 G1177:O1177 G1180:M1180 O1180:P1180 G1181:O1182 G1188:L1188 N1188:O1188 M1191:P1191 G1194:L1195 N1194:O1195 G1197:L1197 N1197:O1197 M1199:M1204 G1211:L1213 N1211:O1213 G1222:L1224 N1223:O1224 M1223:M1226 G1227:L1229 G1230:O1232 N1240:O1242 M1240:M1244 G1241:L1242 G1245:L1249 M1246:O1246 N1262:O1264 M1262:M1266 G1263:L1264 G1267:L1269 G1274:P1275 G1276:M1276 O1276:P1276 G1277:L1277 N1277:P1277 G1278:M1278 O1278:P1278 G1279:L1279 N1279:P1279 G1280:P1280 G1281:M1281 O1281:P1281 G1282:O1282 G1283:P1285 G1286:M1286 O1286:P1286 G1287:P1287 G1301:N1301 P1301 O1307:P1307 G1308:O1308">
    <cfRule type="expression" dxfId="5290" priority="13148">
      <formula>$H198="SUBETAPA"</formula>
    </cfRule>
  </conditionalFormatting>
  <conditionalFormatting sqref="M1017">
    <cfRule type="expression" dxfId="5289" priority="3077">
      <formula>$H1017="CÉLULA CONSTRUTIVA"</formula>
    </cfRule>
    <cfRule type="expression" dxfId="5288" priority="3076">
      <formula>$H1017="SUBETAPA"</formula>
    </cfRule>
    <cfRule type="expression" dxfId="5287" priority="3078">
      <formula>$H1017="ETAPA"</formula>
    </cfRule>
  </conditionalFormatting>
  <conditionalFormatting sqref="M1020:M1029">
    <cfRule type="expression" dxfId="5286" priority="5536">
      <formula>$H1020="CÉLULA CONSTRUTIVA"</formula>
    </cfRule>
    <cfRule type="expression" dxfId="5285" priority="5537">
      <formula>$H1020="ETAPA"</formula>
    </cfRule>
    <cfRule type="expression" dxfId="5284" priority="5535">
      <formula>$H1020="SUBETAPA"</formula>
    </cfRule>
  </conditionalFormatting>
  <conditionalFormatting sqref="M1030">
    <cfRule type="expression" dxfId="5283" priority="3062">
      <formula>$H1030="SUBETAPA"</formula>
    </cfRule>
    <cfRule type="expression" dxfId="5282" priority="3064">
      <formula>$H1030="ETAPA"</formula>
    </cfRule>
    <cfRule type="expression" dxfId="5281" priority="3063">
      <formula>$H1030="CÉLULA CONSTRUTIVA"</formula>
    </cfRule>
  </conditionalFormatting>
  <conditionalFormatting sqref="M1037">
    <cfRule type="expression" dxfId="5280" priority="3061">
      <formula>$H1037="ETAPA"</formula>
    </cfRule>
    <cfRule type="expression" dxfId="5279" priority="3060">
      <formula>$H1037="CÉLULA CONSTRUTIVA"</formula>
    </cfRule>
    <cfRule type="expression" dxfId="5278" priority="3059">
      <formula>$H1037="SUBETAPA"</formula>
    </cfRule>
  </conditionalFormatting>
  <conditionalFormatting sqref="M1057">
    <cfRule type="expression" dxfId="5277" priority="3031">
      <formula>$H1057="CÉLULA CONSTRUTIVA"</formula>
    </cfRule>
    <cfRule type="expression" dxfId="5276" priority="3030">
      <formula>$H1057="SUBETAPA"</formula>
    </cfRule>
    <cfRule type="expression" dxfId="5275" priority="3032">
      <formula>$H1057="ETAPA"</formula>
    </cfRule>
  </conditionalFormatting>
  <conditionalFormatting sqref="M1077">
    <cfRule type="expression" dxfId="5274" priority="3009">
      <formula>$H1077="ETAPA"</formula>
    </cfRule>
    <cfRule type="expression" dxfId="5273" priority="3008">
      <formula>$H1077="CÉLULA CONSTRUTIVA"</formula>
    </cfRule>
    <cfRule type="expression" dxfId="5272" priority="3007">
      <formula>$H1077="SUBETAPA"</formula>
    </cfRule>
  </conditionalFormatting>
  <conditionalFormatting sqref="M1164:M1168">
    <cfRule type="expression" dxfId="5271" priority="568">
      <formula>$H1164="CÉLULA CONSTRUTIVA"</formula>
    </cfRule>
    <cfRule type="expression" dxfId="5270" priority="569">
      <formula>$H1164="ETAPA"</formula>
    </cfRule>
    <cfRule type="expression" dxfId="5269" priority="570">
      <formula>$H1164="SUBETAPA"</formula>
    </cfRule>
    <cfRule type="expression" dxfId="5268" priority="571">
      <formula>$H1164="CÉLULA CONSTRUTIVA"</formula>
    </cfRule>
    <cfRule type="expression" dxfId="5267" priority="572">
      <formula>$H1164="ETAPA"</formula>
    </cfRule>
    <cfRule type="expression" dxfId="5266" priority="567">
      <formula>$H1164="SUBETAPA"</formula>
    </cfRule>
  </conditionalFormatting>
  <conditionalFormatting sqref="M1170">
    <cfRule type="expression" dxfId="5265" priority="561">
      <formula>$H1170="SUBETAPA"</formula>
    </cfRule>
    <cfRule type="expression" dxfId="5264" priority="562">
      <formula>$H1170="CÉLULA CONSTRUTIVA"</formula>
    </cfRule>
    <cfRule type="expression" dxfId="5263" priority="563">
      <formula>$H1170="ETAPA"</formula>
    </cfRule>
    <cfRule type="expression" dxfId="5262" priority="564">
      <formula>$H1170="SUBETAPA"</formula>
    </cfRule>
    <cfRule type="expression" dxfId="5261" priority="565">
      <formula>$H1170="CÉLULA CONSTRUTIVA"</formula>
    </cfRule>
    <cfRule type="expression" dxfId="5260" priority="566">
      <formula>$H1170="ETAPA"</formula>
    </cfRule>
  </conditionalFormatting>
  <conditionalFormatting sqref="M1184">
    <cfRule type="expression" dxfId="5259" priority="1090">
      <formula>$H1184="ETAPA"</formula>
    </cfRule>
    <cfRule type="expression" dxfId="5258" priority="1089">
      <formula>$H1184="CÉLULA CONSTRUTIVA"</formula>
    </cfRule>
    <cfRule type="expression" dxfId="5257" priority="1088">
      <formula>$H1184="SUBETAPA"</formula>
    </cfRule>
  </conditionalFormatting>
  <conditionalFormatting sqref="M1188">
    <cfRule type="expression" dxfId="5256" priority="2639">
      <formula>$H1188="ETAPA"</formula>
    </cfRule>
    <cfRule type="expression" dxfId="5255" priority="2638">
      <formula>$H1188="CÉLULA CONSTRUTIVA"</formula>
    </cfRule>
    <cfRule type="expression" dxfId="5254" priority="2637">
      <formula>$H1188="SUBETAPA"</formula>
    </cfRule>
    <cfRule type="expression" dxfId="5253" priority="2636">
      <formula>$H1188="ETAPA"</formula>
    </cfRule>
    <cfRule type="expression" dxfId="5252" priority="2635">
      <formula>$H1188="CÉLULA CONSTRUTIVA"</formula>
    </cfRule>
    <cfRule type="expression" dxfId="5251" priority="2634">
      <formula>$H1188="SUBETAPA"</formula>
    </cfRule>
  </conditionalFormatting>
  <conditionalFormatting sqref="M1190">
    <cfRule type="expression" dxfId="5250" priority="2489">
      <formula>$H1190="ETAPA"</formula>
    </cfRule>
    <cfRule type="expression" dxfId="5249" priority="2488">
      <formula>$H1190="CÉLULA CONSTRUTIVA"</formula>
    </cfRule>
    <cfRule type="expression" dxfId="5248" priority="2486">
      <formula>$H1190="ETAPA"</formula>
    </cfRule>
    <cfRule type="expression" dxfId="5247" priority="2485">
      <formula>$H1190="CÉLULA CONSTRUTIVA"</formula>
    </cfRule>
    <cfRule type="expression" dxfId="5246" priority="2484">
      <formula>$H1190="SUBETAPA"</formula>
    </cfRule>
    <cfRule type="expression" dxfId="5245" priority="2487">
      <formula>$H1190="SUBETAPA"</formula>
    </cfRule>
  </conditionalFormatting>
  <conditionalFormatting sqref="M1194:M1197">
    <cfRule type="expression" dxfId="5244" priority="3357">
      <formula>$H1194="ETAPA"</formula>
    </cfRule>
    <cfRule type="expression" dxfId="5243" priority="3356">
      <formula>$H1194="CÉLULA CONSTRUTIVA"</formula>
    </cfRule>
    <cfRule type="expression" dxfId="5242" priority="3355">
      <formula>$H1194="SUBETAPA"</formula>
    </cfRule>
  </conditionalFormatting>
  <conditionalFormatting sqref="M1206:M1207">
    <cfRule type="expression" dxfId="5241" priority="3349">
      <formula>$H1206="SUBETAPA"</formula>
    </cfRule>
    <cfRule type="expression" dxfId="5240" priority="3350">
      <formula>$H1206="CÉLULA CONSTRUTIVA"</formula>
    </cfRule>
    <cfRule type="expression" dxfId="5239" priority="3351">
      <formula>$H1206="ETAPA"</formula>
    </cfRule>
  </conditionalFormatting>
  <conditionalFormatting sqref="M1209">
    <cfRule type="expression" dxfId="5238" priority="3348">
      <formula>$H1209="ETAPA"</formula>
    </cfRule>
    <cfRule type="expression" dxfId="5237" priority="3346">
      <formula>$H1209="SUBETAPA"</formula>
    </cfRule>
    <cfRule type="expression" dxfId="5236" priority="3347">
      <formula>$H1209="CÉLULA CONSTRUTIVA"</formula>
    </cfRule>
  </conditionalFormatting>
  <conditionalFormatting sqref="M1211:M1213">
    <cfRule type="expression" dxfId="5235" priority="3344">
      <formula>$H1211="CÉLULA CONSTRUTIVA"</formula>
    </cfRule>
    <cfRule type="expression" dxfId="5234" priority="3345">
      <formula>$H1211="ETAPA"</formula>
    </cfRule>
    <cfRule type="expression" dxfId="5233" priority="3343">
      <formula>$H1211="SUBETAPA"</formula>
    </cfRule>
  </conditionalFormatting>
  <conditionalFormatting sqref="M1214">
    <cfRule type="expression" dxfId="5232" priority="3210">
      <formula>$H1214="SUBETAPA"</formula>
    </cfRule>
    <cfRule type="expression" dxfId="5231" priority="3212">
      <formula>$H1214="ETAPA"</formula>
    </cfRule>
    <cfRule type="expression" dxfId="5230" priority="3211">
      <formula>$H1214="CÉLULA CONSTRUTIVA"</formula>
    </cfRule>
  </conditionalFormatting>
  <conditionalFormatting sqref="M1215">
    <cfRule type="expression" dxfId="5229" priority="3250">
      <formula>$H1215="ETAPA"</formula>
    </cfRule>
    <cfRule type="expression" dxfId="5228" priority="3249">
      <formula>$H1215="CÉLULA CONSTRUTIVA"</formula>
    </cfRule>
    <cfRule type="expression" dxfId="5227" priority="3248">
      <formula>$H1215="SUBETAPA"</formula>
    </cfRule>
  </conditionalFormatting>
  <conditionalFormatting sqref="M1218:M1221">
    <cfRule type="expression" dxfId="5226" priority="3307">
      <formula>$H1218="SUBETAPA"</formula>
    </cfRule>
    <cfRule type="expression" dxfId="5225" priority="3308">
      <formula>$H1218="CÉLULA CONSTRUTIVA"</formula>
    </cfRule>
    <cfRule type="expression" dxfId="5224" priority="3309">
      <formula>$H1218="ETAPA"</formula>
    </cfRule>
  </conditionalFormatting>
  <conditionalFormatting sqref="M1222 M1227 M1229">
    <cfRule type="expression" dxfId="5223" priority="3310">
      <formula>$H1222="SUBETAPA"</formula>
    </cfRule>
    <cfRule type="expression" dxfId="5222" priority="3311">
      <formula>$H1222="CÉLULA CONSTRUTIVA"</formula>
    </cfRule>
    <cfRule type="expression" dxfId="5221" priority="3312">
      <formula>$H1222="ETAPA"</formula>
    </cfRule>
  </conditionalFormatting>
  <conditionalFormatting sqref="M1228">
    <cfRule type="expression" dxfId="5220" priority="3298">
      <formula>$H1228="SUBETAPA"</formula>
    </cfRule>
    <cfRule type="expression" dxfId="5219" priority="3299">
      <formula>$H1228="CÉLULA CONSTRUTIVA"</formula>
    </cfRule>
    <cfRule type="expression" dxfId="5218" priority="3300">
      <formula>$H1228="ETAPA"</formula>
    </cfRule>
  </conditionalFormatting>
  <conditionalFormatting sqref="M1235:M1238">
    <cfRule type="expression" dxfId="5217" priority="3290">
      <formula>$H1235="CÉLULA CONSTRUTIVA"</formula>
    </cfRule>
    <cfRule type="expression" dxfId="5216" priority="3291">
      <formula>$H1235="ETAPA"</formula>
    </cfRule>
    <cfRule type="expression" dxfId="5215" priority="3289">
      <formula>$H1235="SUBETAPA"</formula>
    </cfRule>
  </conditionalFormatting>
  <conditionalFormatting sqref="M1239 M1245 M1247 M1249">
    <cfRule type="expression" dxfId="5214" priority="3292">
      <formula>$H1239="SUBETAPA"</formula>
    </cfRule>
    <cfRule type="expression" dxfId="5213" priority="3293">
      <formula>$H1239="CÉLULA CONSTRUTIVA"</formula>
    </cfRule>
    <cfRule type="expression" dxfId="5212" priority="3294">
      <formula>$H1239="ETAPA"</formula>
    </cfRule>
  </conditionalFormatting>
  <conditionalFormatting sqref="M1248">
    <cfRule type="expression" dxfId="5211" priority="3281">
      <formula>$H1248="CÉLULA CONSTRUTIVA"</formula>
    </cfRule>
    <cfRule type="expression" dxfId="5210" priority="3282">
      <formula>$H1248="ETAPA"</formula>
    </cfRule>
    <cfRule type="expression" dxfId="5209" priority="3280">
      <formula>$H1248="SUBETAPA"</formula>
    </cfRule>
  </conditionalFormatting>
  <conditionalFormatting sqref="M1250:M1252">
    <cfRule type="expression" dxfId="5208" priority="3278">
      <formula>$H1250="CÉLULA CONSTRUTIVA"</formula>
    </cfRule>
    <cfRule type="expression" dxfId="5207" priority="3277">
      <formula>$H1250="SUBETAPA"</formula>
    </cfRule>
    <cfRule type="expression" dxfId="5206" priority="3279">
      <formula>$H1250="ETAPA"</formula>
    </cfRule>
  </conditionalFormatting>
  <conditionalFormatting sqref="M1253">
    <cfRule type="expression" dxfId="5205" priority="3199">
      <formula>$H1253="SUBETAPA"</formula>
    </cfRule>
    <cfRule type="expression" dxfId="5204" priority="3200">
      <formula>$H1253="CÉLULA CONSTRUTIVA"</formula>
    </cfRule>
    <cfRule type="expression" dxfId="5203" priority="3201">
      <formula>$H1253="ETAPA"</formula>
    </cfRule>
  </conditionalFormatting>
  <conditionalFormatting sqref="M1257:M1260">
    <cfRule type="expression" dxfId="5202" priority="3273">
      <formula>$H1257="ETAPA"</formula>
    </cfRule>
    <cfRule type="expression" dxfId="5201" priority="3271">
      <formula>$H1257="SUBETAPA"</formula>
    </cfRule>
    <cfRule type="expression" dxfId="5200" priority="3272">
      <formula>$H1257="CÉLULA CONSTRUTIVA"</formula>
    </cfRule>
  </conditionalFormatting>
  <conditionalFormatting sqref="M1261 M1267 M1269">
    <cfRule type="expression" dxfId="5199" priority="3276">
      <formula>$H1261="ETAPA"</formula>
    </cfRule>
    <cfRule type="expression" dxfId="5198" priority="3275">
      <formula>$H1261="CÉLULA CONSTRUTIVA"</formula>
    </cfRule>
    <cfRule type="expression" dxfId="5197" priority="3274">
      <formula>$H1261="SUBETAPA"</formula>
    </cfRule>
  </conditionalFormatting>
  <conditionalFormatting sqref="M1268">
    <cfRule type="expression" dxfId="5196" priority="3262">
      <formula>$H1268="SUBETAPA"</formula>
    </cfRule>
    <cfRule type="expression" dxfId="5195" priority="3263">
      <formula>$H1268="CÉLULA CONSTRUTIVA"</formula>
    </cfRule>
    <cfRule type="expression" dxfId="5194" priority="3264">
      <formula>$H1268="ETAPA"</formula>
    </cfRule>
  </conditionalFormatting>
  <conditionalFormatting sqref="M1270:M1272">
    <cfRule type="expression" dxfId="5193" priority="3261">
      <formula>$H1270="ETAPA"</formula>
    </cfRule>
    <cfRule type="expression" dxfId="5192" priority="3260">
      <formula>$H1270="CÉLULA CONSTRUTIVA"</formula>
    </cfRule>
    <cfRule type="expression" dxfId="5191" priority="3259">
      <formula>$H1270="SUBETAPA"</formula>
    </cfRule>
  </conditionalFormatting>
  <conditionalFormatting sqref="M1277">
    <cfRule type="expression" dxfId="5190" priority="975">
      <formula>$H1277="CÉLULA CONSTRUTIVA"</formula>
    </cfRule>
    <cfRule type="expression" dxfId="5189" priority="974">
      <formula>$H1277="SUBETAPA"</formula>
    </cfRule>
    <cfRule type="expression" dxfId="5188" priority="976">
      <formula>$H1277="ETAPA"</formula>
    </cfRule>
  </conditionalFormatting>
  <conditionalFormatting sqref="M1279">
    <cfRule type="expression" dxfId="5187" priority="973">
      <formula>$H1279="ETAPA"</formula>
    </cfRule>
    <cfRule type="expression" dxfId="5186" priority="972">
      <formula>$H1279="CÉLULA CONSTRUTIVA"</formula>
    </cfRule>
    <cfRule type="expression" dxfId="5185" priority="971">
      <formula>$H1279="SUBETAPA"</formula>
    </cfRule>
  </conditionalFormatting>
  <conditionalFormatting sqref="M395:P395 M397:P397 M401:P401">
    <cfRule type="expression" dxfId="5184" priority="11433">
      <formula>$H395="SUBETAPA"</formula>
    </cfRule>
  </conditionalFormatting>
  <conditionalFormatting sqref="M722:P722 G722:I723">
    <cfRule type="expression" dxfId="5183" priority="11338">
      <formula>$H722="SUBETAPA"</formula>
    </cfRule>
  </conditionalFormatting>
  <conditionalFormatting sqref="M816:P816">
    <cfRule type="expression" dxfId="5182" priority="11221">
      <formula>$H816="SUBETAPA"</formula>
    </cfRule>
  </conditionalFormatting>
  <conditionalFormatting sqref="M821:P821 G821:G822 K822:L822 N822:O822">
    <cfRule type="expression" dxfId="5181" priority="10195">
      <formula>$H821="ETAPA"</formula>
    </cfRule>
    <cfRule type="expression" dxfId="5180" priority="10194">
      <formula>$H821="CÉLULA CONSTRUTIVA"</formula>
    </cfRule>
    <cfRule type="expression" dxfId="5179" priority="10193">
      <formula>$H821="SUBETAPA"</formula>
    </cfRule>
  </conditionalFormatting>
  <conditionalFormatting sqref="N16 N18 N20 N22 N24:N25 N29 N31 N33:N35 N37 N44 N46:N48 N50 N58:N59 N61 N63 N65 N67 N69 N71 N73 N75 N77:N79 N81:N82 N84 N89:N93 N95:N96 N98 N100:N103 N105 N107:N108 N110:N112 N114 N116 N118 N120 N122 N124 N126 N128 N131 N133 N135 N137 N139 N141 N143 N145 N147 N149 N151:N152 N154 N156:N159 N161:N162 N164 N166 N168:N171 N173:N176 N178:N182 N184:N185 N189 N191 N193:N194 N196:N197 N199 N201 N27 N39:N41 N52:N56 N86:N87">
    <cfRule type="expression" dxfId="5178" priority="861">
      <formula>$H16="SUBETAPA"</formula>
    </cfRule>
    <cfRule type="expression" dxfId="5177" priority="863">
      <formula>$H16="ETAPA"</formula>
    </cfRule>
    <cfRule type="expression" dxfId="5176" priority="862">
      <formula>$H16="CÉLULA CONSTRUTIVA"</formula>
    </cfRule>
  </conditionalFormatting>
  <conditionalFormatting sqref="N17">
    <cfRule type="expression" dxfId="5175" priority="858">
      <formula>$H17="SUBETAPA"</formula>
    </cfRule>
    <cfRule type="expression" dxfId="5174" priority="860">
      <formula>$H17="ETAPA"</formula>
    </cfRule>
    <cfRule type="expression" dxfId="5173" priority="859">
      <formula>$H17="CÉLULA CONSTRUTIVA"</formula>
    </cfRule>
  </conditionalFormatting>
  <conditionalFormatting sqref="N19">
    <cfRule type="expression" dxfId="5172" priority="857">
      <formula>$H19="ETAPA"</formula>
    </cfRule>
    <cfRule type="expression" dxfId="5171" priority="856">
      <formula>$H19="CÉLULA CONSTRUTIVA"</formula>
    </cfRule>
    <cfRule type="expression" dxfId="5170" priority="855">
      <formula>$H19="SUBETAPA"</formula>
    </cfRule>
  </conditionalFormatting>
  <conditionalFormatting sqref="N21">
    <cfRule type="expression" dxfId="5169" priority="854">
      <formula>$H21="ETAPA"</formula>
    </cfRule>
    <cfRule type="expression" dxfId="5168" priority="853">
      <formula>$H21="CÉLULA CONSTRUTIVA"</formula>
    </cfRule>
    <cfRule type="expression" dxfId="5167" priority="852">
      <formula>$H21="SUBETAPA"</formula>
    </cfRule>
  </conditionalFormatting>
  <conditionalFormatting sqref="N23">
    <cfRule type="expression" dxfId="5166" priority="849">
      <formula>$H23="SUBETAPA"</formula>
    </cfRule>
    <cfRule type="expression" dxfId="5165" priority="850">
      <formula>$H23="CÉLULA CONSTRUTIVA"</formula>
    </cfRule>
    <cfRule type="expression" dxfId="5164" priority="851">
      <formula>$H23="ETAPA"</formula>
    </cfRule>
  </conditionalFormatting>
  <conditionalFormatting sqref="N26">
    <cfRule type="expression" dxfId="5163" priority="630">
      <formula>$H26="ETAPA"</formula>
    </cfRule>
    <cfRule type="expression" dxfId="5162" priority="628">
      <formula>$H26="SUBETAPA"</formula>
    </cfRule>
    <cfRule type="expression" dxfId="5161" priority="629">
      <formula>$H26="CÉLULA CONSTRUTIVA"</formula>
    </cfRule>
  </conditionalFormatting>
  <conditionalFormatting sqref="N28">
    <cfRule type="expression" dxfId="5160" priority="847">
      <formula>$H28="CÉLULA CONSTRUTIVA"</formula>
    </cfRule>
    <cfRule type="expression" dxfId="5159" priority="848">
      <formula>$H28="ETAPA"</formula>
    </cfRule>
    <cfRule type="expression" dxfId="5158" priority="846">
      <formula>$H28="SUBETAPA"</formula>
    </cfRule>
  </conditionalFormatting>
  <conditionalFormatting sqref="N30">
    <cfRule type="expression" dxfId="5157" priority="843">
      <formula>$H30="SUBETAPA"</formula>
    </cfRule>
    <cfRule type="expression" dxfId="5156" priority="844">
      <formula>$H30="CÉLULA CONSTRUTIVA"</formula>
    </cfRule>
    <cfRule type="expression" dxfId="5155" priority="845">
      <formula>$H30="ETAPA"</formula>
    </cfRule>
  </conditionalFormatting>
  <conditionalFormatting sqref="N32">
    <cfRule type="expression" dxfId="5154" priority="651">
      <formula>$H32="SUBETAPA"</formula>
    </cfRule>
    <cfRule type="expression" dxfId="5153" priority="653">
      <formula>$H32="ETAPA"</formula>
    </cfRule>
    <cfRule type="expression" dxfId="5152" priority="652">
      <formula>$H32="CÉLULA CONSTRUTIVA"</formula>
    </cfRule>
  </conditionalFormatting>
  <conditionalFormatting sqref="N36">
    <cfRule type="expression" dxfId="5151" priority="839">
      <formula>$H36="ETAPA"</formula>
    </cfRule>
    <cfRule type="expression" dxfId="5150" priority="838">
      <formula>$H36="CÉLULA CONSTRUTIVA"</formula>
    </cfRule>
    <cfRule type="expression" dxfId="5149" priority="837">
      <formula>$H36="SUBETAPA"</formula>
    </cfRule>
  </conditionalFormatting>
  <conditionalFormatting sqref="N38">
    <cfRule type="expression" dxfId="5148" priority="836">
      <formula>$H38="ETAPA"</formula>
    </cfRule>
    <cfRule type="expression" dxfId="5147" priority="835">
      <formula>$H38="CÉLULA CONSTRUTIVA"</formula>
    </cfRule>
    <cfRule type="expression" dxfId="5146" priority="834">
      <formula>$H38="SUBETAPA"</formula>
    </cfRule>
  </conditionalFormatting>
  <conditionalFormatting sqref="N42">
    <cfRule type="expression" dxfId="5145" priority="832">
      <formula>$H42="CÉLULA CONSTRUTIVA"</formula>
    </cfRule>
    <cfRule type="expression" dxfId="5144" priority="833">
      <formula>$H42="ETAPA"</formula>
    </cfRule>
    <cfRule type="expression" dxfId="5143" priority="831">
      <formula>$H42="SUBETAPA"</formula>
    </cfRule>
  </conditionalFormatting>
  <conditionalFormatting sqref="N43">
    <cfRule type="expression" dxfId="5142" priority="829">
      <formula>$H43="CÉLULA CONSTRUTIVA"</formula>
    </cfRule>
    <cfRule type="expression" dxfId="5141" priority="830">
      <formula>$H43="ETAPA"</formula>
    </cfRule>
    <cfRule type="expression" dxfId="5140" priority="828">
      <formula>$H43="SUBETAPA"</formula>
    </cfRule>
  </conditionalFormatting>
  <conditionalFormatting sqref="N45">
    <cfRule type="expression" dxfId="5139" priority="826">
      <formula>$H45="CÉLULA CONSTRUTIVA"</formula>
    </cfRule>
    <cfRule type="expression" dxfId="5138" priority="825">
      <formula>$H45="SUBETAPA"</formula>
    </cfRule>
    <cfRule type="expression" dxfId="5137" priority="827">
      <formula>$H45="ETAPA"</formula>
    </cfRule>
  </conditionalFormatting>
  <conditionalFormatting sqref="N49">
    <cfRule type="expression" dxfId="5136" priority="824">
      <formula>$H49="ETAPA"</formula>
    </cfRule>
    <cfRule type="expression" dxfId="5135" priority="823">
      <formula>$H49="CÉLULA CONSTRUTIVA"</formula>
    </cfRule>
    <cfRule type="expression" dxfId="5134" priority="822">
      <formula>$H49="SUBETAPA"</formula>
    </cfRule>
  </conditionalFormatting>
  <conditionalFormatting sqref="N51">
    <cfRule type="expression" dxfId="5133" priority="821">
      <formula>$H51="ETAPA"</formula>
    </cfRule>
    <cfRule type="expression" dxfId="5132" priority="819">
      <formula>$H51="SUBETAPA"</formula>
    </cfRule>
    <cfRule type="expression" dxfId="5131" priority="820">
      <formula>$H51="CÉLULA CONSTRUTIVA"</formula>
    </cfRule>
  </conditionalFormatting>
  <conditionalFormatting sqref="N57">
    <cfRule type="expression" dxfId="5130" priority="656">
      <formula>$H57="ETAPA"</formula>
    </cfRule>
    <cfRule type="expression" dxfId="5129" priority="655">
      <formula>$H57="CÉLULA CONSTRUTIVA"</formula>
    </cfRule>
    <cfRule type="expression" dxfId="5128" priority="654">
      <formula>$H57="SUBETAPA"</formula>
    </cfRule>
  </conditionalFormatting>
  <conditionalFormatting sqref="N60">
    <cfRule type="expression" dxfId="5127" priority="814">
      <formula>$H60="CÉLULA CONSTRUTIVA"</formula>
    </cfRule>
    <cfRule type="expression" dxfId="5126" priority="815">
      <formula>$H60="ETAPA"</formula>
    </cfRule>
    <cfRule type="expression" dxfId="5125" priority="813">
      <formula>$H60="SUBETAPA"</formula>
    </cfRule>
  </conditionalFormatting>
  <conditionalFormatting sqref="N62">
    <cfRule type="expression" dxfId="5124" priority="811">
      <formula>$H62="CÉLULA CONSTRUTIVA"</formula>
    </cfRule>
    <cfRule type="expression" dxfId="5123" priority="812">
      <formula>$H62="ETAPA"</formula>
    </cfRule>
    <cfRule type="expression" dxfId="5122" priority="810">
      <formula>$H62="SUBETAPA"</formula>
    </cfRule>
  </conditionalFormatting>
  <conditionalFormatting sqref="N64">
    <cfRule type="expression" dxfId="5121" priority="808">
      <formula>$H64="CÉLULA CONSTRUTIVA"</formula>
    </cfRule>
    <cfRule type="expression" dxfId="5120" priority="809">
      <formula>$H64="ETAPA"</formula>
    </cfRule>
    <cfRule type="expression" dxfId="5119" priority="807">
      <formula>$H64="SUBETAPA"</formula>
    </cfRule>
  </conditionalFormatting>
  <conditionalFormatting sqref="N66">
    <cfRule type="expression" dxfId="5118" priority="805">
      <formula>$H66="CÉLULA CONSTRUTIVA"</formula>
    </cfRule>
    <cfRule type="expression" dxfId="5117" priority="806">
      <formula>$H66="ETAPA"</formula>
    </cfRule>
    <cfRule type="expression" dxfId="5116" priority="804">
      <formula>$H66="SUBETAPA"</formula>
    </cfRule>
  </conditionalFormatting>
  <conditionalFormatting sqref="N68">
    <cfRule type="expression" dxfId="5115" priority="803">
      <formula>$H68="ETAPA"</formula>
    </cfRule>
    <cfRule type="expression" dxfId="5114" priority="801">
      <formula>$H68="SUBETAPA"</formula>
    </cfRule>
    <cfRule type="expression" dxfId="5113" priority="802">
      <formula>$H68="CÉLULA CONSTRUTIVA"</formula>
    </cfRule>
  </conditionalFormatting>
  <conditionalFormatting sqref="N70">
    <cfRule type="expression" dxfId="5112" priority="800">
      <formula>$H70="ETAPA"</formula>
    </cfRule>
    <cfRule type="expression" dxfId="5111" priority="799">
      <formula>$H70="CÉLULA CONSTRUTIVA"</formula>
    </cfRule>
    <cfRule type="expression" dxfId="5110" priority="798">
      <formula>$H70="SUBETAPA"</formula>
    </cfRule>
  </conditionalFormatting>
  <conditionalFormatting sqref="N72">
    <cfRule type="expression" dxfId="5109" priority="795">
      <formula>$H72="SUBETAPA"</formula>
    </cfRule>
    <cfRule type="expression" dxfId="5108" priority="796">
      <formula>$H72="CÉLULA CONSTRUTIVA"</formula>
    </cfRule>
    <cfRule type="expression" dxfId="5107" priority="797">
      <formula>$H72="ETAPA"</formula>
    </cfRule>
  </conditionalFormatting>
  <conditionalFormatting sqref="N74">
    <cfRule type="expression" dxfId="5106" priority="794">
      <formula>$H74="ETAPA"</formula>
    </cfRule>
    <cfRule type="expression" dxfId="5105" priority="793">
      <formula>$H74="CÉLULA CONSTRUTIVA"</formula>
    </cfRule>
    <cfRule type="expression" dxfId="5104" priority="792">
      <formula>$H74="SUBETAPA"</formula>
    </cfRule>
  </conditionalFormatting>
  <conditionalFormatting sqref="N76">
    <cfRule type="expression" dxfId="5103" priority="789">
      <formula>$H76="SUBETAPA"</formula>
    </cfRule>
    <cfRule type="expression" dxfId="5102" priority="790">
      <formula>$H76="CÉLULA CONSTRUTIVA"</formula>
    </cfRule>
    <cfRule type="expression" dxfId="5101" priority="791">
      <formula>$H76="ETAPA"</formula>
    </cfRule>
  </conditionalFormatting>
  <conditionalFormatting sqref="N80">
    <cfRule type="expression" dxfId="5100" priority="787">
      <formula>$H80="CÉLULA CONSTRUTIVA"</formula>
    </cfRule>
    <cfRule type="expression" dxfId="5099" priority="786">
      <formula>$H80="SUBETAPA"</formula>
    </cfRule>
    <cfRule type="expression" dxfId="5098" priority="788">
      <formula>$H80="ETAPA"</formula>
    </cfRule>
  </conditionalFormatting>
  <conditionalFormatting sqref="N83">
    <cfRule type="expression" dxfId="5097" priority="783">
      <formula>$H83="SUBETAPA"</formula>
    </cfRule>
    <cfRule type="expression" dxfId="5096" priority="784">
      <formula>$H83="CÉLULA CONSTRUTIVA"</formula>
    </cfRule>
    <cfRule type="expression" dxfId="5095" priority="785">
      <formula>$H83="ETAPA"</formula>
    </cfRule>
  </conditionalFormatting>
  <conditionalFormatting sqref="N85">
    <cfRule type="expression" dxfId="5094" priority="657">
      <formula>$H85="SUBETAPA"</formula>
    </cfRule>
    <cfRule type="expression" dxfId="5093" priority="658">
      <formula>$H85="CÉLULA CONSTRUTIVA"</formula>
    </cfRule>
    <cfRule type="expression" dxfId="5092" priority="659">
      <formula>$H85="ETAPA"</formula>
    </cfRule>
  </conditionalFormatting>
  <conditionalFormatting sqref="N88">
    <cfRule type="expression" dxfId="5091" priority="779">
      <formula>$H88="ETAPA"</formula>
    </cfRule>
    <cfRule type="expression" dxfId="5090" priority="777">
      <formula>$H88="SUBETAPA"</formula>
    </cfRule>
    <cfRule type="expression" dxfId="5089" priority="778">
      <formula>$H88="CÉLULA CONSTRUTIVA"</formula>
    </cfRule>
  </conditionalFormatting>
  <conditionalFormatting sqref="N94">
    <cfRule type="expression" dxfId="5088" priority="660">
      <formula>$H94="SUBETAPA"</formula>
    </cfRule>
    <cfRule type="expression" dxfId="5087" priority="661">
      <formula>$H94="CÉLULA CONSTRUTIVA"</formula>
    </cfRule>
    <cfRule type="expression" dxfId="5086" priority="662">
      <formula>$H94="ETAPA"</formula>
    </cfRule>
  </conditionalFormatting>
  <conditionalFormatting sqref="N97">
    <cfRule type="expression" dxfId="5085" priority="773">
      <formula>$H97="ETAPA"</formula>
    </cfRule>
    <cfRule type="expression" dxfId="5084" priority="772">
      <formula>$H97="CÉLULA CONSTRUTIVA"</formula>
    </cfRule>
    <cfRule type="expression" dxfId="5083" priority="771">
      <formula>$H97="SUBETAPA"</formula>
    </cfRule>
  </conditionalFormatting>
  <conditionalFormatting sqref="N99">
    <cfRule type="expression" dxfId="5082" priority="770">
      <formula>$H99="ETAPA"</formula>
    </cfRule>
    <cfRule type="expression" dxfId="5081" priority="769">
      <formula>$H99="CÉLULA CONSTRUTIVA"</formula>
    </cfRule>
    <cfRule type="expression" dxfId="5080" priority="768">
      <formula>$H99="SUBETAPA"</formula>
    </cfRule>
  </conditionalFormatting>
  <conditionalFormatting sqref="N104">
    <cfRule type="expression" dxfId="5079" priority="767">
      <formula>$H104="ETAPA"</formula>
    </cfRule>
    <cfRule type="expression" dxfId="5078" priority="766">
      <formula>$H104="CÉLULA CONSTRUTIVA"</formula>
    </cfRule>
    <cfRule type="expression" dxfId="5077" priority="765">
      <formula>$H104="SUBETAPA"</formula>
    </cfRule>
  </conditionalFormatting>
  <conditionalFormatting sqref="N106">
    <cfRule type="expression" dxfId="5076" priority="663">
      <formula>$H106="SUBETAPA"</formula>
    </cfRule>
    <cfRule type="expression" dxfId="5075" priority="664">
      <formula>$H106="CÉLULA CONSTRUTIVA"</formula>
    </cfRule>
    <cfRule type="expression" dxfId="5074" priority="665">
      <formula>$H106="ETAPA"</formula>
    </cfRule>
  </conditionalFormatting>
  <conditionalFormatting sqref="N109">
    <cfRule type="expression" dxfId="5073" priority="761">
      <formula>$H109="ETAPA"</formula>
    </cfRule>
    <cfRule type="expression" dxfId="5072" priority="760">
      <formula>$H109="CÉLULA CONSTRUTIVA"</formula>
    </cfRule>
    <cfRule type="expression" dxfId="5071" priority="759">
      <formula>$H109="SUBETAPA"</formula>
    </cfRule>
  </conditionalFormatting>
  <conditionalFormatting sqref="N113">
    <cfRule type="expression" dxfId="5070" priority="758">
      <formula>$H113="ETAPA"</formula>
    </cfRule>
    <cfRule type="expression" dxfId="5069" priority="756">
      <formula>$H113="SUBETAPA"</formula>
    </cfRule>
    <cfRule type="expression" dxfId="5068" priority="757">
      <formula>$H113="CÉLULA CONSTRUTIVA"</formula>
    </cfRule>
  </conditionalFormatting>
  <conditionalFormatting sqref="N115">
    <cfRule type="expression" dxfId="5067" priority="753">
      <formula>$H115="SUBETAPA"</formula>
    </cfRule>
    <cfRule type="expression" dxfId="5066" priority="755">
      <formula>$H115="ETAPA"</formula>
    </cfRule>
    <cfRule type="expression" dxfId="5065" priority="754">
      <formula>$H115="CÉLULA CONSTRUTIVA"</formula>
    </cfRule>
  </conditionalFormatting>
  <conditionalFormatting sqref="N117">
    <cfRule type="expression" dxfId="5064" priority="752">
      <formula>$H117="ETAPA"</formula>
    </cfRule>
    <cfRule type="expression" dxfId="5063" priority="751">
      <formula>$H117="CÉLULA CONSTRUTIVA"</formula>
    </cfRule>
    <cfRule type="expression" dxfId="5062" priority="750">
      <formula>$H117="SUBETAPA"</formula>
    </cfRule>
  </conditionalFormatting>
  <conditionalFormatting sqref="N119">
    <cfRule type="expression" dxfId="5061" priority="748">
      <formula>$H119="CÉLULA CONSTRUTIVA"</formula>
    </cfRule>
    <cfRule type="expression" dxfId="5060" priority="749">
      <formula>$H119="ETAPA"</formula>
    </cfRule>
    <cfRule type="expression" dxfId="5059" priority="747">
      <formula>$H119="SUBETAPA"</formula>
    </cfRule>
  </conditionalFormatting>
  <conditionalFormatting sqref="N121">
    <cfRule type="expression" dxfId="5058" priority="746">
      <formula>$H121="ETAPA"</formula>
    </cfRule>
    <cfRule type="expression" dxfId="5057" priority="744">
      <formula>$H121="SUBETAPA"</formula>
    </cfRule>
    <cfRule type="expression" dxfId="5056" priority="745">
      <formula>$H121="CÉLULA CONSTRUTIVA"</formula>
    </cfRule>
  </conditionalFormatting>
  <conditionalFormatting sqref="N123">
    <cfRule type="expression" dxfId="5055" priority="741">
      <formula>$H123="SUBETAPA"</formula>
    </cfRule>
    <cfRule type="expression" dxfId="5054" priority="742">
      <formula>$H123="CÉLULA CONSTRUTIVA"</formula>
    </cfRule>
    <cfRule type="expression" dxfId="5053" priority="743">
      <formula>$H123="ETAPA"</formula>
    </cfRule>
  </conditionalFormatting>
  <conditionalFormatting sqref="N125">
    <cfRule type="expression" dxfId="5052" priority="738">
      <formula>$H125="SUBETAPA"</formula>
    </cfRule>
    <cfRule type="expression" dxfId="5051" priority="739">
      <formula>$H125="CÉLULA CONSTRUTIVA"</formula>
    </cfRule>
    <cfRule type="expression" dxfId="5050" priority="740">
      <formula>$H125="ETAPA"</formula>
    </cfRule>
  </conditionalFormatting>
  <conditionalFormatting sqref="N127">
    <cfRule type="expression" dxfId="5049" priority="737">
      <formula>$H127="ETAPA"</formula>
    </cfRule>
    <cfRule type="expression" dxfId="5048" priority="735">
      <formula>$H127="SUBETAPA"</formula>
    </cfRule>
    <cfRule type="expression" dxfId="5047" priority="736">
      <formula>$H127="CÉLULA CONSTRUTIVA"</formula>
    </cfRule>
  </conditionalFormatting>
  <conditionalFormatting sqref="N129">
    <cfRule type="expression" dxfId="5046" priority="734">
      <formula>$H129="ETAPA"</formula>
    </cfRule>
    <cfRule type="expression" dxfId="5045" priority="733">
      <formula>$H129="CÉLULA CONSTRUTIVA"</formula>
    </cfRule>
    <cfRule type="expression" dxfId="5044" priority="732">
      <formula>$H129="SUBETAPA"</formula>
    </cfRule>
  </conditionalFormatting>
  <conditionalFormatting sqref="N130">
    <cfRule type="expression" dxfId="5043" priority="109">
      <formula>$H130="CÉLULA CONSTRUTIVA"</formula>
    </cfRule>
    <cfRule type="expression" dxfId="5042" priority="108">
      <formula>$H130="SUBETAPA"</formula>
    </cfRule>
    <cfRule type="expression" dxfId="5041" priority="110">
      <formula>$H130="ETAPA"</formula>
    </cfRule>
  </conditionalFormatting>
  <conditionalFormatting sqref="N132">
    <cfRule type="expression" dxfId="5040" priority="730">
      <formula>$H132="CÉLULA CONSTRUTIVA"</formula>
    </cfRule>
    <cfRule type="expression" dxfId="5039" priority="729">
      <formula>$H132="SUBETAPA"</formula>
    </cfRule>
    <cfRule type="expression" dxfId="5038" priority="731">
      <formula>$H132="ETAPA"</formula>
    </cfRule>
  </conditionalFormatting>
  <conditionalFormatting sqref="N134">
    <cfRule type="expression" dxfId="5037" priority="728">
      <formula>$H134="ETAPA"</formula>
    </cfRule>
    <cfRule type="expression" dxfId="5036" priority="727">
      <formula>$H134="CÉLULA CONSTRUTIVA"</formula>
    </cfRule>
    <cfRule type="expression" dxfId="5035" priority="726">
      <formula>$H134="SUBETAPA"</formula>
    </cfRule>
  </conditionalFormatting>
  <conditionalFormatting sqref="N136">
    <cfRule type="expression" dxfId="5034" priority="724">
      <formula>$H136="CÉLULA CONSTRUTIVA"</formula>
    </cfRule>
    <cfRule type="expression" dxfId="5033" priority="725">
      <formula>$H136="ETAPA"</formula>
    </cfRule>
    <cfRule type="expression" dxfId="5032" priority="723">
      <formula>$H136="SUBETAPA"</formula>
    </cfRule>
  </conditionalFormatting>
  <conditionalFormatting sqref="N138">
    <cfRule type="expression" dxfId="5031" priority="721">
      <formula>$H138="CÉLULA CONSTRUTIVA"</formula>
    </cfRule>
    <cfRule type="expression" dxfId="5030" priority="722">
      <formula>$H138="ETAPA"</formula>
    </cfRule>
    <cfRule type="expression" dxfId="5029" priority="720">
      <formula>$H138="SUBETAPA"</formula>
    </cfRule>
  </conditionalFormatting>
  <conditionalFormatting sqref="N140">
    <cfRule type="expression" dxfId="5028" priority="717">
      <formula>$H140="SUBETAPA"</formula>
    </cfRule>
    <cfRule type="expression" dxfId="5027" priority="719">
      <formula>$H140="ETAPA"</formula>
    </cfRule>
    <cfRule type="expression" dxfId="5026" priority="718">
      <formula>$H140="CÉLULA CONSTRUTIVA"</formula>
    </cfRule>
  </conditionalFormatting>
  <conditionalFormatting sqref="N142">
    <cfRule type="expression" dxfId="5025" priority="716">
      <formula>$H142="ETAPA"</formula>
    </cfRule>
    <cfRule type="expression" dxfId="5024" priority="714">
      <formula>$H142="SUBETAPA"</formula>
    </cfRule>
    <cfRule type="expression" dxfId="5023" priority="715">
      <formula>$H142="CÉLULA CONSTRUTIVA"</formula>
    </cfRule>
  </conditionalFormatting>
  <conditionalFormatting sqref="N144">
    <cfRule type="expression" dxfId="5022" priority="713">
      <formula>$H144="ETAPA"</formula>
    </cfRule>
    <cfRule type="expression" dxfId="5021" priority="712">
      <formula>$H144="CÉLULA CONSTRUTIVA"</formula>
    </cfRule>
    <cfRule type="expression" dxfId="5020" priority="711">
      <formula>$H144="SUBETAPA"</formula>
    </cfRule>
  </conditionalFormatting>
  <conditionalFormatting sqref="N146">
    <cfRule type="expression" dxfId="5019" priority="710">
      <formula>$H146="ETAPA"</formula>
    </cfRule>
    <cfRule type="expression" dxfId="5018" priority="709">
      <formula>$H146="CÉLULA CONSTRUTIVA"</formula>
    </cfRule>
    <cfRule type="expression" dxfId="5017" priority="708">
      <formula>$H146="SUBETAPA"</formula>
    </cfRule>
  </conditionalFormatting>
  <conditionalFormatting sqref="N148">
    <cfRule type="expression" dxfId="5016" priority="705">
      <formula>$H148="SUBETAPA"</formula>
    </cfRule>
    <cfRule type="expression" dxfId="5015" priority="707">
      <formula>$H148="ETAPA"</formula>
    </cfRule>
    <cfRule type="expression" dxfId="5014" priority="706">
      <formula>$H148="CÉLULA CONSTRUTIVA"</formula>
    </cfRule>
  </conditionalFormatting>
  <conditionalFormatting sqref="N150">
    <cfRule type="expression" dxfId="5013" priority="704">
      <formula>$H150="ETAPA"</formula>
    </cfRule>
    <cfRule type="expression" dxfId="5012" priority="703">
      <formula>$H150="CÉLULA CONSTRUTIVA"</formula>
    </cfRule>
    <cfRule type="expression" dxfId="5011" priority="702">
      <formula>$H150="SUBETAPA"</formula>
    </cfRule>
  </conditionalFormatting>
  <conditionalFormatting sqref="N153">
    <cfRule type="expression" dxfId="5010" priority="701">
      <formula>$H153="ETAPA"</formula>
    </cfRule>
    <cfRule type="expression" dxfId="5009" priority="700">
      <formula>$H153="CÉLULA CONSTRUTIVA"</formula>
    </cfRule>
    <cfRule type="expression" dxfId="5008" priority="699">
      <formula>$H153="SUBETAPA"</formula>
    </cfRule>
  </conditionalFormatting>
  <conditionalFormatting sqref="N155">
    <cfRule type="expression" dxfId="5007" priority="696">
      <formula>$H155="SUBETAPA"</formula>
    </cfRule>
    <cfRule type="expression" dxfId="5006" priority="697">
      <formula>$H155="CÉLULA CONSTRUTIVA"</formula>
    </cfRule>
    <cfRule type="expression" dxfId="5005" priority="698">
      <formula>$H155="ETAPA"</formula>
    </cfRule>
  </conditionalFormatting>
  <conditionalFormatting sqref="N160">
    <cfRule type="expression" dxfId="5004" priority="695">
      <formula>$H160="ETAPA"</formula>
    </cfRule>
    <cfRule type="expression" dxfId="5003" priority="694">
      <formula>$H160="CÉLULA CONSTRUTIVA"</formula>
    </cfRule>
    <cfRule type="expression" dxfId="5002" priority="693">
      <formula>$H160="SUBETAPA"</formula>
    </cfRule>
  </conditionalFormatting>
  <conditionalFormatting sqref="N163">
    <cfRule type="expression" dxfId="5001" priority="691">
      <formula>$H163="CÉLULA CONSTRUTIVA"</formula>
    </cfRule>
    <cfRule type="expression" dxfId="5000" priority="690">
      <formula>$H163="SUBETAPA"</formula>
    </cfRule>
    <cfRule type="expression" dxfId="4999" priority="692">
      <formula>$H163="ETAPA"</formula>
    </cfRule>
  </conditionalFormatting>
  <conditionalFormatting sqref="N165">
    <cfRule type="expression" dxfId="4998" priority="687">
      <formula>$H165="SUBETAPA"</formula>
    </cfRule>
    <cfRule type="expression" dxfId="4997" priority="688">
      <formula>$H165="CÉLULA CONSTRUTIVA"</formula>
    </cfRule>
    <cfRule type="expression" dxfId="4996" priority="689">
      <formula>$H165="ETAPA"</formula>
    </cfRule>
  </conditionalFormatting>
  <conditionalFormatting sqref="N167">
    <cfRule type="expression" dxfId="4995" priority="684">
      <formula>$H167="SUBETAPA"</formula>
    </cfRule>
    <cfRule type="expression" dxfId="4994" priority="685">
      <formula>$H167="CÉLULA CONSTRUTIVA"</formula>
    </cfRule>
    <cfRule type="expression" dxfId="4993" priority="686">
      <formula>$H167="ETAPA"</formula>
    </cfRule>
  </conditionalFormatting>
  <conditionalFormatting sqref="N172">
    <cfRule type="expression" dxfId="4992" priority="681">
      <formula>$H172="SUBETAPA"</formula>
    </cfRule>
    <cfRule type="expression" dxfId="4991" priority="682">
      <formula>$H172="CÉLULA CONSTRUTIVA"</formula>
    </cfRule>
    <cfRule type="expression" dxfId="4990" priority="683">
      <formula>$H172="ETAPA"</formula>
    </cfRule>
  </conditionalFormatting>
  <conditionalFormatting sqref="N177">
    <cfRule type="expression" dxfId="4989" priority="680">
      <formula>$H177="ETAPA"</formula>
    </cfRule>
    <cfRule type="expression" dxfId="4988" priority="679">
      <formula>$H177="CÉLULA CONSTRUTIVA"</formula>
    </cfRule>
    <cfRule type="expression" dxfId="4987" priority="678">
      <formula>$H177="SUBETAPA"</formula>
    </cfRule>
  </conditionalFormatting>
  <conditionalFormatting sqref="N183">
    <cfRule type="expression" dxfId="4986" priority="677">
      <formula>$H183="ETAPA"</formula>
    </cfRule>
    <cfRule type="expression" dxfId="4985" priority="676">
      <formula>$H183="CÉLULA CONSTRUTIVA"</formula>
    </cfRule>
    <cfRule type="expression" dxfId="4984" priority="675">
      <formula>$H183="SUBETAPA"</formula>
    </cfRule>
  </conditionalFormatting>
  <conditionalFormatting sqref="N186">
    <cfRule type="expression" dxfId="4983" priority="81">
      <formula>$H186="ETAPA"</formula>
    </cfRule>
    <cfRule type="expression" dxfId="4982" priority="79">
      <formula>$H186="SUBETAPA"</formula>
    </cfRule>
    <cfRule type="expression" dxfId="4981" priority="80">
      <formula>$H186="CÉLULA CONSTRUTIVA"</formula>
    </cfRule>
  </conditionalFormatting>
  <conditionalFormatting sqref="N187">
    <cfRule type="expression" dxfId="4980" priority="84">
      <formula>$H187="ETAPA"</formula>
    </cfRule>
    <cfRule type="expression" dxfId="4979" priority="83">
      <formula>$H187="CÉLULA CONSTRUTIVA"</formula>
    </cfRule>
    <cfRule type="expression" dxfId="4978" priority="82">
      <formula>$H187="SUBETAPA"</formula>
    </cfRule>
  </conditionalFormatting>
  <conditionalFormatting sqref="N188">
    <cfRule type="expression" dxfId="4977" priority="674">
      <formula>$H188="ETAPA"</formula>
    </cfRule>
    <cfRule type="expression" dxfId="4976" priority="673">
      <formula>$H188="CÉLULA CONSTRUTIVA"</formula>
    </cfRule>
    <cfRule type="expression" dxfId="4975" priority="672">
      <formula>$H188="SUBETAPA"</formula>
    </cfRule>
  </conditionalFormatting>
  <conditionalFormatting sqref="N190">
    <cfRule type="expression" dxfId="4974" priority="671">
      <formula>$H190="ETAPA"</formula>
    </cfRule>
    <cfRule type="expression" dxfId="4973" priority="670">
      <formula>$H190="CÉLULA CONSTRUTIVA"</formula>
    </cfRule>
    <cfRule type="expression" dxfId="4972" priority="669">
      <formula>$H190="SUBETAPA"</formula>
    </cfRule>
  </conditionalFormatting>
  <conditionalFormatting sqref="N192">
    <cfRule type="expression" dxfId="4971" priority="668">
      <formula>$H192="ETAPA"</formula>
    </cfRule>
    <cfRule type="expression" dxfId="4970" priority="667">
      <formula>$H192="CÉLULA CONSTRUTIVA"</formula>
    </cfRule>
    <cfRule type="expression" dxfId="4969" priority="666">
      <formula>$H192="SUBETAPA"</formula>
    </cfRule>
  </conditionalFormatting>
  <conditionalFormatting sqref="N195">
    <cfRule type="expression" dxfId="4968" priority="649">
      <formula>$H195="CÉLULA CONSTRUTIVA"</formula>
    </cfRule>
    <cfRule type="expression" dxfId="4967" priority="650">
      <formula>$H195="ETAPA"</formula>
    </cfRule>
    <cfRule type="expression" dxfId="4966" priority="648">
      <formula>$H195="SUBETAPA"</formula>
    </cfRule>
  </conditionalFormatting>
  <conditionalFormatting sqref="N198">
    <cfRule type="expression" dxfId="4965" priority="646">
      <formula>$H198="CÉLULA CONSTRUTIVA"</formula>
    </cfRule>
    <cfRule type="expression" dxfId="4964" priority="647">
      <formula>$H198="ETAPA"</formula>
    </cfRule>
    <cfRule type="expression" dxfId="4963" priority="645">
      <formula>$H198="SUBETAPA"</formula>
    </cfRule>
  </conditionalFormatting>
  <conditionalFormatting sqref="N200">
    <cfRule type="expression" dxfId="4962" priority="644">
      <formula>$H200="ETAPA"</formula>
    </cfRule>
    <cfRule type="expression" dxfId="4961" priority="642">
      <formula>$H200="SUBETAPA"</formula>
    </cfRule>
    <cfRule type="expression" dxfId="4960" priority="643">
      <formula>$H200="CÉLULA CONSTRUTIVA"</formula>
    </cfRule>
  </conditionalFormatting>
  <conditionalFormatting sqref="N217">
    <cfRule type="expression" dxfId="4959" priority="11674">
      <formula>$H217="CÉLULA CONSTRUTIVA"</formula>
    </cfRule>
    <cfRule type="expression" dxfId="4958" priority="11675">
      <formula>$H217="ETAPA"</formula>
    </cfRule>
  </conditionalFormatting>
  <conditionalFormatting sqref="N220">
    <cfRule type="expression" dxfId="4957" priority="11622">
      <formula>$H220="ETAPA"</formula>
    </cfRule>
    <cfRule type="expression" dxfId="4956" priority="11621">
      <formula>$H220="CÉLULA CONSTRUTIVA"</formula>
    </cfRule>
  </conditionalFormatting>
  <conditionalFormatting sqref="N226">
    <cfRule type="expression" dxfId="4955" priority="11668">
      <formula>$H226="CÉLULA CONSTRUTIVA"</formula>
    </cfRule>
    <cfRule type="expression" dxfId="4954" priority="11669">
      <formula>$H226="ETAPA"</formula>
    </cfRule>
  </conditionalFormatting>
  <conditionalFormatting sqref="N239">
    <cfRule type="expression" dxfId="4953" priority="11641">
      <formula>$H239="ETAPA"</formula>
    </cfRule>
    <cfRule type="expression" dxfId="4952" priority="11640">
      <formula>$H239="CÉLULA CONSTRUTIVA"</formula>
    </cfRule>
  </conditionalFormatting>
  <conditionalFormatting sqref="N255:N256 N261 N269">
    <cfRule type="expression" dxfId="4951" priority="11874">
      <formula>$H255="CÉLULA CONSTRUTIVA"</formula>
    </cfRule>
    <cfRule type="expression" dxfId="4950" priority="11875">
      <formula>$H255="ETAPA"</formula>
    </cfRule>
  </conditionalFormatting>
  <conditionalFormatting sqref="N270">
    <cfRule type="expression" dxfId="4949" priority="11865">
      <formula>$H270="CÉLULA CONSTRUTIVA"</formula>
    </cfRule>
    <cfRule type="expression" dxfId="4948" priority="11866">
      <formula>$H270="ETAPA"</formula>
    </cfRule>
  </conditionalFormatting>
  <conditionalFormatting sqref="N270:N272">
    <cfRule type="expression" dxfId="4947" priority="11852">
      <formula>$H270="SUBETAPA"</formula>
    </cfRule>
  </conditionalFormatting>
  <conditionalFormatting sqref="N271">
    <cfRule type="expression" dxfId="4946" priority="11856">
      <formula>$H271="CÉLULA CONSTRUTIVA"</formula>
    </cfRule>
    <cfRule type="expression" dxfId="4945" priority="11857">
      <formula>$H271="ETAPA"</formula>
    </cfRule>
  </conditionalFormatting>
  <conditionalFormatting sqref="N272">
    <cfRule type="expression" dxfId="4944" priority="11853">
      <formula>$H272="CÉLULA CONSTRUTIVA"</formula>
    </cfRule>
    <cfRule type="expression" dxfId="4943" priority="11854">
      <formula>$H272="ETAPA"</formula>
    </cfRule>
  </conditionalFormatting>
  <conditionalFormatting sqref="N273">
    <cfRule type="expression" dxfId="4942" priority="5405">
      <formula>$H273="SUBETAPA"</formula>
    </cfRule>
    <cfRule type="expression" dxfId="4941" priority="5407">
      <formula>$H273="ETAPA"</formula>
    </cfRule>
    <cfRule type="expression" dxfId="4940" priority="5406">
      <formula>$H273="CÉLULA CONSTRUTIVA"</formula>
    </cfRule>
  </conditionalFormatting>
  <conditionalFormatting sqref="N274">
    <cfRule type="expression" dxfId="4939" priority="11850">
      <formula>$H274="CÉLULA CONSTRUTIVA"</formula>
    </cfRule>
    <cfRule type="expression" dxfId="4938" priority="11851">
      <formula>$H274="ETAPA"</formula>
    </cfRule>
  </conditionalFormatting>
  <conditionalFormatting sqref="N276:N277 N282 N290">
    <cfRule type="expression" dxfId="4937" priority="11847">
      <formula>$H276="CÉLULA CONSTRUTIVA"</formula>
    </cfRule>
    <cfRule type="expression" dxfId="4936" priority="11848">
      <formula>$H276="ETAPA"</formula>
    </cfRule>
  </conditionalFormatting>
  <conditionalFormatting sqref="N291">
    <cfRule type="expression" dxfId="4935" priority="11839">
      <formula>$H291="ETAPA"</formula>
    </cfRule>
    <cfRule type="expression" dxfId="4934" priority="11838">
      <formula>$H291="CÉLULA CONSTRUTIVA"</formula>
    </cfRule>
    <cfRule type="expression" dxfId="4933" priority="11837">
      <formula>$H291="SUBETAPA"</formula>
    </cfRule>
  </conditionalFormatting>
  <conditionalFormatting sqref="N292">
    <cfRule type="expression" dxfId="4932" priority="4618">
      <formula>$H292="CÉLULA CONSTRUTIVA"</formula>
    </cfRule>
    <cfRule type="expression" dxfId="4931" priority="4617">
      <formula>$H292="SUBETAPA"</formula>
    </cfRule>
    <cfRule type="expression" dxfId="4930" priority="4619">
      <formula>$H292="ETAPA"</formula>
    </cfRule>
  </conditionalFormatting>
  <conditionalFormatting sqref="N293">
    <cfRule type="expression" dxfId="4929" priority="5394">
      <formula>$H293="SUBETAPA"</formula>
    </cfRule>
    <cfRule type="expression" dxfId="4928" priority="5395">
      <formula>$H293="CÉLULA CONSTRUTIVA"</formula>
    </cfRule>
    <cfRule type="expression" dxfId="4927" priority="5396">
      <formula>$H293="ETAPA"</formula>
    </cfRule>
  </conditionalFormatting>
  <conditionalFormatting sqref="N294">
    <cfRule type="expression" dxfId="4926" priority="11823">
      <formula>$H294="CÉLULA CONSTRUTIVA"</formula>
    </cfRule>
    <cfRule type="expression" dxfId="4925" priority="11824">
      <formula>$H294="ETAPA"</formula>
    </cfRule>
  </conditionalFormatting>
  <conditionalFormatting sqref="N296:N297 N302 N310">
    <cfRule type="expression" dxfId="4924" priority="11820">
      <formula>$H296="CÉLULA CONSTRUTIVA"</formula>
    </cfRule>
    <cfRule type="expression" dxfId="4923" priority="11821">
      <formula>$H296="ETAPA"</formula>
    </cfRule>
  </conditionalFormatting>
  <conditionalFormatting sqref="N311">
    <cfRule type="expression" dxfId="4922" priority="11811">
      <formula>$H311="CÉLULA CONSTRUTIVA"</formula>
    </cfRule>
    <cfRule type="expression" dxfId="4921" priority="11812">
      <formula>$H311="ETAPA"</formula>
    </cfRule>
  </conditionalFormatting>
  <conditionalFormatting sqref="N311:N312">
    <cfRule type="expression" dxfId="4920" priority="11801">
      <formula>$H311="SUBETAPA"</formula>
    </cfRule>
  </conditionalFormatting>
  <conditionalFormatting sqref="N312">
    <cfRule type="expression" dxfId="4919" priority="11802">
      <formula>$H312="CÉLULA CONSTRUTIVA"</formula>
    </cfRule>
    <cfRule type="expression" dxfId="4918" priority="11803">
      <formula>$H312="ETAPA"</formula>
    </cfRule>
  </conditionalFormatting>
  <conditionalFormatting sqref="N313">
    <cfRule type="expression" dxfId="4917" priority="5383">
      <formula>$H313="SUBETAPA"</formula>
    </cfRule>
    <cfRule type="expression" dxfId="4916" priority="5384">
      <formula>$H313="CÉLULA CONSTRUTIVA"</formula>
    </cfRule>
    <cfRule type="expression" dxfId="4915" priority="5385">
      <formula>$H313="ETAPA"</formula>
    </cfRule>
  </conditionalFormatting>
  <conditionalFormatting sqref="N314">
    <cfRule type="expression" dxfId="4914" priority="11796">
      <formula>$H314="CÉLULA CONSTRUTIVA"</formula>
    </cfRule>
    <cfRule type="expression" dxfId="4913" priority="11797">
      <formula>$H314="ETAPA"</formula>
    </cfRule>
  </conditionalFormatting>
  <conditionalFormatting sqref="N316:N317 N330">
    <cfRule type="expression" dxfId="4912" priority="11793">
      <formula>$H316="CÉLULA CONSTRUTIVA"</formula>
    </cfRule>
    <cfRule type="expression" dxfId="4911" priority="11794">
      <formula>$H316="ETAPA"</formula>
    </cfRule>
  </conditionalFormatting>
  <conditionalFormatting sqref="N316:N320 G330:P330">
    <cfRule type="expression" dxfId="4910" priority="11792">
      <formula>$H316="SUBETAPA"</formula>
    </cfRule>
  </conditionalFormatting>
  <conditionalFormatting sqref="N321 G321:L321 P321">
    <cfRule type="expression" dxfId="4909" priority="5281">
      <formula>$H321="ETAPA"</formula>
    </cfRule>
    <cfRule type="expression" dxfId="4908" priority="5280">
      <formula>$H321="CÉLULA CONSTRUTIVA"</formula>
    </cfRule>
    <cfRule type="expression" dxfId="4907" priority="5279">
      <formula>$H321="SUBETAPA"</formula>
    </cfRule>
  </conditionalFormatting>
  <conditionalFormatting sqref="N322">
    <cfRule type="expression" dxfId="4906" priority="2432">
      <formula>$H322="ETAPA"</formula>
    </cfRule>
    <cfRule type="expression" dxfId="4905" priority="2431">
      <formula>$H322="CÉLULA CONSTRUTIVA"</formula>
    </cfRule>
    <cfRule type="expression" dxfId="4904" priority="2430">
      <formula>$H322="SUBETAPA"</formula>
    </cfRule>
  </conditionalFormatting>
  <conditionalFormatting sqref="N331">
    <cfRule type="expression" dxfId="4903" priority="11785">
      <formula>$H331="ETAPA"</formula>
    </cfRule>
    <cfRule type="expression" dxfId="4902" priority="11784">
      <formula>$H331="CÉLULA CONSTRUTIVA"</formula>
    </cfRule>
    <cfRule type="expression" dxfId="4901" priority="11783">
      <formula>$H331="SUBETAPA"</formula>
    </cfRule>
  </conditionalFormatting>
  <conditionalFormatting sqref="N332">
    <cfRule type="expression" dxfId="4900" priority="4614">
      <formula>$H332="SUBETAPA"</formula>
    </cfRule>
    <cfRule type="expression" dxfId="4899" priority="4616">
      <formula>$H332="ETAPA"</formula>
    </cfRule>
    <cfRule type="expression" dxfId="4898" priority="4615">
      <formula>$H332="CÉLULA CONSTRUTIVA"</formula>
    </cfRule>
  </conditionalFormatting>
  <conditionalFormatting sqref="N333">
    <cfRule type="expression" dxfId="4897" priority="5374">
      <formula>$H333="ETAPA"</formula>
    </cfRule>
    <cfRule type="expression" dxfId="4896" priority="5373">
      <formula>$H333="CÉLULA CONSTRUTIVA"</formula>
    </cfRule>
    <cfRule type="expression" dxfId="4895" priority="5372">
      <formula>$H333="SUBETAPA"</formula>
    </cfRule>
  </conditionalFormatting>
  <conditionalFormatting sqref="N334">
    <cfRule type="expression" dxfId="4894" priority="11770">
      <formula>$H334="ETAPA"</formula>
    </cfRule>
    <cfRule type="expression" dxfId="4893" priority="11769">
      <formula>$H334="CÉLULA CONSTRUTIVA"</formula>
    </cfRule>
  </conditionalFormatting>
  <conditionalFormatting sqref="N336:N337 N342 N350">
    <cfRule type="expression" dxfId="4892" priority="11767">
      <formula>$H336="ETAPA"</formula>
    </cfRule>
    <cfRule type="expression" dxfId="4891" priority="11766">
      <formula>$H336="CÉLULA CONSTRUTIVA"</formula>
    </cfRule>
  </conditionalFormatting>
  <conditionalFormatting sqref="N336:N340 G342:P342 G350:P350">
    <cfRule type="expression" dxfId="4890" priority="11765">
      <formula>$H336="SUBETAPA"</formula>
    </cfRule>
  </conditionalFormatting>
  <conditionalFormatting sqref="N341 G341:L341 P341">
    <cfRule type="expression" dxfId="4889" priority="5268">
      <formula>$H341="SUBETAPA"</formula>
    </cfRule>
    <cfRule type="expression" dxfId="4888" priority="5270">
      <formula>$H341="ETAPA"</formula>
    </cfRule>
    <cfRule type="expression" dxfId="4887" priority="5269">
      <formula>$H341="CÉLULA CONSTRUTIVA"</formula>
    </cfRule>
  </conditionalFormatting>
  <conditionalFormatting sqref="N351">
    <cfRule type="expression" dxfId="4886" priority="11756">
      <formula>$H351="SUBETAPA"</formula>
    </cfRule>
    <cfRule type="expression" dxfId="4885" priority="11757">
      <formula>$H351="CÉLULA CONSTRUTIVA"</formula>
    </cfRule>
    <cfRule type="expression" dxfId="4884" priority="11758">
      <formula>$H351="ETAPA"</formula>
    </cfRule>
  </conditionalFormatting>
  <conditionalFormatting sqref="N352">
    <cfRule type="expression" dxfId="4883" priority="4611">
      <formula>$H352="SUBETAPA"</formula>
    </cfRule>
    <cfRule type="expression" dxfId="4882" priority="4612">
      <formula>$H352="CÉLULA CONSTRUTIVA"</formula>
    </cfRule>
    <cfRule type="expression" dxfId="4881" priority="4613">
      <formula>$H352="ETAPA"</formula>
    </cfRule>
  </conditionalFormatting>
  <conditionalFormatting sqref="N353">
    <cfRule type="expression" dxfId="4880" priority="5363">
      <formula>$H353="ETAPA"</formula>
    </cfRule>
    <cfRule type="expression" dxfId="4879" priority="5362">
      <formula>$H353="CÉLULA CONSTRUTIVA"</formula>
    </cfRule>
    <cfRule type="expression" dxfId="4878" priority="5361">
      <formula>$H353="SUBETAPA"</formula>
    </cfRule>
  </conditionalFormatting>
  <conditionalFormatting sqref="N354">
    <cfRule type="expression" dxfId="4877" priority="11743">
      <formula>$H354="ETAPA"</formula>
    </cfRule>
    <cfRule type="expression" dxfId="4876" priority="11742">
      <formula>$H354="CÉLULA CONSTRUTIVA"</formula>
    </cfRule>
  </conditionalFormatting>
  <conditionalFormatting sqref="N356:N357 N362 N369">
    <cfRule type="expression" dxfId="4875" priority="11740">
      <formula>$H356="ETAPA"</formula>
    </cfRule>
    <cfRule type="expression" dxfId="4874" priority="11739">
      <formula>$H356="CÉLULA CONSTRUTIVA"</formula>
    </cfRule>
  </conditionalFormatting>
  <conditionalFormatting sqref="N356:N360 N362:N367 G369:P369">
    <cfRule type="expression" dxfId="4873" priority="11738">
      <formula>$H356="SUBETAPA"</formula>
    </cfRule>
  </conditionalFormatting>
  <conditionalFormatting sqref="N361 G361:L361 P361">
    <cfRule type="expression" dxfId="4872" priority="5257">
      <formula>$H361="SUBETAPA"</formula>
    </cfRule>
    <cfRule type="expression" dxfId="4871" priority="5259">
      <formula>$H361="ETAPA"</formula>
    </cfRule>
    <cfRule type="expression" dxfId="4870" priority="5258">
      <formula>$H361="CÉLULA CONSTRUTIVA"</formula>
    </cfRule>
  </conditionalFormatting>
  <conditionalFormatting sqref="N370">
    <cfRule type="expression" dxfId="4869" priority="11729">
      <formula>$H370="SUBETAPA"</formula>
    </cfRule>
    <cfRule type="expression" dxfId="4868" priority="11731">
      <formula>$H370="ETAPA"</formula>
    </cfRule>
    <cfRule type="expression" dxfId="4867" priority="11730">
      <formula>$H370="CÉLULA CONSTRUTIVA"</formula>
    </cfRule>
  </conditionalFormatting>
  <conditionalFormatting sqref="N371">
    <cfRule type="expression" dxfId="4866" priority="4609">
      <formula>$H371="CÉLULA CONSTRUTIVA"</formula>
    </cfRule>
    <cfRule type="expression" dxfId="4865" priority="4608">
      <formula>$H371="SUBETAPA"</formula>
    </cfRule>
    <cfRule type="expression" dxfId="4864" priority="4610">
      <formula>$H371="ETAPA"</formula>
    </cfRule>
  </conditionalFormatting>
  <conditionalFormatting sqref="N372">
    <cfRule type="expression" dxfId="4863" priority="5350">
      <formula>$H372="SUBETAPA"</formula>
    </cfRule>
    <cfRule type="expression" dxfId="4862" priority="5351">
      <formula>$H372="CÉLULA CONSTRUTIVA"</formula>
    </cfRule>
    <cfRule type="expression" dxfId="4861" priority="5352">
      <formula>$H372="ETAPA"</formula>
    </cfRule>
  </conditionalFormatting>
  <conditionalFormatting sqref="N373">
    <cfRule type="expression" dxfId="4860" priority="11716">
      <formula>$H373="ETAPA"</formula>
    </cfRule>
    <cfRule type="expression" dxfId="4859" priority="11715">
      <formula>$H373="CÉLULA CONSTRUTIVA"</formula>
    </cfRule>
  </conditionalFormatting>
  <conditionalFormatting sqref="N375:N376 N380 N386">
    <cfRule type="expression" dxfId="4858" priority="11713">
      <formula>$H375="ETAPA"</formula>
    </cfRule>
    <cfRule type="expression" dxfId="4857" priority="11712">
      <formula>$H375="CÉLULA CONSTRUTIVA"</formula>
    </cfRule>
  </conditionalFormatting>
  <conditionalFormatting sqref="N387">
    <cfRule type="expression" dxfId="4856" priority="11704">
      <formula>$H387="ETAPA"</formula>
    </cfRule>
    <cfRule type="expression" dxfId="4855" priority="11703">
      <formula>$H387="CÉLULA CONSTRUTIVA"</formula>
    </cfRule>
  </conditionalFormatting>
  <conditionalFormatting sqref="N387:N388">
    <cfRule type="expression" dxfId="4854" priority="11687">
      <formula>$H387="SUBETAPA"</formula>
    </cfRule>
  </conditionalFormatting>
  <conditionalFormatting sqref="N388">
    <cfRule type="expression" dxfId="4853" priority="11689">
      <formula>$H388="ETAPA"</formula>
    </cfRule>
    <cfRule type="expression" dxfId="4852" priority="11688">
      <formula>$H388="CÉLULA CONSTRUTIVA"</formula>
    </cfRule>
  </conditionalFormatting>
  <conditionalFormatting sqref="N392">
    <cfRule type="expression" dxfId="4851" priority="2428">
      <formula>$H392="CÉLULA CONSTRUTIVA"</formula>
    </cfRule>
    <cfRule type="expression" dxfId="4850" priority="2427">
      <formula>$H392="SUBETAPA"</formula>
    </cfRule>
    <cfRule type="expression" dxfId="4849" priority="2429">
      <formula>$H392="ETAPA"</formula>
    </cfRule>
  </conditionalFormatting>
  <conditionalFormatting sqref="N393:N394">
    <cfRule type="expression" dxfId="4848" priority="11429">
      <formula>$H393="ETAPA"</formula>
    </cfRule>
    <cfRule type="expression" dxfId="4847" priority="11428">
      <formula>$H393="CÉLULA CONSTRUTIVA"</formula>
    </cfRule>
  </conditionalFormatting>
  <conditionalFormatting sqref="N396">
    <cfRule type="expression" dxfId="4846" priority="11425">
      <formula>$H396="CÉLULA CONSTRUTIVA"</formula>
    </cfRule>
    <cfRule type="expression" dxfId="4845" priority="11426">
      <formula>$H396="ETAPA"</formula>
    </cfRule>
  </conditionalFormatting>
  <conditionalFormatting sqref="N398:N400">
    <cfRule type="expression" dxfId="4844" priority="11422">
      <formula>$H398="CÉLULA CONSTRUTIVA"</formula>
    </cfRule>
    <cfRule type="expression" dxfId="4843" priority="11423">
      <formula>$H398="ETAPA"</formula>
    </cfRule>
  </conditionalFormatting>
  <conditionalFormatting sqref="N402:N403">
    <cfRule type="expression" dxfId="4842" priority="11420">
      <formula>$H402="ETAPA"</formula>
    </cfRule>
    <cfRule type="expression" dxfId="4841" priority="11419">
      <formula>$H402="CÉLULA CONSTRUTIVA"</formula>
    </cfRule>
  </conditionalFormatting>
  <conditionalFormatting sqref="N416:N417">
    <cfRule type="expression" dxfId="4840" priority="11483">
      <formula>$H416="ETAPA"</formula>
    </cfRule>
    <cfRule type="expression" dxfId="4839" priority="11482">
      <formula>$H416="CÉLULA CONSTRUTIVA"</formula>
    </cfRule>
  </conditionalFormatting>
  <conditionalFormatting sqref="N418">
    <cfRule type="expression" dxfId="4838" priority="2425">
      <formula>$H418="CÉLULA CONSTRUTIVA"</formula>
    </cfRule>
    <cfRule type="expression" dxfId="4837" priority="2424">
      <formula>$H418="SUBETAPA"</formula>
    </cfRule>
    <cfRule type="expression" dxfId="4836" priority="2426">
      <formula>$H418="ETAPA"</formula>
    </cfRule>
  </conditionalFormatting>
  <conditionalFormatting sqref="N430:N431">
    <cfRule type="expression" dxfId="4835" priority="11497">
      <formula>$H430="ETAPA"</formula>
    </cfRule>
    <cfRule type="expression" dxfId="4834" priority="11496">
      <formula>$H430="CÉLULA CONSTRUTIVA"</formula>
    </cfRule>
  </conditionalFormatting>
  <conditionalFormatting sqref="N432">
    <cfRule type="expression" dxfId="4833" priority="2418">
      <formula>$H432="SUBETAPA"</formula>
    </cfRule>
    <cfRule type="expression" dxfId="4832" priority="2420">
      <formula>$H432="ETAPA"</formula>
    </cfRule>
    <cfRule type="expression" dxfId="4831" priority="2419">
      <formula>$H432="CÉLULA CONSTRUTIVA"</formula>
    </cfRule>
  </conditionalFormatting>
  <conditionalFormatting sqref="N433">
    <cfRule type="expression" dxfId="4830" priority="2421">
      <formula>$H433="SUBETAPA"</formula>
    </cfRule>
    <cfRule type="expression" dxfId="4829" priority="2422">
      <formula>$H433="CÉLULA CONSTRUTIVA"</formula>
    </cfRule>
    <cfRule type="expression" dxfId="4828" priority="2423">
      <formula>$H433="ETAPA"</formula>
    </cfRule>
  </conditionalFormatting>
  <conditionalFormatting sqref="N437 N439">
    <cfRule type="expression" dxfId="4827" priority="2409">
      <formula>$H437="SUBETAPA"</formula>
    </cfRule>
    <cfRule type="expression" dxfId="4826" priority="2410">
      <formula>$H437="CÉLULA CONSTRUTIVA"</formula>
    </cfRule>
    <cfRule type="expression" dxfId="4825" priority="2411">
      <formula>$H437="ETAPA"</formula>
    </cfRule>
  </conditionalFormatting>
  <conditionalFormatting sqref="N438">
    <cfRule type="expression" dxfId="4824" priority="2416">
      <formula>$H438="CÉLULA CONSTRUTIVA"</formula>
    </cfRule>
    <cfRule type="expression" dxfId="4823" priority="2417">
      <formula>$H438="ETAPA"</formula>
    </cfRule>
    <cfRule type="expression" dxfId="4822" priority="2415">
      <formula>$H438="SUBETAPA"</formula>
    </cfRule>
  </conditionalFormatting>
  <conditionalFormatting sqref="N440:N443">
    <cfRule type="expression" dxfId="4821" priority="2413">
      <formula>$H440="CÉLULA CONSTRUTIVA"</formula>
    </cfRule>
    <cfRule type="expression" dxfId="4820" priority="2414">
      <formula>$H440="ETAPA"</formula>
    </cfRule>
    <cfRule type="expression" dxfId="4819" priority="2412">
      <formula>$H440="SUBETAPA"</formula>
    </cfRule>
  </conditionalFormatting>
  <conditionalFormatting sqref="N444:N445">
    <cfRule type="expression" dxfId="4818" priority="2406">
      <formula>$H444="SUBETAPA"</formula>
    </cfRule>
    <cfRule type="expression" dxfId="4817" priority="2407">
      <formula>$H444="CÉLULA CONSTRUTIVA"</formula>
    </cfRule>
    <cfRule type="expression" dxfId="4816" priority="2408">
      <formula>$H444="ETAPA"</formula>
    </cfRule>
  </conditionalFormatting>
  <conditionalFormatting sqref="N450 N452">
    <cfRule type="expression" dxfId="4815" priority="2398">
      <formula>$H450="CÉLULA CONSTRUTIVA"</formula>
    </cfRule>
    <cfRule type="expression" dxfId="4814" priority="2397">
      <formula>$H450="SUBETAPA"</formula>
    </cfRule>
    <cfRule type="expression" dxfId="4813" priority="2399">
      <formula>$H450="ETAPA"</formula>
    </cfRule>
  </conditionalFormatting>
  <conditionalFormatting sqref="N451">
    <cfRule type="expression" dxfId="4812" priority="2403">
      <formula>$H451="SUBETAPA"</formula>
    </cfRule>
    <cfRule type="expression" dxfId="4811" priority="2404">
      <formula>$H451="CÉLULA CONSTRUTIVA"</formula>
    </cfRule>
    <cfRule type="expression" dxfId="4810" priority="2405">
      <formula>$H451="ETAPA"</formula>
    </cfRule>
  </conditionalFormatting>
  <conditionalFormatting sqref="N453:N456">
    <cfRule type="expression" dxfId="4809" priority="2402">
      <formula>$H453="ETAPA"</formula>
    </cfRule>
    <cfRule type="expression" dxfId="4808" priority="2401">
      <formula>$H453="CÉLULA CONSTRUTIVA"</formula>
    </cfRule>
    <cfRule type="expression" dxfId="4807" priority="2400">
      <formula>$H453="SUBETAPA"</formula>
    </cfRule>
  </conditionalFormatting>
  <conditionalFormatting sqref="N457:N458">
    <cfRule type="expression" dxfId="4806" priority="2394">
      <formula>$H457="SUBETAPA"</formula>
    </cfRule>
    <cfRule type="expression" dxfId="4805" priority="2395">
      <formula>$H457="CÉLULA CONSTRUTIVA"</formula>
    </cfRule>
    <cfRule type="expression" dxfId="4804" priority="2396">
      <formula>$H457="ETAPA"</formula>
    </cfRule>
  </conditionalFormatting>
  <conditionalFormatting sqref="N460">
    <cfRule type="expression" dxfId="4803" priority="2392">
      <formula>$H460="CÉLULA CONSTRUTIVA"</formula>
    </cfRule>
    <cfRule type="expression" dxfId="4802" priority="2391">
      <formula>$H460="SUBETAPA"</formula>
    </cfRule>
    <cfRule type="expression" dxfId="4801" priority="2393">
      <formula>$H460="ETAPA"</formula>
    </cfRule>
  </conditionalFormatting>
  <conditionalFormatting sqref="N467">
    <cfRule type="expression" dxfId="4800" priority="2385">
      <formula>$H467="SUBETAPA"</formula>
    </cfRule>
    <cfRule type="expression" dxfId="4799" priority="2386">
      <formula>$H467="CÉLULA CONSTRUTIVA"</formula>
    </cfRule>
    <cfRule type="expression" dxfId="4798" priority="2387">
      <formula>$H467="ETAPA"</formula>
    </cfRule>
  </conditionalFormatting>
  <conditionalFormatting sqref="N468:N471">
    <cfRule type="expression" dxfId="4797" priority="2388">
      <formula>$H468="SUBETAPA"</formula>
    </cfRule>
    <cfRule type="expression" dxfId="4796" priority="2390">
      <formula>$H468="ETAPA"</formula>
    </cfRule>
    <cfRule type="expression" dxfId="4795" priority="2389">
      <formula>$H468="CÉLULA CONSTRUTIVA"</formula>
    </cfRule>
  </conditionalFormatting>
  <conditionalFormatting sqref="N472:N473">
    <cfRule type="expression" dxfId="4794" priority="2382">
      <formula>$H472="SUBETAPA"</formula>
    </cfRule>
    <cfRule type="expression" dxfId="4793" priority="2383">
      <formula>$H472="CÉLULA CONSTRUTIVA"</formula>
    </cfRule>
    <cfRule type="expression" dxfId="4792" priority="2384">
      <formula>$H472="ETAPA"</formula>
    </cfRule>
  </conditionalFormatting>
  <conditionalFormatting sqref="N475">
    <cfRule type="expression" dxfId="4791" priority="2380">
      <formula>$H475="CÉLULA CONSTRUTIVA"</formula>
    </cfRule>
    <cfRule type="expression" dxfId="4790" priority="2379">
      <formula>$H475="SUBETAPA"</formula>
    </cfRule>
    <cfRule type="expression" dxfId="4789" priority="2381">
      <formula>$H475="ETAPA"</formula>
    </cfRule>
  </conditionalFormatting>
  <conditionalFormatting sqref="N480">
    <cfRule type="expression" dxfId="4788" priority="2373">
      <formula>$H480="SUBETAPA"</formula>
    </cfRule>
    <cfRule type="expression" dxfId="4787" priority="2374">
      <formula>$H480="CÉLULA CONSTRUTIVA"</formula>
    </cfRule>
    <cfRule type="expression" dxfId="4786" priority="2375">
      <formula>$H480="ETAPA"</formula>
    </cfRule>
  </conditionalFormatting>
  <conditionalFormatting sqref="N484">
    <cfRule type="expression" dxfId="4785" priority="2376">
      <formula>$H484="SUBETAPA"</formula>
    </cfRule>
    <cfRule type="expression" dxfId="4784" priority="2377">
      <formula>$H484="CÉLULA CONSTRUTIVA"</formula>
    </cfRule>
    <cfRule type="expression" dxfId="4783" priority="2378">
      <formula>$H484="ETAPA"</formula>
    </cfRule>
  </conditionalFormatting>
  <conditionalFormatting sqref="N485:N486">
    <cfRule type="expression" dxfId="4782" priority="11552">
      <formula>$H485="CÉLULA CONSTRUTIVA"</formula>
    </cfRule>
    <cfRule type="expression" dxfId="4781" priority="11553">
      <formula>$H485="ETAPA"</formula>
    </cfRule>
  </conditionalFormatting>
  <conditionalFormatting sqref="N488">
    <cfRule type="expression" dxfId="4780" priority="2370">
      <formula>$H488="SUBETAPA"</formula>
    </cfRule>
    <cfRule type="expression" dxfId="4779" priority="2372">
      <formula>$H488="ETAPA"</formula>
    </cfRule>
    <cfRule type="expression" dxfId="4778" priority="2371">
      <formula>$H488="CÉLULA CONSTRUTIVA"</formula>
    </cfRule>
  </conditionalFormatting>
  <conditionalFormatting sqref="N491">
    <cfRule type="expression" dxfId="4777" priority="2368">
      <formula>$H491="CÉLULA CONSTRUTIVA"</formula>
    </cfRule>
    <cfRule type="expression" dxfId="4776" priority="2367">
      <formula>$H491="SUBETAPA"</formula>
    </cfRule>
    <cfRule type="expression" dxfId="4775" priority="2369">
      <formula>$H491="ETAPA"</formula>
    </cfRule>
  </conditionalFormatting>
  <conditionalFormatting sqref="N499">
    <cfRule type="expression" dxfId="4774" priority="1753">
      <formula>$H499="ETAPA"</formula>
    </cfRule>
    <cfRule type="expression" dxfId="4773" priority="1752">
      <formula>$H499="CÉLULA CONSTRUTIVA"</formula>
    </cfRule>
    <cfRule type="expression" dxfId="4772" priority="1751">
      <formula>$H499="SUBETAPA"</formula>
    </cfRule>
  </conditionalFormatting>
  <conditionalFormatting sqref="N501">
    <cfRule type="expression" dxfId="4771" priority="1749">
      <formula>$H501="CÉLULA CONSTRUTIVA"</formula>
    </cfRule>
    <cfRule type="expression" dxfId="4770" priority="1750">
      <formula>$H501="ETAPA"</formula>
    </cfRule>
    <cfRule type="expression" dxfId="4769" priority="1748">
      <formula>$H501="SUBETAPA"</formula>
    </cfRule>
  </conditionalFormatting>
  <conditionalFormatting sqref="N503">
    <cfRule type="expression" dxfId="4768" priority="1747">
      <formula>$H503="ETAPA"</formula>
    </cfRule>
    <cfRule type="expression" dxfId="4767" priority="1745">
      <formula>$H503="SUBETAPA"</formula>
    </cfRule>
    <cfRule type="expression" dxfId="4766" priority="1746">
      <formula>$H503="CÉLULA CONSTRUTIVA"</formula>
    </cfRule>
  </conditionalFormatting>
  <conditionalFormatting sqref="N505">
    <cfRule type="expression" dxfId="4765" priority="1734">
      <formula>$H505="CÉLULA CONSTRUTIVA"</formula>
    </cfRule>
    <cfRule type="expression" dxfId="4764" priority="1735">
      <formula>$H505="ETAPA"</formula>
    </cfRule>
    <cfRule type="expression" dxfId="4763" priority="1733">
      <formula>$H505="SUBETAPA"</formula>
    </cfRule>
  </conditionalFormatting>
  <conditionalFormatting sqref="N507">
    <cfRule type="expression" dxfId="4762" priority="1736">
      <formula>$H507="SUBETAPA"</formula>
    </cfRule>
    <cfRule type="expression" dxfId="4761" priority="1737">
      <formula>$H507="CÉLULA CONSTRUTIVA"</formula>
    </cfRule>
    <cfRule type="expression" dxfId="4760" priority="1738">
      <formula>$H507="ETAPA"</formula>
    </cfRule>
  </conditionalFormatting>
  <conditionalFormatting sqref="N509">
    <cfRule type="expression" dxfId="4759" priority="1739">
      <formula>$H509="SUBETAPA"</formula>
    </cfRule>
    <cfRule type="expression" dxfId="4758" priority="1740">
      <formula>$H509="CÉLULA CONSTRUTIVA"</formula>
    </cfRule>
    <cfRule type="expression" dxfId="4757" priority="1741">
      <formula>$H509="ETAPA"</formula>
    </cfRule>
  </conditionalFormatting>
  <conditionalFormatting sqref="N511">
    <cfRule type="expression" dxfId="4756" priority="1744">
      <formula>$H511="ETAPA"</formula>
    </cfRule>
    <cfRule type="expression" dxfId="4755" priority="1743">
      <formula>$H511="CÉLULA CONSTRUTIVA"</formula>
    </cfRule>
    <cfRule type="expression" dxfId="4754" priority="1742">
      <formula>$H511="SUBETAPA"</formula>
    </cfRule>
  </conditionalFormatting>
  <conditionalFormatting sqref="N518 N522 N524 N526">
    <cfRule type="expression" dxfId="4753" priority="1774">
      <formula>$H518="ETAPA"</formula>
    </cfRule>
    <cfRule type="expression" dxfId="4752" priority="1772">
      <formula>$H518="SUBETAPA"</formula>
    </cfRule>
    <cfRule type="expression" dxfId="4751" priority="1773">
      <formula>$H518="CÉLULA CONSTRUTIVA"</formula>
    </cfRule>
  </conditionalFormatting>
  <conditionalFormatting sqref="N519">
    <cfRule type="expression" dxfId="4750" priority="996">
      <formula>$H519="ETAPA"</formula>
    </cfRule>
    <cfRule type="expression" dxfId="4749" priority="995">
      <formula>$H519="CÉLULA CONSTRUTIVA"</formula>
    </cfRule>
    <cfRule type="expression" dxfId="4748" priority="994">
      <formula>$H519="SUBETAPA"</formula>
    </cfRule>
  </conditionalFormatting>
  <conditionalFormatting sqref="N520">
    <cfRule type="expression" dxfId="4747" priority="977">
      <formula>$H520="SUBETAPA"</formula>
    </cfRule>
    <cfRule type="expression" dxfId="4746" priority="978">
      <formula>$H520="CÉLULA CONSTRUTIVA"</formula>
    </cfRule>
    <cfRule type="expression" dxfId="4745" priority="979">
      <formula>$H520="ETAPA"</formula>
    </cfRule>
  </conditionalFormatting>
  <conditionalFormatting sqref="N521">
    <cfRule type="expression" dxfId="4744" priority="1769">
      <formula>$H521="SUBETAPA"</formula>
    </cfRule>
    <cfRule type="expression" dxfId="4743" priority="1770">
      <formula>$H521="CÉLULA CONSTRUTIVA"</formula>
    </cfRule>
    <cfRule type="expression" dxfId="4742" priority="1771">
      <formula>$H521="ETAPA"</formula>
    </cfRule>
  </conditionalFormatting>
  <conditionalFormatting sqref="N523">
    <cfRule type="expression" dxfId="4741" priority="1766">
      <formula>$H523="SUBETAPA"</formula>
    </cfRule>
    <cfRule type="expression" dxfId="4740" priority="1767">
      <formula>$H523="CÉLULA CONSTRUTIVA"</formula>
    </cfRule>
    <cfRule type="expression" dxfId="4739" priority="1768">
      <formula>$H523="ETAPA"</formula>
    </cfRule>
  </conditionalFormatting>
  <conditionalFormatting sqref="N525">
    <cfRule type="expression" dxfId="4738" priority="1763">
      <formula>$H525="SUBETAPA"</formula>
    </cfRule>
    <cfRule type="expression" dxfId="4737" priority="1765">
      <formula>$H525="ETAPA"</formula>
    </cfRule>
    <cfRule type="expression" dxfId="4736" priority="1764">
      <formula>$H525="CÉLULA CONSTRUTIVA"</formula>
    </cfRule>
  </conditionalFormatting>
  <conditionalFormatting sqref="N527">
    <cfRule type="expression" dxfId="4735" priority="1760">
      <formula>$H527="SUBETAPA"</formula>
    </cfRule>
    <cfRule type="expression" dxfId="4734" priority="1762">
      <formula>$H527="ETAPA"</formula>
    </cfRule>
    <cfRule type="expression" dxfId="4733" priority="1761">
      <formula>$H527="CÉLULA CONSTRUTIVA"</formula>
    </cfRule>
  </conditionalFormatting>
  <conditionalFormatting sqref="N528">
    <cfRule type="expression" dxfId="4732" priority="1775">
      <formula>$H528="SUBETAPA"</formula>
    </cfRule>
    <cfRule type="expression" dxfId="4731" priority="1777">
      <formula>$H528="ETAPA"</formula>
    </cfRule>
    <cfRule type="expression" dxfId="4730" priority="1776">
      <formula>$H528="CÉLULA CONSTRUTIVA"</formula>
    </cfRule>
  </conditionalFormatting>
  <conditionalFormatting sqref="N529">
    <cfRule type="expression" dxfId="4729" priority="1754">
      <formula>$H529="SUBETAPA"</formula>
    </cfRule>
    <cfRule type="expression" dxfId="4728" priority="1755">
      <formula>$H529="CÉLULA CONSTRUTIVA"</formula>
    </cfRule>
    <cfRule type="expression" dxfId="4727" priority="1756">
      <formula>$H529="ETAPA"</formula>
    </cfRule>
  </conditionalFormatting>
  <conditionalFormatting sqref="N530">
    <cfRule type="expression" dxfId="4726" priority="1757">
      <formula>$H530="SUBETAPA"</formula>
    </cfRule>
    <cfRule type="expression" dxfId="4725" priority="1758">
      <formula>$H530="CÉLULA CONSTRUTIVA"</formula>
    </cfRule>
    <cfRule type="expression" dxfId="4724" priority="1759">
      <formula>$H530="ETAPA"</formula>
    </cfRule>
  </conditionalFormatting>
  <conditionalFormatting sqref="N531 N533 N535">
    <cfRule type="expression" dxfId="4723" priority="1790">
      <formula>$H531="SUBETAPA"</formula>
    </cfRule>
    <cfRule type="expression" dxfId="4722" priority="1791">
      <formula>$H531="CÉLULA CONSTRUTIVA"</formula>
    </cfRule>
    <cfRule type="expression" dxfId="4721" priority="1792">
      <formula>$H531="ETAPA"</formula>
    </cfRule>
  </conditionalFormatting>
  <conditionalFormatting sqref="N532">
    <cfRule type="expression" dxfId="4720" priority="1787">
      <formula>$H532="SUBETAPA"</formula>
    </cfRule>
    <cfRule type="expression" dxfId="4719" priority="1788">
      <formula>$H532="CÉLULA CONSTRUTIVA"</formula>
    </cfRule>
    <cfRule type="expression" dxfId="4718" priority="1789">
      <formula>$H532="ETAPA"</formula>
    </cfRule>
  </conditionalFormatting>
  <conditionalFormatting sqref="N534">
    <cfRule type="expression" dxfId="4717" priority="1785">
      <formula>$H534="CÉLULA CONSTRUTIVA"</formula>
    </cfRule>
    <cfRule type="expression" dxfId="4716" priority="1786">
      <formula>$H534="ETAPA"</formula>
    </cfRule>
    <cfRule type="expression" dxfId="4715" priority="1784">
      <formula>$H534="SUBETAPA"</formula>
    </cfRule>
  </conditionalFormatting>
  <conditionalFormatting sqref="N536">
    <cfRule type="expression" dxfId="4714" priority="1780">
      <formula>$H536="ETAPA"</formula>
    </cfRule>
    <cfRule type="expression" dxfId="4713" priority="1778">
      <formula>$H536="SUBETAPA"</formula>
    </cfRule>
    <cfRule type="expression" dxfId="4712" priority="1779">
      <formula>$H536="CÉLULA CONSTRUTIVA"</formula>
    </cfRule>
  </conditionalFormatting>
  <conditionalFormatting sqref="N538 N540 N542 N544">
    <cfRule type="expression" dxfId="4711" priority="1802">
      <formula>$H538="SUBETAPA"</formula>
    </cfRule>
    <cfRule type="expression" dxfId="4710" priority="1803">
      <formula>$H538="CÉLULA CONSTRUTIVA"</formula>
    </cfRule>
    <cfRule type="expression" dxfId="4709" priority="1804">
      <formula>$H538="ETAPA"</formula>
    </cfRule>
  </conditionalFormatting>
  <conditionalFormatting sqref="N539">
    <cfRule type="expression" dxfId="4708" priority="1799">
      <formula>$H539="SUBETAPA"</formula>
    </cfRule>
    <cfRule type="expression" dxfId="4707" priority="1800">
      <formula>$H539="CÉLULA CONSTRUTIVA"</formula>
    </cfRule>
    <cfRule type="expression" dxfId="4706" priority="1801">
      <formula>$H539="ETAPA"</formula>
    </cfRule>
  </conditionalFormatting>
  <conditionalFormatting sqref="N541">
    <cfRule type="expression" dxfId="4705" priority="1798">
      <formula>$H541="ETAPA"</formula>
    </cfRule>
    <cfRule type="expression" dxfId="4704" priority="1796">
      <formula>$H541="SUBETAPA"</formula>
    </cfRule>
    <cfRule type="expression" dxfId="4703" priority="1797">
      <formula>$H541="CÉLULA CONSTRUTIVA"</formula>
    </cfRule>
  </conditionalFormatting>
  <conditionalFormatting sqref="N543">
    <cfRule type="expression" dxfId="4702" priority="1795">
      <formula>$H543="ETAPA"</formula>
    </cfRule>
    <cfRule type="expression" dxfId="4701" priority="1793">
      <formula>$H543="SUBETAPA"</formula>
    </cfRule>
    <cfRule type="expression" dxfId="4700" priority="1794">
      <formula>$H543="CÉLULA CONSTRUTIVA"</formula>
    </cfRule>
  </conditionalFormatting>
  <conditionalFormatting sqref="N546">
    <cfRule type="expression" dxfId="4699" priority="1813">
      <formula>$H546="ETAPA"</formula>
    </cfRule>
    <cfRule type="expression" dxfId="4698" priority="1811">
      <formula>$H546="SUBETAPA"</formula>
    </cfRule>
    <cfRule type="expression" dxfId="4697" priority="1812">
      <formula>$H546="CÉLULA CONSTRUTIVA"</formula>
    </cfRule>
  </conditionalFormatting>
  <conditionalFormatting sqref="N548">
    <cfRule type="expression" dxfId="4696" priority="1808">
      <formula>$H548="SUBETAPA"</formula>
    </cfRule>
    <cfRule type="expression" dxfId="4695" priority="1809">
      <formula>$H548="CÉLULA CONSTRUTIVA"</formula>
    </cfRule>
    <cfRule type="expression" dxfId="4694" priority="1810">
      <formula>$H548="ETAPA"</formula>
    </cfRule>
  </conditionalFormatting>
  <conditionalFormatting sqref="N550">
    <cfRule type="expression" dxfId="4693" priority="1805">
      <formula>$H550="SUBETAPA"</formula>
    </cfRule>
    <cfRule type="expression" dxfId="4692" priority="1806">
      <formula>$H550="CÉLULA CONSTRUTIVA"</formula>
    </cfRule>
    <cfRule type="expression" dxfId="4691" priority="1807">
      <formula>$H550="ETAPA"</formula>
    </cfRule>
  </conditionalFormatting>
  <conditionalFormatting sqref="N553">
    <cfRule type="expression" dxfId="4690" priority="1814">
      <formula>$H553="SUBETAPA"</formula>
    </cfRule>
    <cfRule type="expression" dxfId="4689" priority="1815">
      <formula>$H553="CÉLULA CONSTRUTIVA"</formula>
    </cfRule>
    <cfRule type="expression" dxfId="4688" priority="1816">
      <formula>$H553="ETAPA"</formula>
    </cfRule>
  </conditionalFormatting>
  <conditionalFormatting sqref="N555">
    <cfRule type="expression" dxfId="4687" priority="1817">
      <formula>$H555="SUBETAPA"</formula>
    </cfRule>
    <cfRule type="expression" dxfId="4686" priority="1818">
      <formula>$H555="CÉLULA CONSTRUTIVA"</formula>
    </cfRule>
    <cfRule type="expression" dxfId="4685" priority="1819">
      <formula>$H555="ETAPA"</formula>
    </cfRule>
  </conditionalFormatting>
  <conditionalFormatting sqref="N557">
    <cfRule type="expression" dxfId="4684" priority="1820">
      <formula>$H557="SUBETAPA"</formula>
    </cfRule>
    <cfRule type="expression" dxfId="4683" priority="1821">
      <formula>$H557="CÉLULA CONSTRUTIVA"</formula>
    </cfRule>
    <cfRule type="expression" dxfId="4682" priority="1822">
      <formula>$H557="ETAPA"</formula>
    </cfRule>
  </conditionalFormatting>
  <conditionalFormatting sqref="N559">
    <cfRule type="expression" dxfId="4681" priority="1823">
      <formula>$H559="SUBETAPA"</formula>
    </cfRule>
    <cfRule type="expression" dxfId="4680" priority="1824">
      <formula>$H559="CÉLULA CONSTRUTIVA"</formula>
    </cfRule>
    <cfRule type="expression" dxfId="4679" priority="1825">
      <formula>$H559="ETAPA"</formula>
    </cfRule>
  </conditionalFormatting>
  <conditionalFormatting sqref="N562">
    <cfRule type="expression" dxfId="4678" priority="1837">
      <formula>$H562="ETAPA"</formula>
    </cfRule>
    <cfRule type="expression" dxfId="4677" priority="1836">
      <formula>$H562="CÉLULA CONSTRUTIVA"</formula>
    </cfRule>
    <cfRule type="expression" dxfId="4676" priority="1835">
      <formula>$H562="SUBETAPA"</formula>
    </cfRule>
  </conditionalFormatting>
  <conditionalFormatting sqref="N564">
    <cfRule type="expression" dxfId="4675" priority="1833">
      <formula>$H564="CÉLULA CONSTRUTIVA"</formula>
    </cfRule>
    <cfRule type="expression" dxfId="4674" priority="1834">
      <formula>$H564="ETAPA"</formula>
    </cfRule>
    <cfRule type="expression" dxfId="4673" priority="1832">
      <formula>$H564="SUBETAPA"</formula>
    </cfRule>
  </conditionalFormatting>
  <conditionalFormatting sqref="N566">
    <cfRule type="expression" dxfId="4672" priority="1830">
      <formula>$H566="CÉLULA CONSTRUTIVA"</formula>
    </cfRule>
    <cfRule type="expression" dxfId="4671" priority="1831">
      <formula>$H566="ETAPA"</formula>
    </cfRule>
    <cfRule type="expression" dxfId="4670" priority="1829">
      <formula>$H566="SUBETAPA"</formula>
    </cfRule>
  </conditionalFormatting>
  <conditionalFormatting sqref="N568">
    <cfRule type="expression" dxfId="4669" priority="1826">
      <formula>$H568="SUBETAPA"</formula>
    </cfRule>
    <cfRule type="expression" dxfId="4668" priority="1828">
      <formula>$H568="ETAPA"</formula>
    </cfRule>
    <cfRule type="expression" dxfId="4667" priority="1827">
      <formula>$H568="CÉLULA CONSTRUTIVA"</formula>
    </cfRule>
  </conditionalFormatting>
  <conditionalFormatting sqref="N571">
    <cfRule type="expression" dxfId="4666" priority="1849">
      <formula>$H571="ETAPA"</formula>
    </cfRule>
    <cfRule type="expression" dxfId="4665" priority="1848">
      <formula>$H571="CÉLULA CONSTRUTIVA"</formula>
    </cfRule>
    <cfRule type="expression" dxfId="4664" priority="1847">
      <formula>$H571="SUBETAPA"</formula>
    </cfRule>
  </conditionalFormatting>
  <conditionalFormatting sqref="N573">
    <cfRule type="expression" dxfId="4663" priority="1846">
      <formula>$H573="ETAPA"</formula>
    </cfRule>
    <cfRule type="expression" dxfId="4662" priority="1844">
      <formula>$H573="SUBETAPA"</formula>
    </cfRule>
    <cfRule type="expression" dxfId="4661" priority="1845">
      <formula>$H573="CÉLULA CONSTRUTIVA"</formula>
    </cfRule>
  </conditionalFormatting>
  <conditionalFormatting sqref="N575">
    <cfRule type="expression" dxfId="4660" priority="1841">
      <formula>$H575="SUBETAPA"</formula>
    </cfRule>
    <cfRule type="expression" dxfId="4659" priority="1842">
      <formula>$H575="CÉLULA CONSTRUTIVA"</formula>
    </cfRule>
    <cfRule type="expression" dxfId="4658" priority="1843">
      <formula>$H575="ETAPA"</formula>
    </cfRule>
  </conditionalFormatting>
  <conditionalFormatting sqref="N577">
    <cfRule type="expression" dxfId="4657" priority="1838">
      <formula>$H577="SUBETAPA"</formula>
    </cfRule>
    <cfRule type="expression" dxfId="4656" priority="1839">
      <formula>$H577="CÉLULA CONSTRUTIVA"</formula>
    </cfRule>
    <cfRule type="expression" dxfId="4655" priority="1840">
      <formula>$H577="ETAPA"</formula>
    </cfRule>
  </conditionalFormatting>
  <conditionalFormatting sqref="N581">
    <cfRule type="expression" dxfId="4654" priority="1850">
      <formula>$H581="SUBETAPA"</formula>
    </cfRule>
    <cfRule type="expression" dxfId="4653" priority="1851">
      <formula>$H581="CÉLULA CONSTRUTIVA"</formula>
    </cfRule>
    <cfRule type="expression" dxfId="4652" priority="1852">
      <formula>$H581="ETAPA"</formula>
    </cfRule>
  </conditionalFormatting>
  <conditionalFormatting sqref="N601">
    <cfRule type="expression" dxfId="4651" priority="1204">
      <formula>$H601="ETAPA"</formula>
    </cfRule>
    <cfRule type="expression" dxfId="4650" priority="1202">
      <formula>$H601="SUBETAPA"</formula>
    </cfRule>
    <cfRule type="expression" dxfId="4649" priority="1203">
      <formula>$H601="CÉLULA CONSTRUTIVA"</formula>
    </cfRule>
  </conditionalFormatting>
  <conditionalFormatting sqref="N602:N603">
    <cfRule type="expression" dxfId="4648" priority="13104">
      <formula>$H602="CÉLULA CONSTRUTIVA"</formula>
    </cfRule>
    <cfRule type="expression" dxfId="4647" priority="13105">
      <formula>$H602="ETAPA"</formula>
    </cfRule>
  </conditionalFormatting>
  <conditionalFormatting sqref="N605">
    <cfRule type="expression" dxfId="4646" priority="11398">
      <formula>$H605="ETAPA"</formula>
    </cfRule>
    <cfRule type="expression" dxfId="4645" priority="11397">
      <formula>$H605="CÉLULA CONSTRUTIVA"</formula>
    </cfRule>
  </conditionalFormatting>
  <conditionalFormatting sqref="N606">
    <cfRule type="expression" dxfId="4644" priority="11387">
      <formula>$H606="ETAPA"</formula>
    </cfRule>
    <cfRule type="expression" dxfId="4643" priority="11386">
      <formula>$H606="CÉLULA CONSTRUTIVA"</formula>
    </cfRule>
  </conditionalFormatting>
  <conditionalFormatting sqref="N607">
    <cfRule type="expression" dxfId="4642" priority="3147">
      <formula>$H607="CÉLULA CONSTRUTIVA"</formula>
    </cfRule>
    <cfRule type="expression" dxfId="4641" priority="3146">
      <formula>$H607="SUBETAPA"</formula>
    </cfRule>
    <cfRule type="expression" dxfId="4640" priority="3148">
      <formula>$H607="ETAPA"</formula>
    </cfRule>
  </conditionalFormatting>
  <conditionalFormatting sqref="N608">
    <cfRule type="expression" dxfId="4639" priority="1274">
      <formula>$H608="SUBETAPA"</formula>
    </cfRule>
    <cfRule type="expression" dxfId="4638" priority="1275">
      <formula>$H608="CÉLULA CONSTRUTIVA"</formula>
    </cfRule>
    <cfRule type="expression" dxfId="4637" priority="1276">
      <formula>$H608="ETAPA"</formula>
    </cfRule>
  </conditionalFormatting>
  <conditionalFormatting sqref="N609">
    <cfRule type="expression" dxfId="4636" priority="5432">
      <formula>$H609="CÉLULA CONSTRUTIVA"</formula>
    </cfRule>
    <cfRule type="expression" dxfId="4635" priority="5431">
      <formula>$H609="SUBETAPA"</formula>
    </cfRule>
    <cfRule type="expression" dxfId="4634" priority="5433">
      <formula>$H609="ETAPA"</formula>
    </cfRule>
  </conditionalFormatting>
  <conditionalFormatting sqref="N610">
    <cfRule type="expression" dxfId="4633" priority="1271">
      <formula>$H610="SUBETAPA"</formula>
    </cfRule>
    <cfRule type="expression" dxfId="4632" priority="1272">
      <formula>$H610="CÉLULA CONSTRUTIVA"</formula>
    </cfRule>
    <cfRule type="expression" dxfId="4631" priority="1273">
      <formula>$H610="ETAPA"</formula>
    </cfRule>
  </conditionalFormatting>
  <conditionalFormatting sqref="N611">
    <cfRule type="expression" dxfId="4630" priority="3164">
      <formula>$H611="CÉLULA CONSTRUTIVA"</formula>
    </cfRule>
    <cfRule type="expression" dxfId="4629" priority="3165">
      <formula>$H611="ETAPA"</formula>
    </cfRule>
    <cfRule type="expression" dxfId="4628" priority="3163">
      <formula>$H611="SUBETAPA"</formula>
    </cfRule>
  </conditionalFormatting>
  <conditionalFormatting sqref="N612">
    <cfRule type="expression" dxfId="4627" priority="1268">
      <formula>$H612="SUBETAPA"</formula>
    </cfRule>
    <cfRule type="expression" dxfId="4626" priority="1269">
      <formula>$H612="CÉLULA CONSTRUTIVA"</formula>
    </cfRule>
    <cfRule type="expression" dxfId="4625" priority="1270">
      <formula>$H612="ETAPA"</formula>
    </cfRule>
  </conditionalFormatting>
  <conditionalFormatting sqref="N613">
    <cfRule type="expression" dxfId="4624" priority="13080">
      <formula>$H613="CÉLULA CONSTRUTIVA"</formula>
    </cfRule>
    <cfRule type="expression" dxfId="4623" priority="13081">
      <formula>$H613="ETAPA"</formula>
    </cfRule>
  </conditionalFormatting>
  <conditionalFormatting sqref="N621">
    <cfRule type="expression" dxfId="4622" priority="1265">
      <formula>$H621="SUBETAPA"</formula>
    </cfRule>
    <cfRule type="expression" dxfId="4621" priority="1266">
      <formula>$H621="CÉLULA CONSTRUTIVA"</formula>
    </cfRule>
    <cfRule type="expression" dxfId="4620" priority="1267">
      <formula>$H621="ETAPA"</formula>
    </cfRule>
  </conditionalFormatting>
  <conditionalFormatting sqref="N622">
    <cfRule type="expression" dxfId="4619" priority="3653">
      <formula>$H622="ETAPA"</formula>
    </cfRule>
    <cfRule type="expression" dxfId="4618" priority="3652">
      <formula>$H622="CÉLULA CONSTRUTIVA"</formula>
    </cfRule>
    <cfRule type="expression" dxfId="4617" priority="3651">
      <formula>$H622="SUBETAPA"</formula>
    </cfRule>
  </conditionalFormatting>
  <conditionalFormatting sqref="N623">
    <cfRule type="expression" dxfId="4616" priority="1264">
      <formula>$H623="ETAPA"</formula>
    </cfRule>
    <cfRule type="expression" dxfId="4615" priority="1262">
      <formula>$H623="SUBETAPA"</formula>
    </cfRule>
    <cfRule type="expression" dxfId="4614" priority="1263">
      <formula>$H623="CÉLULA CONSTRUTIVA"</formula>
    </cfRule>
  </conditionalFormatting>
  <conditionalFormatting sqref="N624">
    <cfRule type="expression" dxfId="4613" priority="3676">
      <formula>$H624="SUBETAPA"</formula>
    </cfRule>
    <cfRule type="expression" dxfId="4612" priority="3678">
      <formula>$H624="ETAPA"</formula>
    </cfRule>
    <cfRule type="expression" dxfId="4611" priority="3677">
      <formula>$H624="CÉLULA CONSTRUTIVA"</formula>
    </cfRule>
  </conditionalFormatting>
  <conditionalFormatting sqref="N625">
    <cfRule type="expression" dxfId="4610" priority="1207">
      <formula>$H625="ETAPA"</formula>
    </cfRule>
    <cfRule type="expression" dxfId="4609" priority="1205">
      <formula>$H625="SUBETAPA"</formula>
    </cfRule>
    <cfRule type="expression" dxfId="4608" priority="1206">
      <formula>$H625="CÉLULA CONSTRUTIVA"</formula>
    </cfRule>
  </conditionalFormatting>
  <conditionalFormatting sqref="N629">
    <cfRule type="expression" dxfId="4607" priority="1259">
      <formula>$H629="SUBETAPA"</formula>
    </cfRule>
    <cfRule type="expression" dxfId="4606" priority="1260">
      <formula>$H629="CÉLULA CONSTRUTIVA"</formula>
    </cfRule>
    <cfRule type="expression" dxfId="4605" priority="1261">
      <formula>$H629="ETAPA"</formula>
    </cfRule>
  </conditionalFormatting>
  <conditionalFormatting sqref="N630">
    <cfRule type="expression" dxfId="4604" priority="3704">
      <formula>$H630="CÉLULA CONSTRUTIVA"</formula>
    </cfRule>
    <cfRule type="expression" dxfId="4603" priority="3703">
      <formula>$H630="SUBETAPA"</formula>
    </cfRule>
    <cfRule type="expression" dxfId="4602" priority="3705">
      <formula>$H630="ETAPA"</formula>
    </cfRule>
  </conditionalFormatting>
  <conditionalFormatting sqref="N631">
    <cfRule type="expression" dxfId="4601" priority="1256">
      <formula>$H631="SUBETAPA"</formula>
    </cfRule>
    <cfRule type="expression" dxfId="4600" priority="1257">
      <formula>$H631="CÉLULA CONSTRUTIVA"</formula>
    </cfRule>
    <cfRule type="expression" dxfId="4599" priority="1258">
      <formula>$H631="ETAPA"</formula>
    </cfRule>
  </conditionalFormatting>
  <conditionalFormatting sqref="N632">
    <cfRule type="expression" dxfId="4598" priority="3729">
      <formula>$H632="CÉLULA CONSTRUTIVA"</formula>
    </cfRule>
    <cfRule type="expression" dxfId="4597" priority="3730">
      <formula>$H632="ETAPA"</formula>
    </cfRule>
    <cfRule type="expression" dxfId="4596" priority="3728">
      <formula>$H632="SUBETAPA"</formula>
    </cfRule>
  </conditionalFormatting>
  <conditionalFormatting sqref="N633">
    <cfRule type="expression" dxfId="4595" priority="1212">
      <formula>$H633="CÉLULA CONSTRUTIVA"</formula>
    </cfRule>
    <cfRule type="expression" dxfId="4594" priority="1213">
      <formula>$H633="ETAPA"</formula>
    </cfRule>
    <cfRule type="expression" dxfId="4593" priority="1211">
      <formula>$H633="SUBETAPA"</formula>
    </cfRule>
  </conditionalFormatting>
  <conditionalFormatting sqref="N637">
    <cfRule type="expression" dxfId="4592" priority="1253">
      <formula>$H637="SUBETAPA"</formula>
    </cfRule>
    <cfRule type="expression" dxfId="4591" priority="1254">
      <formula>$H637="CÉLULA CONSTRUTIVA"</formula>
    </cfRule>
    <cfRule type="expression" dxfId="4590" priority="1255">
      <formula>$H637="ETAPA"</formula>
    </cfRule>
  </conditionalFormatting>
  <conditionalFormatting sqref="N638">
    <cfRule type="expression" dxfId="4589" priority="3764">
      <formula>$H638="CÉLULA CONSTRUTIVA"</formula>
    </cfRule>
    <cfRule type="expression" dxfId="4588" priority="3763">
      <formula>$H638="SUBETAPA"</formula>
    </cfRule>
    <cfRule type="expression" dxfId="4587" priority="3765">
      <formula>$H638="ETAPA"</formula>
    </cfRule>
  </conditionalFormatting>
  <conditionalFormatting sqref="N639">
    <cfRule type="expression" dxfId="4586" priority="1252">
      <formula>$H639="ETAPA"</formula>
    </cfRule>
    <cfRule type="expression" dxfId="4585" priority="1251">
      <formula>$H639="CÉLULA CONSTRUTIVA"</formula>
    </cfRule>
    <cfRule type="expression" dxfId="4584" priority="1250">
      <formula>$H639="SUBETAPA"</formula>
    </cfRule>
  </conditionalFormatting>
  <conditionalFormatting sqref="N640">
    <cfRule type="expression" dxfId="4583" priority="4189">
      <formula>$H640="CÉLULA CONSTRUTIVA"</formula>
    </cfRule>
    <cfRule type="expression" dxfId="4582" priority="4188">
      <formula>$H640="SUBETAPA"</formula>
    </cfRule>
    <cfRule type="expression" dxfId="4581" priority="4190">
      <formula>$H640="ETAPA"</formula>
    </cfRule>
  </conditionalFormatting>
  <conditionalFormatting sqref="N641">
    <cfRule type="expression" dxfId="4580" priority="1208">
      <formula>$H641="SUBETAPA"</formula>
    </cfRule>
    <cfRule type="expression" dxfId="4579" priority="1209">
      <formula>$H641="CÉLULA CONSTRUTIVA"</formula>
    </cfRule>
    <cfRule type="expression" dxfId="4578" priority="1210">
      <formula>$H641="ETAPA"</formula>
    </cfRule>
  </conditionalFormatting>
  <conditionalFormatting sqref="N645">
    <cfRule type="expression" dxfId="4577" priority="1216">
      <formula>$H645="ETAPA"</formula>
    </cfRule>
    <cfRule type="expression" dxfId="4576" priority="1214">
      <formula>$H645="SUBETAPA"</formula>
    </cfRule>
    <cfRule type="expression" dxfId="4575" priority="1215">
      <formula>$H645="CÉLULA CONSTRUTIVA"</formula>
    </cfRule>
  </conditionalFormatting>
  <conditionalFormatting sqref="N646:N647">
    <cfRule type="expression" dxfId="4574" priority="4294">
      <formula>$H646="SUBETAPA"</formula>
    </cfRule>
    <cfRule type="expression" dxfId="4573" priority="4296">
      <formula>$H646="ETAPA"</formula>
    </cfRule>
    <cfRule type="expression" dxfId="4572" priority="4295">
      <formula>$H646="CÉLULA CONSTRUTIVA"</formula>
    </cfRule>
  </conditionalFormatting>
  <conditionalFormatting sqref="N648">
    <cfRule type="expression" dxfId="4571" priority="1217">
      <formula>$H648="SUBETAPA"</formula>
    </cfRule>
    <cfRule type="expression" dxfId="4570" priority="1219">
      <formula>$H648="ETAPA"</formula>
    </cfRule>
    <cfRule type="expression" dxfId="4569" priority="1218">
      <formula>$H648="CÉLULA CONSTRUTIVA"</formula>
    </cfRule>
  </conditionalFormatting>
  <conditionalFormatting sqref="N649">
    <cfRule type="expression" dxfId="4568" priority="4284">
      <formula>$H649="ETAPA"</formula>
    </cfRule>
    <cfRule type="expression" dxfId="4567" priority="4282">
      <formula>$H649="SUBETAPA"</formula>
    </cfRule>
    <cfRule type="expression" dxfId="4566" priority="4283">
      <formula>$H649="CÉLULA CONSTRUTIVA"</formula>
    </cfRule>
  </conditionalFormatting>
  <conditionalFormatting sqref="N650">
    <cfRule type="expression" dxfId="4565" priority="4277">
      <formula>$H650="CÉLULA CONSTRUTIVA"</formula>
    </cfRule>
    <cfRule type="expression" dxfId="4564" priority="4276">
      <formula>$H650="SUBETAPA"</formula>
    </cfRule>
    <cfRule type="expression" dxfId="4563" priority="4278">
      <formula>$H650="ETAPA"</formula>
    </cfRule>
  </conditionalFormatting>
  <conditionalFormatting sqref="N651">
    <cfRule type="expression" dxfId="4562" priority="1222">
      <formula>$H651="ETAPA"</formula>
    </cfRule>
    <cfRule type="expression" dxfId="4561" priority="1220">
      <formula>$H651="SUBETAPA"</formula>
    </cfRule>
    <cfRule type="expression" dxfId="4560" priority="1221">
      <formula>$H651="CÉLULA CONSTRUTIVA"</formula>
    </cfRule>
  </conditionalFormatting>
  <conditionalFormatting sqref="N652">
    <cfRule type="expression" dxfId="4559" priority="4258">
      <formula>$H652="ETAPA"</formula>
    </cfRule>
    <cfRule type="expression" dxfId="4558" priority="4257">
      <formula>$H652="CÉLULA CONSTRUTIVA"</formula>
    </cfRule>
    <cfRule type="expression" dxfId="4557" priority="4256">
      <formula>$H652="SUBETAPA"</formula>
    </cfRule>
  </conditionalFormatting>
  <conditionalFormatting sqref="N653">
    <cfRule type="expression" dxfId="4556" priority="4264">
      <formula>$H653="ETAPA"</formula>
    </cfRule>
    <cfRule type="expression" dxfId="4555" priority="4263">
      <formula>$H653="CÉLULA CONSTRUTIVA"</formula>
    </cfRule>
    <cfRule type="expression" dxfId="4554" priority="4262">
      <formula>$H653="SUBETAPA"</formula>
    </cfRule>
  </conditionalFormatting>
  <conditionalFormatting sqref="N654">
    <cfRule type="expression" dxfId="4553" priority="1247">
      <formula>$H654="SUBETAPA"</formula>
    </cfRule>
    <cfRule type="expression" dxfId="4552" priority="1248">
      <formula>$H654="CÉLULA CONSTRUTIVA"</formula>
    </cfRule>
    <cfRule type="expression" dxfId="4551" priority="1249">
      <formula>$H654="ETAPA"</formula>
    </cfRule>
  </conditionalFormatting>
  <conditionalFormatting sqref="N655">
    <cfRule type="expression" dxfId="4550" priority="3788">
      <formula>$H655="SUBETAPA"</formula>
    </cfRule>
    <cfRule type="expression" dxfId="4549" priority="3790">
      <formula>$H655="ETAPA"</formula>
    </cfRule>
    <cfRule type="expression" dxfId="4548" priority="3789">
      <formula>$H655="CÉLULA CONSTRUTIVA"</formula>
    </cfRule>
  </conditionalFormatting>
  <conditionalFormatting sqref="N656">
    <cfRule type="expression" dxfId="4547" priority="1246">
      <formula>$H656="ETAPA"</formula>
    </cfRule>
    <cfRule type="expression" dxfId="4546" priority="1244">
      <formula>$H656="SUBETAPA"</formula>
    </cfRule>
    <cfRule type="expression" dxfId="4545" priority="1245">
      <formula>$H656="CÉLULA CONSTRUTIVA"</formula>
    </cfRule>
  </conditionalFormatting>
  <conditionalFormatting sqref="N657">
    <cfRule type="expression" dxfId="4544" priority="4290">
      <formula>$H657="ETAPA"</formula>
    </cfRule>
    <cfRule type="expression" dxfId="4543" priority="4288">
      <formula>$H657="SUBETAPA"</formula>
    </cfRule>
    <cfRule type="expression" dxfId="4542" priority="4289">
      <formula>$H657="CÉLULA CONSTRUTIVA"</formula>
    </cfRule>
  </conditionalFormatting>
  <conditionalFormatting sqref="N666">
    <cfRule type="expression" dxfId="4541" priority="1242">
      <formula>$H666="CÉLULA CONSTRUTIVA"</formula>
    </cfRule>
    <cfRule type="expression" dxfId="4540" priority="1243">
      <formula>$H666="ETAPA"</formula>
    </cfRule>
    <cfRule type="expression" dxfId="4539" priority="1241">
      <formula>$H666="SUBETAPA"</formula>
    </cfRule>
  </conditionalFormatting>
  <conditionalFormatting sqref="N668">
    <cfRule type="expression" dxfId="4538" priority="1238">
      <formula>$H668="SUBETAPA"</formula>
    </cfRule>
    <cfRule type="expression" dxfId="4537" priority="1239">
      <formula>$H668="CÉLULA CONSTRUTIVA"</formula>
    </cfRule>
    <cfRule type="expression" dxfId="4536" priority="1240">
      <formula>$H668="ETAPA"</formula>
    </cfRule>
  </conditionalFormatting>
  <conditionalFormatting sqref="N669">
    <cfRule type="expression" dxfId="4535" priority="4383">
      <formula>$H669="CÉLULA CONSTRUTIVA"</formula>
    </cfRule>
    <cfRule type="expression" dxfId="4534" priority="4382">
      <formula>$H669="SUBETAPA"</formula>
    </cfRule>
    <cfRule type="expression" dxfId="4533" priority="4384">
      <formula>$H669="ETAPA"</formula>
    </cfRule>
  </conditionalFormatting>
  <conditionalFormatting sqref="N670">
    <cfRule type="expression" dxfId="4532" priority="1223">
      <formula>$H670="SUBETAPA"</formula>
    </cfRule>
    <cfRule type="expression" dxfId="4531" priority="1224">
      <formula>$H670="CÉLULA CONSTRUTIVA"</formula>
    </cfRule>
    <cfRule type="expression" dxfId="4530" priority="1225">
      <formula>$H670="ETAPA"</formula>
    </cfRule>
  </conditionalFormatting>
  <conditionalFormatting sqref="N671">
    <cfRule type="expression" dxfId="4529" priority="4357">
      <formula>$H671="CÉLULA CONSTRUTIVA"</formula>
    </cfRule>
    <cfRule type="expression" dxfId="4528" priority="4356">
      <formula>$H671="SUBETAPA"</formula>
    </cfRule>
    <cfRule type="expression" dxfId="4527" priority="4358">
      <formula>$H671="ETAPA"</formula>
    </cfRule>
  </conditionalFormatting>
  <conditionalFormatting sqref="N672">
    <cfRule type="expression" dxfId="4526" priority="4362">
      <formula>$H672="SUBETAPA"</formula>
    </cfRule>
    <cfRule type="expression" dxfId="4525" priority="4364">
      <formula>$H672="ETAPA"</formula>
    </cfRule>
    <cfRule type="expression" dxfId="4524" priority="4363">
      <formula>$H672="CÉLULA CONSTRUTIVA"</formula>
    </cfRule>
  </conditionalFormatting>
  <conditionalFormatting sqref="N673">
    <cfRule type="expression" dxfId="4523" priority="1235">
      <formula>$H673="SUBETAPA"</formula>
    </cfRule>
    <cfRule type="expression" dxfId="4522" priority="1236">
      <formula>$H673="CÉLULA CONSTRUTIVA"</formula>
    </cfRule>
    <cfRule type="expression" dxfId="4521" priority="1237">
      <formula>$H673="ETAPA"</formula>
    </cfRule>
  </conditionalFormatting>
  <conditionalFormatting sqref="N674">
    <cfRule type="expression" dxfId="4520" priority="4390">
      <formula>$H674="ETAPA"</formula>
    </cfRule>
    <cfRule type="expression" dxfId="4519" priority="4389">
      <formula>$H674="CÉLULA CONSTRUTIVA"</formula>
    </cfRule>
    <cfRule type="expression" dxfId="4518" priority="4388">
      <formula>$H674="SUBETAPA"</formula>
    </cfRule>
  </conditionalFormatting>
  <conditionalFormatting sqref="N681">
    <cfRule type="expression" dxfId="4517" priority="1226">
      <formula>$H681="SUBETAPA"</formula>
    </cfRule>
    <cfRule type="expression" dxfId="4516" priority="1227">
      <formula>$H681="CÉLULA CONSTRUTIVA"</formula>
    </cfRule>
    <cfRule type="expression" dxfId="4515" priority="1228">
      <formula>$H681="ETAPA"</formula>
    </cfRule>
  </conditionalFormatting>
  <conditionalFormatting sqref="N682:N683">
    <cfRule type="expression" dxfId="4514" priority="4596">
      <formula>$H682="ETAPA"</formula>
    </cfRule>
    <cfRule type="expression" dxfId="4513" priority="4595">
      <formula>$H682="CÉLULA CONSTRUTIVA"</formula>
    </cfRule>
    <cfRule type="expression" dxfId="4512" priority="4594">
      <formula>$H682="SUBETAPA"</formula>
    </cfRule>
  </conditionalFormatting>
  <conditionalFormatting sqref="N684">
    <cfRule type="expression" dxfId="4511" priority="1231">
      <formula>$H684="ETAPA"</formula>
    </cfRule>
    <cfRule type="expression" dxfId="4510" priority="1229">
      <formula>$H684="SUBETAPA"</formula>
    </cfRule>
    <cfRule type="expression" dxfId="4509" priority="1230">
      <formula>$H684="CÉLULA CONSTRUTIVA"</formula>
    </cfRule>
  </conditionalFormatting>
  <conditionalFormatting sqref="N685">
    <cfRule type="expression" dxfId="4508" priority="4583">
      <formula>$H685="CÉLULA CONSTRUTIVA"</formula>
    </cfRule>
    <cfRule type="expression" dxfId="4507" priority="4582">
      <formula>$H685="SUBETAPA"</formula>
    </cfRule>
    <cfRule type="expression" dxfId="4506" priority="4584">
      <formula>$H685="ETAPA"</formula>
    </cfRule>
  </conditionalFormatting>
  <conditionalFormatting sqref="N686">
    <cfRule type="expression" dxfId="4505" priority="4576">
      <formula>$H686="SUBETAPA"</formula>
    </cfRule>
    <cfRule type="expression" dxfId="4504" priority="4578">
      <formula>$H686="ETAPA"</formula>
    </cfRule>
    <cfRule type="expression" dxfId="4503" priority="4577">
      <formula>$H686="CÉLULA CONSTRUTIVA"</formula>
    </cfRule>
  </conditionalFormatting>
  <conditionalFormatting sqref="N687">
    <cfRule type="expression" dxfId="4502" priority="1232">
      <formula>$H687="SUBETAPA"</formula>
    </cfRule>
    <cfRule type="expression" dxfId="4501" priority="1233">
      <formula>$H687="CÉLULA CONSTRUTIVA"</formula>
    </cfRule>
    <cfRule type="expression" dxfId="4500" priority="1234">
      <formula>$H687="ETAPA"</formula>
    </cfRule>
  </conditionalFormatting>
  <conditionalFormatting sqref="N688">
    <cfRule type="expression" dxfId="4499" priority="3113">
      <formula>$H688="CÉLULA CONSTRUTIVA"</formula>
    </cfRule>
    <cfRule type="expression" dxfId="4498" priority="3112">
      <formula>$H688="SUBETAPA"</formula>
    </cfRule>
    <cfRule type="expression" dxfId="4497" priority="3114">
      <formula>$H688="ETAPA"</formula>
    </cfRule>
  </conditionalFormatting>
  <conditionalFormatting sqref="N689">
    <cfRule type="expression" dxfId="4496" priority="1199">
      <formula>$H689="SUBETAPA"</formula>
    </cfRule>
    <cfRule type="expression" dxfId="4495" priority="1200">
      <formula>$H689="CÉLULA CONSTRUTIVA"</formula>
    </cfRule>
    <cfRule type="expression" dxfId="4494" priority="1201">
      <formula>$H689="ETAPA"</formula>
    </cfRule>
  </conditionalFormatting>
  <conditionalFormatting sqref="N695:N696">
    <cfRule type="expression" dxfId="4493" priority="3896">
      <formula>$H695="ETAPA"</formula>
    </cfRule>
    <cfRule type="expression" dxfId="4492" priority="3894">
      <formula>$H695="SUBETAPA"</formula>
    </cfRule>
    <cfRule type="expression" dxfId="4491" priority="3895">
      <formula>$H695="CÉLULA CONSTRUTIVA"</formula>
    </cfRule>
  </conditionalFormatting>
  <conditionalFormatting sqref="N698">
    <cfRule type="expression" dxfId="4490" priority="3882">
      <formula>$H698="SUBETAPA"</formula>
    </cfRule>
    <cfRule type="expression" dxfId="4489" priority="3883">
      <formula>$H698="CÉLULA CONSTRUTIVA"</formula>
    </cfRule>
    <cfRule type="expression" dxfId="4488" priority="3884">
      <formula>$H698="ETAPA"</formula>
    </cfRule>
  </conditionalFormatting>
  <conditionalFormatting sqref="N699">
    <cfRule type="expression" dxfId="4487" priority="3878">
      <formula>$H699="ETAPA"</formula>
    </cfRule>
    <cfRule type="expression" dxfId="4486" priority="3877">
      <formula>$H699="CÉLULA CONSTRUTIVA"</formula>
    </cfRule>
    <cfRule type="expression" dxfId="4485" priority="3876">
      <formula>$H699="SUBETAPA"</formula>
    </cfRule>
  </conditionalFormatting>
  <conditionalFormatting sqref="N713">
    <cfRule type="expression" dxfId="4484" priority="10574">
      <formula>$H713="CÉLULA CONSTRUTIVA"</formula>
    </cfRule>
    <cfRule type="expression" dxfId="4483" priority="10575">
      <formula>$H713="ETAPA"</formula>
    </cfRule>
    <cfRule type="expression" dxfId="4482" priority="10573">
      <formula>$H713="SUBETAPA"</formula>
    </cfRule>
  </conditionalFormatting>
  <conditionalFormatting sqref="N717:N718">
    <cfRule type="expression" dxfId="4481" priority="12996">
      <formula>$H717="CÉLULA CONSTRUTIVA"</formula>
    </cfRule>
    <cfRule type="expression" dxfId="4480" priority="12997">
      <formula>$H717="ETAPA"</formula>
    </cfRule>
  </conditionalFormatting>
  <conditionalFormatting sqref="N719">
    <cfRule type="expression" dxfId="4479" priority="1196">
      <formula>$H719="SUBETAPA"</formula>
    </cfRule>
    <cfRule type="expression" dxfId="4478" priority="1197">
      <formula>$H719="CÉLULA CONSTRUTIVA"</formula>
    </cfRule>
    <cfRule type="expression" dxfId="4477" priority="1198">
      <formula>$H719="ETAPA"</formula>
    </cfRule>
  </conditionalFormatting>
  <conditionalFormatting sqref="N720">
    <cfRule type="expression" dxfId="4476" priority="11348">
      <formula>$H720="ETAPA"</formula>
    </cfRule>
    <cfRule type="expression" dxfId="4475" priority="11347">
      <formula>$H720="CÉLULA CONSTRUTIVA"</formula>
    </cfRule>
  </conditionalFormatting>
  <conditionalFormatting sqref="N721">
    <cfRule type="expression" dxfId="4474" priority="10442">
      <formula>$H721="SUBETAPA"</formula>
    </cfRule>
    <cfRule type="expression" dxfId="4473" priority="10443">
      <formula>$H721="CÉLULA CONSTRUTIVA"</formula>
    </cfRule>
    <cfRule type="expression" dxfId="4472" priority="10444">
      <formula>$H721="ETAPA"</formula>
    </cfRule>
  </conditionalFormatting>
  <conditionalFormatting sqref="N723">
    <cfRule type="expression" dxfId="4471" priority="11337">
      <formula>$H723="ETAPA"</formula>
    </cfRule>
    <cfRule type="expression" dxfId="4470" priority="11336">
      <formula>$H723="CÉLULA CONSTRUTIVA"</formula>
    </cfRule>
  </conditionalFormatting>
  <conditionalFormatting sqref="N726">
    <cfRule type="expression" dxfId="4469" priority="1168">
      <formula>$H726="ETAPA"</formula>
    </cfRule>
    <cfRule type="expression" dxfId="4468" priority="1167">
      <formula>$H726="CÉLULA CONSTRUTIVA"</formula>
    </cfRule>
    <cfRule type="expression" dxfId="4467" priority="1166">
      <formula>$H726="SUBETAPA"</formula>
    </cfRule>
  </conditionalFormatting>
  <conditionalFormatting sqref="N727:N729">
    <cfRule type="expression" dxfId="4466" priority="10995">
      <formula>$H727="CÉLULA CONSTRUTIVA"</formula>
    </cfRule>
    <cfRule type="expression" dxfId="4465" priority="10996">
      <formula>$H727="ETAPA"</formula>
    </cfRule>
    <cfRule type="expression" dxfId="4464" priority="10994">
      <formula>$H727="SUBETAPA"</formula>
    </cfRule>
  </conditionalFormatting>
  <conditionalFormatting sqref="N730 N732:N735">
    <cfRule type="expression" dxfId="4463" priority="11005">
      <formula>$H730="SUBETAPA"</formula>
    </cfRule>
    <cfRule type="expression" dxfId="4462" priority="11006">
      <formula>$H730="CÉLULA CONSTRUTIVA"</formula>
    </cfRule>
    <cfRule type="expression" dxfId="4461" priority="11007">
      <formula>$H730="ETAPA"</formula>
    </cfRule>
  </conditionalFormatting>
  <conditionalFormatting sqref="N731">
    <cfRule type="expression" dxfId="4460" priority="1171">
      <formula>$H731="ETAPA"</formula>
    </cfRule>
    <cfRule type="expression" dxfId="4459" priority="1170">
      <formula>$H731="CÉLULA CONSTRUTIVA"</formula>
    </cfRule>
    <cfRule type="expression" dxfId="4458" priority="1169">
      <formula>$H731="SUBETAPA"</formula>
    </cfRule>
  </conditionalFormatting>
  <conditionalFormatting sqref="N736">
    <cfRule type="expression" dxfId="4457" priority="1193">
      <formula>$H736="SUBETAPA"</formula>
    </cfRule>
    <cfRule type="expression" dxfId="4456" priority="1194">
      <formula>$H736="CÉLULA CONSTRUTIVA"</formula>
    </cfRule>
    <cfRule type="expression" dxfId="4455" priority="1195">
      <formula>$H736="ETAPA"</formula>
    </cfRule>
  </conditionalFormatting>
  <conditionalFormatting sqref="N737">
    <cfRule type="expression" dxfId="4454" priority="10553">
      <formula>$H737="SUBETAPA"</formula>
    </cfRule>
    <cfRule type="expression" dxfId="4453" priority="10554">
      <formula>$H737="CÉLULA CONSTRUTIVA"</formula>
    </cfRule>
    <cfRule type="expression" dxfId="4452" priority="10555">
      <formula>$H737="ETAPA"</formula>
    </cfRule>
  </conditionalFormatting>
  <conditionalFormatting sqref="N738">
    <cfRule type="expression" dxfId="4451" priority="10464">
      <formula>$H738="ETAPA"</formula>
    </cfRule>
    <cfRule type="expression" dxfId="4450" priority="10463">
      <formula>$H738="CÉLULA CONSTRUTIVA"</formula>
    </cfRule>
    <cfRule type="expression" dxfId="4449" priority="10462">
      <formula>$H738="SUBETAPA"</formula>
    </cfRule>
  </conditionalFormatting>
  <conditionalFormatting sqref="N739">
    <cfRule type="expression" dxfId="4448" priority="1192">
      <formula>$H739="ETAPA"</formula>
    </cfRule>
    <cfRule type="expression" dxfId="4447" priority="1191">
      <formula>$H739="CÉLULA CONSTRUTIVA"</formula>
    </cfRule>
    <cfRule type="expression" dxfId="4446" priority="1190">
      <formula>$H739="SUBETAPA"</formula>
    </cfRule>
  </conditionalFormatting>
  <conditionalFormatting sqref="N740">
    <cfRule type="expression" dxfId="4445" priority="10542">
      <formula>$H740="SUBETAPA"</formula>
    </cfRule>
    <cfRule type="expression" dxfId="4444" priority="10543">
      <formula>$H740="CÉLULA CONSTRUTIVA"</formula>
    </cfRule>
    <cfRule type="expression" dxfId="4443" priority="10544">
      <formula>$H740="ETAPA"</formula>
    </cfRule>
  </conditionalFormatting>
  <conditionalFormatting sqref="N743">
    <cfRule type="expression" dxfId="4442" priority="1163">
      <formula>$H743="SUBETAPA"</formula>
    </cfRule>
    <cfRule type="expression" dxfId="4441" priority="1165">
      <formula>$H743="ETAPA"</formula>
    </cfRule>
    <cfRule type="expression" dxfId="4440" priority="1164">
      <formula>$H743="CÉLULA CONSTRUTIVA"</formula>
    </cfRule>
  </conditionalFormatting>
  <conditionalFormatting sqref="N747">
    <cfRule type="expression" dxfId="4439" priority="11043">
      <formula>$H747="ETAPA"</formula>
    </cfRule>
    <cfRule type="expression" dxfId="4438" priority="11042">
      <formula>$H747="CÉLULA CONSTRUTIVA"</formula>
    </cfRule>
    <cfRule type="expression" dxfId="4437" priority="11041">
      <formula>$H747="SUBETAPA"</formula>
    </cfRule>
  </conditionalFormatting>
  <conditionalFormatting sqref="N748">
    <cfRule type="expression" dxfId="4436" priority="1162">
      <formula>$H748="ETAPA"</formula>
    </cfRule>
    <cfRule type="expression" dxfId="4435" priority="1161">
      <formula>$H748="CÉLULA CONSTRUTIVA"</formula>
    </cfRule>
    <cfRule type="expression" dxfId="4434" priority="1160">
      <formula>$H748="SUBETAPA"</formula>
    </cfRule>
  </conditionalFormatting>
  <conditionalFormatting sqref="N749:N752">
    <cfRule type="expression" dxfId="4433" priority="11053">
      <formula>$H749="CÉLULA CONSTRUTIVA"</formula>
    </cfRule>
    <cfRule type="expression" dxfId="4432" priority="11054">
      <formula>$H749="ETAPA"</formula>
    </cfRule>
    <cfRule type="expression" dxfId="4431" priority="11052">
      <formula>$H749="SUBETAPA"</formula>
    </cfRule>
  </conditionalFormatting>
  <conditionalFormatting sqref="N753">
    <cfRule type="expression" dxfId="4430" priority="1187">
      <formula>$H753="SUBETAPA"</formula>
    </cfRule>
    <cfRule type="expression" dxfId="4429" priority="1188">
      <formula>$H753="CÉLULA CONSTRUTIVA"</formula>
    </cfRule>
    <cfRule type="expression" dxfId="4428" priority="1189">
      <formula>$H753="ETAPA"</formula>
    </cfRule>
  </conditionalFormatting>
  <conditionalFormatting sqref="N754">
    <cfRule type="expression" dxfId="4427" priority="11031">
      <formula>$H754="CÉLULA CONSTRUTIVA"</formula>
    </cfRule>
    <cfRule type="expression" dxfId="4426" priority="11032">
      <formula>$H754="ETAPA"</formula>
    </cfRule>
    <cfRule type="expression" dxfId="4425" priority="11030">
      <formula>$H754="SUBETAPA"</formula>
    </cfRule>
  </conditionalFormatting>
  <conditionalFormatting sqref="N755">
    <cfRule type="expression" dxfId="4424" priority="10490">
      <formula>$H755="ETAPA"</formula>
    </cfRule>
    <cfRule type="expression" dxfId="4423" priority="10489">
      <formula>$H755="CÉLULA CONSTRUTIVA"</formula>
    </cfRule>
    <cfRule type="expression" dxfId="4422" priority="10488">
      <formula>$H755="SUBETAPA"</formula>
    </cfRule>
  </conditionalFormatting>
  <conditionalFormatting sqref="N756">
    <cfRule type="expression" dxfId="4421" priority="1184">
      <formula>$H756="SUBETAPA"</formula>
    </cfRule>
    <cfRule type="expression" dxfId="4420" priority="1185">
      <formula>$H756="CÉLULA CONSTRUTIVA"</formula>
    </cfRule>
    <cfRule type="expression" dxfId="4419" priority="1186">
      <formula>$H756="ETAPA"</formula>
    </cfRule>
  </conditionalFormatting>
  <conditionalFormatting sqref="N757">
    <cfRule type="expression" dxfId="4418" priority="11019">
      <formula>$H757="SUBETAPA"</formula>
    </cfRule>
    <cfRule type="expression" dxfId="4417" priority="11020">
      <formula>$H757="CÉLULA CONSTRUTIVA"</formula>
    </cfRule>
    <cfRule type="expression" dxfId="4416" priority="11021">
      <formula>$H757="ETAPA"</formula>
    </cfRule>
  </conditionalFormatting>
  <conditionalFormatting sqref="N760">
    <cfRule type="expression" dxfId="4415" priority="1157">
      <formula>$H760="SUBETAPA"</formula>
    </cfRule>
    <cfRule type="expression" dxfId="4414" priority="1159">
      <formula>$H760="ETAPA"</formula>
    </cfRule>
    <cfRule type="expression" dxfId="4413" priority="1158">
      <formula>$H760="CÉLULA CONSTRUTIVA"</formula>
    </cfRule>
  </conditionalFormatting>
  <conditionalFormatting sqref="N764">
    <cfRule type="expression" dxfId="4412" priority="11089">
      <formula>$H764="CÉLULA CONSTRUTIVA"</formula>
    </cfRule>
    <cfRule type="expression" dxfId="4411" priority="11090">
      <formula>$H764="ETAPA"</formula>
    </cfRule>
    <cfRule type="expression" dxfId="4410" priority="11088">
      <formula>$H764="SUBETAPA"</formula>
    </cfRule>
  </conditionalFormatting>
  <conditionalFormatting sqref="N765">
    <cfRule type="expression" dxfId="4409" priority="1154">
      <formula>$H765="SUBETAPA"</formula>
    </cfRule>
    <cfRule type="expression" dxfId="4408" priority="1156">
      <formula>$H765="ETAPA"</formula>
    </cfRule>
    <cfRule type="expression" dxfId="4407" priority="1155">
      <formula>$H765="CÉLULA CONSTRUTIVA"</formula>
    </cfRule>
  </conditionalFormatting>
  <conditionalFormatting sqref="N766:N769">
    <cfRule type="expression" dxfId="4406" priority="11099">
      <formula>$H766="SUBETAPA"</formula>
    </cfRule>
    <cfRule type="expression" dxfId="4405" priority="11100">
      <formula>$H766="CÉLULA CONSTRUTIVA"</formula>
    </cfRule>
    <cfRule type="expression" dxfId="4404" priority="11101">
      <formula>$H766="ETAPA"</formula>
    </cfRule>
  </conditionalFormatting>
  <conditionalFormatting sqref="N770">
    <cfRule type="expression" dxfId="4403" priority="1181">
      <formula>$H770="SUBETAPA"</formula>
    </cfRule>
    <cfRule type="expression" dxfId="4402" priority="1182">
      <formula>$H770="CÉLULA CONSTRUTIVA"</formula>
    </cfRule>
    <cfRule type="expression" dxfId="4401" priority="1183">
      <formula>$H770="ETAPA"</formula>
    </cfRule>
  </conditionalFormatting>
  <conditionalFormatting sqref="N771">
    <cfRule type="expression" dxfId="4400" priority="11077">
      <formula>$H771="SUBETAPA"</formula>
    </cfRule>
    <cfRule type="expression" dxfId="4399" priority="11079">
      <formula>$H771="ETAPA"</formula>
    </cfRule>
    <cfRule type="expression" dxfId="4398" priority="11078">
      <formula>$H771="CÉLULA CONSTRUTIVA"</formula>
    </cfRule>
  </conditionalFormatting>
  <conditionalFormatting sqref="N772">
    <cfRule type="expression" dxfId="4397" priority="10505">
      <formula>$H772="SUBETAPA"</formula>
    </cfRule>
    <cfRule type="expression" dxfId="4396" priority="10506">
      <formula>$H772="CÉLULA CONSTRUTIVA"</formula>
    </cfRule>
    <cfRule type="expression" dxfId="4395" priority="10507">
      <formula>$H772="ETAPA"</formula>
    </cfRule>
  </conditionalFormatting>
  <conditionalFormatting sqref="N773">
    <cfRule type="expression" dxfId="4394" priority="1178">
      <formula>$H773="SUBETAPA"</formula>
    </cfRule>
    <cfRule type="expression" dxfId="4393" priority="1180">
      <formula>$H773="ETAPA"</formula>
    </cfRule>
    <cfRule type="expression" dxfId="4392" priority="1179">
      <formula>$H773="CÉLULA CONSTRUTIVA"</formula>
    </cfRule>
  </conditionalFormatting>
  <conditionalFormatting sqref="N774">
    <cfRule type="expression" dxfId="4391" priority="11068">
      <formula>$H774="ETAPA"</formula>
    </cfRule>
    <cfRule type="expression" dxfId="4390" priority="11066">
      <formula>$H774="SUBETAPA"</formula>
    </cfRule>
    <cfRule type="expression" dxfId="4389" priority="11067">
      <formula>$H774="CÉLULA CONSTRUTIVA"</formula>
    </cfRule>
  </conditionalFormatting>
  <conditionalFormatting sqref="N783">
    <cfRule type="expression" dxfId="4388" priority="1153">
      <formula>$H783="ETAPA"</formula>
    </cfRule>
    <cfRule type="expression" dxfId="4387" priority="1152">
      <formula>$H783="CÉLULA CONSTRUTIVA"</formula>
    </cfRule>
    <cfRule type="expression" dxfId="4386" priority="1151">
      <formula>$H783="SUBETAPA"</formula>
    </cfRule>
  </conditionalFormatting>
  <conditionalFormatting sqref="N784:N787">
    <cfRule type="expression" dxfId="4385" priority="11148">
      <formula>$H784="ETAPA"</formula>
    </cfRule>
    <cfRule type="expression" dxfId="4384" priority="11147">
      <formula>$H784="CÉLULA CONSTRUTIVA"</formula>
    </cfRule>
  </conditionalFormatting>
  <conditionalFormatting sqref="N788">
    <cfRule type="expression" dxfId="4383" priority="1172">
      <formula>$H788="SUBETAPA"</formula>
    </cfRule>
    <cfRule type="expression" dxfId="4382" priority="1174">
      <formula>$H788="ETAPA"</formula>
    </cfRule>
    <cfRule type="expression" dxfId="4381" priority="1173">
      <formula>$H788="CÉLULA CONSTRUTIVA"</formula>
    </cfRule>
  </conditionalFormatting>
  <conditionalFormatting sqref="N789">
    <cfRule type="expression" dxfId="4380" priority="11126">
      <formula>$H789="ETAPA"</formula>
    </cfRule>
    <cfRule type="expression" dxfId="4379" priority="11125">
      <formula>$H789="CÉLULA CONSTRUTIVA"</formula>
    </cfRule>
    <cfRule type="expression" dxfId="4378" priority="11124">
      <formula>$H789="SUBETAPA"</formula>
    </cfRule>
  </conditionalFormatting>
  <conditionalFormatting sqref="N790">
    <cfRule type="expression" dxfId="4377" priority="1175">
      <formula>$H790="SUBETAPA"</formula>
    </cfRule>
    <cfRule type="expression" dxfId="4376" priority="1177">
      <formula>$H790="ETAPA"</formula>
    </cfRule>
    <cfRule type="expression" dxfId="4375" priority="1176">
      <formula>$H790="CÉLULA CONSTRUTIVA"</formula>
    </cfRule>
  </conditionalFormatting>
  <conditionalFormatting sqref="N791">
    <cfRule type="expression" dxfId="4374" priority="11113">
      <formula>$H791="SUBETAPA"</formula>
    </cfRule>
    <cfRule type="expression" dxfId="4373" priority="11114">
      <formula>$H791="CÉLULA CONSTRUTIVA"</formula>
    </cfRule>
    <cfRule type="expression" dxfId="4372" priority="11115">
      <formula>$H791="ETAPA"</formula>
    </cfRule>
  </conditionalFormatting>
  <conditionalFormatting sqref="N798">
    <cfRule type="expression" dxfId="4371" priority="1150">
      <formula>$H798="ETAPA"</formula>
    </cfRule>
    <cfRule type="expression" dxfId="4370" priority="1149">
      <formula>$H798="CÉLULA CONSTRUTIVA"</formula>
    </cfRule>
    <cfRule type="expression" dxfId="4369" priority="1148">
      <formula>$H798="SUBETAPA"</formula>
    </cfRule>
  </conditionalFormatting>
  <conditionalFormatting sqref="N799:N801">
    <cfRule type="expression" dxfId="4368" priority="2858">
      <formula>$H799="SUBETAPA"</formula>
    </cfRule>
    <cfRule type="expression" dxfId="4367" priority="2859">
      <formula>$H799="CÉLULA CONSTRUTIVA"</formula>
    </cfRule>
    <cfRule type="expression" dxfId="4366" priority="2860">
      <formula>$H799="ETAPA"</formula>
    </cfRule>
  </conditionalFormatting>
  <conditionalFormatting sqref="N802">
    <cfRule type="expression" dxfId="4365" priority="11173">
      <formula>$H802="ETAPA"</formula>
    </cfRule>
    <cfRule type="expression" dxfId="4364" priority="11172">
      <formula>$H802="CÉLULA CONSTRUTIVA"</formula>
    </cfRule>
  </conditionalFormatting>
  <conditionalFormatting sqref="N804">
    <cfRule type="expression" dxfId="4363" priority="11161">
      <formula>$H804="CÉLULA CONSTRUTIVA"</formula>
    </cfRule>
    <cfRule type="expression" dxfId="4362" priority="11162">
      <formula>$H804="ETAPA"</formula>
    </cfRule>
  </conditionalFormatting>
  <conditionalFormatting sqref="N805">
    <cfRule type="expression" dxfId="4361" priority="1277">
      <formula>$H805="SUBETAPA"</formula>
    </cfRule>
    <cfRule type="expression" dxfId="4360" priority="1278">
      <formula>$H805="CÉLULA CONSTRUTIVA"</formula>
    </cfRule>
    <cfRule type="expression" dxfId="4359" priority="1279">
      <formula>$H805="ETAPA"</formula>
    </cfRule>
  </conditionalFormatting>
  <conditionalFormatting sqref="N806">
    <cfRule type="expression" dxfId="4358" priority="10722">
      <formula>$H806="SUBETAPA"</formula>
    </cfRule>
    <cfRule type="expression" dxfId="4357" priority="10723">
      <formula>$H806="CÉLULA CONSTRUTIVA"</formula>
    </cfRule>
    <cfRule type="expression" dxfId="4356" priority="10724">
      <formula>$H806="ETAPA"</formula>
    </cfRule>
  </conditionalFormatting>
  <conditionalFormatting sqref="N812:N815">
    <cfRule type="expression" dxfId="4355" priority="11241">
      <formula>$H812="CÉLULA CONSTRUTIVA"</formula>
    </cfRule>
    <cfRule type="expression" dxfId="4354" priority="11240">
      <formula>$H812="SUBETAPA"</formula>
    </cfRule>
    <cfRule type="expression" dxfId="4353" priority="11242">
      <formula>$H812="ETAPA"</formula>
    </cfRule>
  </conditionalFormatting>
  <conditionalFormatting sqref="N817">
    <cfRule type="expression" dxfId="4352" priority="11220">
      <formula>$H817="ETAPA"</formula>
    </cfRule>
    <cfRule type="expression" dxfId="4351" priority="11219">
      <formula>$H817="CÉLULA CONSTRUTIVA"</formula>
    </cfRule>
  </conditionalFormatting>
  <conditionalFormatting sqref="N819">
    <cfRule type="expression" dxfId="4350" priority="11208">
      <formula>$H819="CÉLULA CONSTRUTIVA"</formula>
    </cfRule>
    <cfRule type="expression" dxfId="4349" priority="11209">
      <formula>$H819="ETAPA"</formula>
    </cfRule>
  </conditionalFormatting>
  <conditionalFormatting sqref="N823">
    <cfRule type="expression" dxfId="4348" priority="1147">
      <formula>$H823="ETAPA"</formula>
    </cfRule>
    <cfRule type="expression" dxfId="4347" priority="1146">
      <formula>$H823="CÉLULA CONSTRUTIVA"</formula>
    </cfRule>
    <cfRule type="expression" dxfId="4346" priority="1145">
      <formula>$H823="SUBETAPA"</formula>
    </cfRule>
  </conditionalFormatting>
  <conditionalFormatting sqref="N824:N826">
    <cfRule type="expression" dxfId="4345" priority="10658">
      <formula>$H824="SUBETAPA"</formula>
    </cfRule>
    <cfRule type="expression" dxfId="4344" priority="10659">
      <formula>$H824="CÉLULA CONSTRUTIVA"</formula>
    </cfRule>
    <cfRule type="expression" dxfId="4343" priority="10660">
      <formula>$H824="ETAPA"</formula>
    </cfRule>
  </conditionalFormatting>
  <conditionalFormatting sqref="N827">
    <cfRule type="expression" dxfId="4342" priority="10595">
      <formula>$H827="ETAPA"</formula>
    </cfRule>
    <cfRule type="expression" dxfId="4341" priority="10593">
      <formula>$H827="SUBETAPA"</formula>
    </cfRule>
    <cfRule type="expression" dxfId="4340" priority="10594">
      <formula>$H827="CÉLULA CONSTRUTIVA"</formula>
    </cfRule>
  </conditionalFormatting>
  <conditionalFormatting sqref="N828">
    <cfRule type="expression" dxfId="4339" priority="1144">
      <formula>$H828="ETAPA"</formula>
    </cfRule>
    <cfRule type="expression" dxfId="4338" priority="1143">
      <formula>$H828="CÉLULA CONSTRUTIVA"</formula>
    </cfRule>
    <cfRule type="expression" dxfId="4337" priority="1142">
      <formula>$H828="SUBETAPA"</formula>
    </cfRule>
  </conditionalFormatting>
  <conditionalFormatting sqref="N829">
    <cfRule type="expression" dxfId="4336" priority="10174">
      <formula>$H829="SUBETAPA"</formula>
    </cfRule>
    <cfRule type="expression" dxfId="4335" priority="10176">
      <formula>$H829="ETAPA"</formula>
    </cfRule>
    <cfRule type="expression" dxfId="4334" priority="10175">
      <formula>$H829="CÉLULA CONSTRUTIVA"</formula>
    </cfRule>
  </conditionalFormatting>
  <conditionalFormatting sqref="N831">
    <cfRule type="expression" dxfId="4333" priority="10628">
      <formula>$H831="SUBETAPA"</formula>
    </cfRule>
    <cfRule type="expression" dxfId="4332" priority="10629">
      <formula>$H831="CÉLULA CONSTRUTIVA"</formula>
    </cfRule>
    <cfRule type="expression" dxfId="4331" priority="10630">
      <formula>$H831="ETAPA"</formula>
    </cfRule>
  </conditionalFormatting>
  <conditionalFormatting sqref="N832">
    <cfRule type="expression" dxfId="4330" priority="1663">
      <formula>$H832="SUBETAPA"</formula>
    </cfRule>
    <cfRule type="expression" dxfId="4329" priority="1664">
      <formula>$H832="CÉLULA CONSTRUTIVA"</formula>
    </cfRule>
    <cfRule type="expression" dxfId="4328" priority="1665">
      <formula>$H832="ETAPA"</formula>
    </cfRule>
  </conditionalFormatting>
  <conditionalFormatting sqref="N835">
    <cfRule type="expression" dxfId="4327" priority="1139">
      <formula>$H835="SUBETAPA"</formula>
    </cfRule>
    <cfRule type="expression" dxfId="4326" priority="1140">
      <formula>$H835="CÉLULA CONSTRUTIVA"</formula>
    </cfRule>
    <cfRule type="expression" dxfId="4325" priority="1141">
      <formula>$H835="ETAPA"</formula>
    </cfRule>
  </conditionalFormatting>
  <conditionalFormatting sqref="N837">
    <cfRule type="expression" dxfId="4324" priority="1093">
      <formula>$H837="ETAPA"</formula>
    </cfRule>
    <cfRule type="expression" dxfId="4323" priority="1092">
      <formula>$H837="CÉLULA CONSTRUTIVA"</formula>
    </cfRule>
    <cfRule type="expression" dxfId="4322" priority="1091">
      <formula>$H837="SUBETAPA"</formula>
    </cfRule>
  </conditionalFormatting>
  <conditionalFormatting sqref="N840">
    <cfRule type="expression" dxfId="4321" priority="1137">
      <formula>$H840="CÉLULA CONSTRUTIVA"</formula>
    </cfRule>
    <cfRule type="expression" dxfId="4320" priority="1138">
      <formula>$H840="ETAPA"</formula>
    </cfRule>
    <cfRule type="expression" dxfId="4319" priority="1136">
      <formula>$H840="SUBETAPA"</formula>
    </cfRule>
  </conditionalFormatting>
  <conditionalFormatting sqref="N843">
    <cfRule type="expression" dxfId="4318" priority="1133">
      <formula>$H843="SUBETAPA"</formula>
    </cfRule>
    <cfRule type="expression" dxfId="4317" priority="1135">
      <formula>$H843="ETAPA"</formula>
    </cfRule>
    <cfRule type="expression" dxfId="4316" priority="1134">
      <formula>$H843="CÉLULA CONSTRUTIVA"</formula>
    </cfRule>
  </conditionalFormatting>
  <conditionalFormatting sqref="N845">
    <cfRule type="expression" dxfId="4315" priority="1094">
      <formula>$H845="SUBETAPA"</formula>
    </cfRule>
    <cfRule type="expression" dxfId="4314" priority="1096">
      <formula>$H845="ETAPA"</formula>
    </cfRule>
    <cfRule type="expression" dxfId="4313" priority="1095">
      <formula>$H845="CÉLULA CONSTRUTIVA"</formula>
    </cfRule>
  </conditionalFormatting>
  <conditionalFormatting sqref="N848">
    <cfRule type="expression" dxfId="4312" priority="1132">
      <formula>$H848="ETAPA"</formula>
    </cfRule>
    <cfRule type="expression" dxfId="4311" priority="1131">
      <formula>$H848="CÉLULA CONSTRUTIVA"</formula>
    </cfRule>
    <cfRule type="expression" dxfId="4310" priority="1130">
      <formula>$H848="SUBETAPA"</formula>
    </cfRule>
  </conditionalFormatting>
  <conditionalFormatting sqref="N851">
    <cfRule type="expression" dxfId="4309" priority="1129">
      <formula>$H851="ETAPA"</formula>
    </cfRule>
    <cfRule type="expression" dxfId="4308" priority="1128">
      <formula>$H851="CÉLULA CONSTRUTIVA"</formula>
    </cfRule>
    <cfRule type="expression" dxfId="4307" priority="1127">
      <formula>$H851="SUBETAPA"</formula>
    </cfRule>
  </conditionalFormatting>
  <conditionalFormatting sqref="N853">
    <cfRule type="expression" dxfId="4306" priority="1099">
      <formula>$H853="ETAPA"</formula>
    </cfRule>
    <cfRule type="expression" dxfId="4305" priority="1097">
      <formula>$H853="SUBETAPA"</formula>
    </cfRule>
    <cfRule type="expression" dxfId="4304" priority="1098">
      <formula>$H853="CÉLULA CONSTRUTIVA"</formula>
    </cfRule>
  </conditionalFormatting>
  <conditionalFormatting sqref="N856">
    <cfRule type="expression" dxfId="4303" priority="1126">
      <formula>$H856="ETAPA"</formula>
    </cfRule>
    <cfRule type="expression" dxfId="4302" priority="1125">
      <formula>$H856="CÉLULA CONSTRUTIVA"</formula>
    </cfRule>
    <cfRule type="expression" dxfId="4301" priority="1124">
      <formula>$H856="SUBETAPA"</formula>
    </cfRule>
  </conditionalFormatting>
  <conditionalFormatting sqref="N859">
    <cfRule type="expression" dxfId="4300" priority="1123">
      <formula>$H859="ETAPA"</formula>
    </cfRule>
    <cfRule type="expression" dxfId="4299" priority="1121">
      <formula>$H859="SUBETAPA"</formula>
    </cfRule>
    <cfRule type="expression" dxfId="4298" priority="1122">
      <formula>$H859="CÉLULA CONSTRUTIVA"</formula>
    </cfRule>
  </conditionalFormatting>
  <conditionalFormatting sqref="N861">
    <cfRule type="expression" dxfId="4297" priority="1102">
      <formula>$H861="ETAPA"</formula>
    </cfRule>
    <cfRule type="expression" dxfId="4296" priority="1100">
      <formula>$H861="SUBETAPA"</formula>
    </cfRule>
    <cfRule type="expression" dxfId="4295" priority="1101">
      <formula>$H861="CÉLULA CONSTRUTIVA"</formula>
    </cfRule>
  </conditionalFormatting>
  <conditionalFormatting sqref="N864">
    <cfRule type="expression" dxfId="4294" priority="1120">
      <formula>$H864="ETAPA"</formula>
    </cfRule>
    <cfRule type="expression" dxfId="4293" priority="1119">
      <formula>$H864="CÉLULA CONSTRUTIVA"</formula>
    </cfRule>
    <cfRule type="expression" dxfId="4292" priority="1118">
      <formula>$H864="SUBETAPA"</formula>
    </cfRule>
  </conditionalFormatting>
  <conditionalFormatting sqref="N867">
    <cfRule type="expression" dxfId="4291" priority="1115">
      <formula>$H867="SUBETAPA"</formula>
    </cfRule>
    <cfRule type="expression" dxfId="4290" priority="1117">
      <formula>$H867="ETAPA"</formula>
    </cfRule>
    <cfRule type="expression" dxfId="4289" priority="1116">
      <formula>$H867="CÉLULA CONSTRUTIVA"</formula>
    </cfRule>
  </conditionalFormatting>
  <conditionalFormatting sqref="N869">
    <cfRule type="expression" dxfId="4288" priority="1104">
      <formula>$H869="CÉLULA CONSTRUTIVA"</formula>
    </cfRule>
    <cfRule type="expression" dxfId="4287" priority="1103">
      <formula>$H869="SUBETAPA"</formula>
    </cfRule>
    <cfRule type="expression" dxfId="4286" priority="1105">
      <formula>$H869="ETAPA"</formula>
    </cfRule>
  </conditionalFormatting>
  <conditionalFormatting sqref="N872">
    <cfRule type="expression" dxfId="4285" priority="1280">
      <formula>$H872="SUBETAPA"</formula>
    </cfRule>
    <cfRule type="expression" dxfId="4284" priority="1282">
      <formula>$H872="ETAPA"</formula>
    </cfRule>
    <cfRule type="expression" dxfId="4283" priority="1281">
      <formula>$H872="CÉLULA CONSTRUTIVA"</formula>
    </cfRule>
  </conditionalFormatting>
  <conditionalFormatting sqref="N875">
    <cfRule type="expression" dxfId="4282" priority="1112">
      <formula>$H875="SUBETAPA"</formula>
    </cfRule>
    <cfRule type="expression" dxfId="4281" priority="1114">
      <formula>$H875="ETAPA"</formula>
    </cfRule>
    <cfRule type="expression" dxfId="4280" priority="1113">
      <formula>$H875="CÉLULA CONSTRUTIVA"</formula>
    </cfRule>
  </conditionalFormatting>
  <conditionalFormatting sqref="N880">
    <cfRule type="expression" dxfId="4279" priority="1285">
      <formula>$H880="ETAPA"</formula>
    </cfRule>
    <cfRule type="expression" dxfId="4278" priority="1284">
      <formula>$H880="CÉLULA CONSTRUTIVA"</formula>
    </cfRule>
    <cfRule type="expression" dxfId="4277" priority="1283">
      <formula>$H880="SUBETAPA"</formula>
    </cfRule>
  </conditionalFormatting>
  <conditionalFormatting sqref="N883">
    <cfRule type="expression" dxfId="4276" priority="1111">
      <formula>$H883="ETAPA"</formula>
    </cfRule>
    <cfRule type="expression" dxfId="4275" priority="1110">
      <formula>$H883="CÉLULA CONSTRUTIVA"</formula>
    </cfRule>
    <cfRule type="expression" dxfId="4274" priority="1109">
      <formula>$H883="SUBETAPA"</formula>
    </cfRule>
  </conditionalFormatting>
  <conditionalFormatting sqref="N888">
    <cfRule type="expression" dxfId="4273" priority="1106">
      <formula>$H888="SUBETAPA"</formula>
    </cfRule>
    <cfRule type="expression" dxfId="4272" priority="1108">
      <formula>$H888="ETAPA"</formula>
    </cfRule>
    <cfRule type="expression" dxfId="4271" priority="1107">
      <formula>$H888="CÉLULA CONSTRUTIVA"</formula>
    </cfRule>
  </conditionalFormatting>
  <conditionalFormatting sqref="N895:N896">
    <cfRule type="expression" dxfId="4270" priority="9702">
      <formula>$H895="CÉLULA CONSTRUTIVA"</formula>
    </cfRule>
    <cfRule type="expression" dxfId="4269" priority="9701">
      <formula>$H895="SUBETAPA"</formula>
    </cfRule>
    <cfRule type="expression" dxfId="4268" priority="9703">
      <formula>$H895="ETAPA"</formula>
    </cfRule>
  </conditionalFormatting>
  <conditionalFormatting sqref="N897:N898">
    <cfRule type="expression" dxfId="4267" priority="9712">
      <formula>$H897="SUBETAPA"</formula>
    </cfRule>
    <cfRule type="expression" dxfId="4266" priority="9714">
      <formula>$H897="ETAPA"</formula>
    </cfRule>
    <cfRule type="expression" dxfId="4265" priority="9713">
      <formula>$H897="CÉLULA CONSTRUTIVA"</formula>
    </cfRule>
  </conditionalFormatting>
  <conditionalFormatting sqref="N906">
    <cfRule type="expression" dxfId="4264" priority="1286">
      <formula>$H906="SUBETAPA"</formula>
    </cfRule>
    <cfRule type="expression" dxfId="4263" priority="1287">
      <formula>$H906="CÉLULA CONSTRUTIVA"</formula>
    </cfRule>
    <cfRule type="expression" dxfId="4262" priority="1288">
      <formula>$H906="ETAPA"</formula>
    </cfRule>
  </conditionalFormatting>
  <conditionalFormatting sqref="N908">
    <cfRule type="expression" dxfId="4261" priority="1291">
      <formula>$H908="ETAPA"</formula>
    </cfRule>
    <cfRule type="expression" dxfId="4260" priority="1289">
      <formula>$H908="SUBETAPA"</formula>
    </cfRule>
    <cfRule type="expression" dxfId="4259" priority="1290">
      <formula>$H908="CÉLULA CONSTRUTIVA"</formula>
    </cfRule>
  </conditionalFormatting>
  <conditionalFormatting sqref="N910">
    <cfRule type="expression" dxfId="4258" priority="1298">
      <formula>$H910="SUBETAPA"</formula>
    </cfRule>
    <cfRule type="expression" dxfId="4257" priority="1299">
      <formula>$H910="CÉLULA CONSTRUTIVA"</formula>
    </cfRule>
    <cfRule type="expression" dxfId="4256" priority="1300">
      <formula>$H910="ETAPA"</formula>
    </cfRule>
  </conditionalFormatting>
  <conditionalFormatting sqref="N911">
    <cfRule type="expression" dxfId="4255" priority="9612">
      <formula>$H911="SUBETAPA"</formula>
    </cfRule>
    <cfRule type="expression" dxfId="4254" priority="9613">
      <formula>$H911="CÉLULA CONSTRUTIVA"</formula>
    </cfRule>
    <cfRule type="expression" dxfId="4253" priority="9614">
      <formula>$H911="ETAPA"</formula>
    </cfRule>
  </conditionalFormatting>
  <conditionalFormatting sqref="N912">
    <cfRule type="expression" dxfId="4252" priority="9579">
      <formula>$H912="SUBETAPA"</formula>
    </cfRule>
    <cfRule type="expression" dxfId="4251" priority="9580">
      <formula>$H912="CÉLULA CONSTRUTIVA"</formula>
    </cfRule>
    <cfRule type="expression" dxfId="4250" priority="9581">
      <formula>$H912="ETAPA"</formula>
    </cfRule>
  </conditionalFormatting>
  <conditionalFormatting sqref="N917">
    <cfRule type="expression" dxfId="4249" priority="1292">
      <formula>$H917="SUBETAPA"</formula>
    </cfRule>
    <cfRule type="expression" dxfId="4248" priority="1293">
      <formula>$H917="CÉLULA CONSTRUTIVA"</formula>
    </cfRule>
    <cfRule type="expression" dxfId="4247" priority="1294">
      <formula>$H917="ETAPA"</formula>
    </cfRule>
  </conditionalFormatting>
  <conditionalFormatting sqref="N919">
    <cfRule type="expression" dxfId="4246" priority="1296">
      <formula>$H919="CÉLULA CONSTRUTIVA"</formula>
    </cfRule>
    <cfRule type="expression" dxfId="4245" priority="1297">
      <formula>$H919="ETAPA"</formula>
    </cfRule>
    <cfRule type="expression" dxfId="4244" priority="1295">
      <formula>$H919="SUBETAPA"</formula>
    </cfRule>
  </conditionalFormatting>
  <conditionalFormatting sqref="N920">
    <cfRule type="expression" dxfId="4243" priority="9522">
      <formula>$H920="SUBETAPA"</formula>
    </cfRule>
    <cfRule type="expression" dxfId="4242" priority="9523">
      <formula>$H920="CÉLULA CONSTRUTIVA"</formula>
    </cfRule>
    <cfRule type="expression" dxfId="4241" priority="9524">
      <formula>$H920="ETAPA"</formula>
    </cfRule>
  </conditionalFormatting>
  <conditionalFormatting sqref="N922">
    <cfRule type="expression" dxfId="4240" priority="1302">
      <formula>$H922="CÉLULA CONSTRUTIVA"</formula>
    </cfRule>
    <cfRule type="expression" dxfId="4239" priority="1303">
      <formula>$H922="ETAPA"</formula>
    </cfRule>
    <cfRule type="expression" dxfId="4238" priority="1301">
      <formula>$H922="SUBETAPA"</formula>
    </cfRule>
  </conditionalFormatting>
  <conditionalFormatting sqref="N925">
    <cfRule type="expression" dxfId="4237" priority="1313">
      <formula>$H925="SUBETAPA"</formula>
    </cfRule>
    <cfRule type="expression" dxfId="4236" priority="1315">
      <formula>$H925="ETAPA"</formula>
    </cfRule>
    <cfRule type="expression" dxfId="4235" priority="1314">
      <formula>$H925="CÉLULA CONSTRUTIVA"</formula>
    </cfRule>
  </conditionalFormatting>
  <conditionalFormatting sqref="N927">
    <cfRule type="expression" dxfId="4234" priority="1306">
      <formula>$H927="ETAPA"</formula>
    </cfRule>
    <cfRule type="expression" dxfId="4233" priority="1304">
      <formula>$H927="SUBETAPA"</formula>
    </cfRule>
    <cfRule type="expression" dxfId="4232" priority="1305">
      <formula>$H927="CÉLULA CONSTRUTIVA"</formula>
    </cfRule>
  </conditionalFormatting>
  <conditionalFormatting sqref="N928">
    <cfRule type="expression" dxfId="4231" priority="7890">
      <formula>$H928="SUBETAPA"</formula>
    </cfRule>
    <cfRule type="expression" dxfId="4230" priority="7891">
      <formula>$H928="CÉLULA CONSTRUTIVA"</formula>
    </cfRule>
    <cfRule type="expression" dxfId="4229" priority="7892">
      <formula>$H928="ETAPA"</formula>
    </cfRule>
  </conditionalFormatting>
  <conditionalFormatting sqref="N929">
    <cfRule type="expression" dxfId="4228" priority="7858">
      <formula>$H929="CÉLULA CONSTRUTIVA"</formula>
    </cfRule>
    <cfRule type="expression" dxfId="4227" priority="7857">
      <formula>$H929="SUBETAPA"</formula>
    </cfRule>
    <cfRule type="expression" dxfId="4226" priority="7859">
      <formula>$H929="ETAPA"</formula>
    </cfRule>
  </conditionalFormatting>
  <conditionalFormatting sqref="N930">
    <cfRule type="expression" dxfId="4225" priority="1318">
      <formula>$H930="ETAPA"</formula>
    </cfRule>
    <cfRule type="expression" dxfId="4224" priority="1317">
      <formula>$H930="CÉLULA CONSTRUTIVA"</formula>
    </cfRule>
    <cfRule type="expression" dxfId="4223" priority="1316">
      <formula>$H930="SUBETAPA"</formula>
    </cfRule>
  </conditionalFormatting>
  <conditionalFormatting sqref="N933">
    <cfRule type="expression" dxfId="4222" priority="1309">
      <formula>$H933="ETAPA"</formula>
    </cfRule>
    <cfRule type="expression" dxfId="4221" priority="1308">
      <formula>$H933="CÉLULA CONSTRUTIVA"</formula>
    </cfRule>
    <cfRule type="expression" dxfId="4220" priority="1307">
      <formula>$H933="SUBETAPA"</formula>
    </cfRule>
  </conditionalFormatting>
  <conditionalFormatting sqref="N936">
    <cfRule type="expression" dxfId="4219" priority="1320">
      <formula>$H936="CÉLULA CONSTRUTIVA"</formula>
    </cfRule>
    <cfRule type="expression" dxfId="4218" priority="1319">
      <formula>$H936="SUBETAPA"</formula>
    </cfRule>
    <cfRule type="expression" dxfId="4217" priority="1321">
      <formula>$H936="ETAPA"</formula>
    </cfRule>
  </conditionalFormatting>
  <conditionalFormatting sqref="N938">
    <cfRule type="expression" dxfId="4216" priority="1312">
      <formula>$H938="ETAPA"</formula>
    </cfRule>
    <cfRule type="expression" dxfId="4215" priority="1311">
      <formula>$H938="CÉLULA CONSTRUTIVA"</formula>
    </cfRule>
    <cfRule type="expression" dxfId="4214" priority="1310">
      <formula>$H938="SUBETAPA"</formula>
    </cfRule>
  </conditionalFormatting>
  <conditionalFormatting sqref="N939">
    <cfRule type="expression" dxfId="4213" priority="8177">
      <formula>$H939="SUBETAPA"</formula>
    </cfRule>
    <cfRule type="expression" dxfId="4212" priority="8178">
      <formula>$H939="CÉLULA CONSTRUTIVA"</formula>
    </cfRule>
    <cfRule type="expression" dxfId="4211" priority="8179">
      <formula>$H939="ETAPA"</formula>
    </cfRule>
  </conditionalFormatting>
  <conditionalFormatting sqref="N940">
    <cfRule type="expression" dxfId="4210" priority="8146">
      <formula>$H940="ETAPA"</formula>
    </cfRule>
    <cfRule type="expression" dxfId="4209" priority="8144">
      <formula>$H940="SUBETAPA"</formula>
    </cfRule>
    <cfRule type="expression" dxfId="4208" priority="8145">
      <formula>$H940="CÉLULA CONSTRUTIVA"</formula>
    </cfRule>
  </conditionalFormatting>
  <conditionalFormatting sqref="N941">
    <cfRule type="expression" dxfId="4207" priority="1322">
      <formula>$H941="SUBETAPA"</formula>
    </cfRule>
    <cfRule type="expression" dxfId="4206" priority="1323">
      <formula>$H941="CÉLULA CONSTRUTIVA"</formula>
    </cfRule>
    <cfRule type="expression" dxfId="4205" priority="1324">
      <formula>$H941="ETAPA"</formula>
    </cfRule>
  </conditionalFormatting>
  <conditionalFormatting sqref="N944">
    <cfRule type="expression" dxfId="4204" priority="1325">
      <formula>$H944="SUBETAPA"</formula>
    </cfRule>
    <cfRule type="expression" dxfId="4203" priority="1327">
      <formula>$H944="ETAPA"</formula>
    </cfRule>
    <cfRule type="expression" dxfId="4202" priority="1326">
      <formula>$H944="CÉLULA CONSTRUTIVA"</formula>
    </cfRule>
  </conditionalFormatting>
  <conditionalFormatting sqref="N946">
    <cfRule type="expression" dxfId="4201" priority="1328">
      <formula>$H946="SUBETAPA"</formula>
    </cfRule>
    <cfRule type="expression" dxfId="4200" priority="1330">
      <formula>$H946="ETAPA"</formula>
    </cfRule>
    <cfRule type="expression" dxfId="4199" priority="1329">
      <formula>$H946="CÉLULA CONSTRUTIVA"</formula>
    </cfRule>
  </conditionalFormatting>
  <conditionalFormatting sqref="N948">
    <cfRule type="expression" dxfId="4198" priority="1331">
      <formula>$H948="SUBETAPA"</formula>
    </cfRule>
    <cfRule type="expression" dxfId="4197" priority="1332">
      <formula>$H948="CÉLULA CONSTRUTIVA"</formula>
    </cfRule>
    <cfRule type="expression" dxfId="4196" priority="1333">
      <formula>$H948="ETAPA"</formula>
    </cfRule>
  </conditionalFormatting>
  <conditionalFormatting sqref="N949">
    <cfRule type="expression" dxfId="4195" priority="8433">
      <formula>$H949="ETAPA"</formula>
    </cfRule>
    <cfRule type="expression" dxfId="4194" priority="8431">
      <formula>$H949="SUBETAPA"</formula>
    </cfRule>
    <cfRule type="expression" dxfId="4193" priority="8432">
      <formula>$H949="CÉLULA CONSTRUTIVA"</formula>
    </cfRule>
  </conditionalFormatting>
  <conditionalFormatting sqref="N950">
    <cfRule type="expression" dxfId="4192" priority="1334">
      <formula>$H950="SUBETAPA"</formula>
    </cfRule>
    <cfRule type="expression" dxfId="4191" priority="1336">
      <formula>$H950="ETAPA"</formula>
    </cfRule>
    <cfRule type="expression" dxfId="4190" priority="1335">
      <formula>$H950="CÉLULA CONSTRUTIVA"</formula>
    </cfRule>
  </conditionalFormatting>
  <conditionalFormatting sqref="N953">
    <cfRule type="expression" dxfId="4189" priority="1340">
      <formula>$H953="SUBETAPA"</formula>
    </cfRule>
    <cfRule type="expression" dxfId="4188" priority="1341">
      <formula>$H953="CÉLULA CONSTRUTIVA"</formula>
    </cfRule>
    <cfRule type="expression" dxfId="4187" priority="1342">
      <formula>$H953="ETAPA"</formula>
    </cfRule>
  </conditionalFormatting>
  <conditionalFormatting sqref="N954:N955">
    <cfRule type="expression" dxfId="4186" priority="8826">
      <formula>$H954="SUBETAPA"</formula>
    </cfRule>
    <cfRule type="expression" dxfId="4185" priority="8828">
      <formula>$H954="ETAPA"</formula>
    </cfRule>
    <cfRule type="expression" dxfId="4184" priority="8827">
      <formula>$H954="CÉLULA CONSTRUTIVA"</formula>
    </cfRule>
  </conditionalFormatting>
  <conditionalFormatting sqref="N958">
    <cfRule type="expression" dxfId="4183" priority="1354">
      <formula>$H958="ETAPA"</formula>
    </cfRule>
    <cfRule type="expression" dxfId="4182" priority="1352">
      <formula>$H958="SUBETAPA"</formula>
    </cfRule>
    <cfRule type="expression" dxfId="4181" priority="1353">
      <formula>$H958="CÉLULA CONSTRUTIVA"</formula>
    </cfRule>
  </conditionalFormatting>
  <conditionalFormatting sqref="N960">
    <cfRule type="expression" dxfId="4180" priority="1359">
      <formula>$H960="CÉLULA CONSTRUTIVA"</formula>
    </cfRule>
    <cfRule type="expression" dxfId="4179" priority="1360">
      <formula>$H960="ETAPA"</formula>
    </cfRule>
    <cfRule type="expression" dxfId="4178" priority="1358">
      <formula>$H960="SUBETAPA"</formula>
    </cfRule>
  </conditionalFormatting>
  <conditionalFormatting sqref="N962">
    <cfRule type="expression" dxfId="4177" priority="1357">
      <formula>$H962="ETAPA"</formula>
    </cfRule>
    <cfRule type="expression" dxfId="4176" priority="1356">
      <formula>$H962="CÉLULA CONSTRUTIVA"</formula>
    </cfRule>
    <cfRule type="expression" dxfId="4175" priority="1355">
      <formula>$H962="SUBETAPA"</formula>
    </cfRule>
  </conditionalFormatting>
  <conditionalFormatting sqref="N964">
    <cfRule type="expression" dxfId="4174" priority="1361">
      <formula>$H964="SUBETAPA"</formula>
    </cfRule>
    <cfRule type="expression" dxfId="4173" priority="1362">
      <formula>$H964="CÉLULA CONSTRUTIVA"</formula>
    </cfRule>
    <cfRule type="expression" dxfId="4172" priority="1363">
      <formula>$H964="ETAPA"</formula>
    </cfRule>
  </conditionalFormatting>
  <conditionalFormatting sqref="N967">
    <cfRule type="expression" dxfId="4171" priority="1365">
      <formula>$H967="CÉLULA CONSTRUTIVA"</formula>
    </cfRule>
    <cfRule type="expression" dxfId="4170" priority="1364">
      <formula>$H967="SUBETAPA"</formula>
    </cfRule>
    <cfRule type="expression" dxfId="4169" priority="1366">
      <formula>$H967="ETAPA"</formula>
    </cfRule>
  </conditionalFormatting>
  <conditionalFormatting sqref="N969">
    <cfRule type="expression" dxfId="4168" priority="1369">
      <formula>$H969="ETAPA"</formula>
    </cfRule>
    <cfRule type="expression" dxfId="4167" priority="1368">
      <formula>$H969="CÉLULA CONSTRUTIVA"</formula>
    </cfRule>
    <cfRule type="expression" dxfId="4166" priority="1367">
      <formula>$H969="SUBETAPA"</formula>
    </cfRule>
  </conditionalFormatting>
  <conditionalFormatting sqref="N971">
    <cfRule type="expression" dxfId="4165" priority="1372">
      <formula>$H971="ETAPA"</formula>
    </cfRule>
    <cfRule type="expression" dxfId="4164" priority="1371">
      <formula>$H971="CÉLULA CONSTRUTIVA"</formula>
    </cfRule>
    <cfRule type="expression" dxfId="4163" priority="1370">
      <formula>$H971="SUBETAPA"</formula>
    </cfRule>
  </conditionalFormatting>
  <conditionalFormatting sqref="N973">
    <cfRule type="expression" dxfId="4162" priority="1351">
      <formula>$H973="ETAPA"</formula>
    </cfRule>
    <cfRule type="expression" dxfId="4161" priority="1349">
      <formula>$H973="SUBETAPA"</formula>
    </cfRule>
    <cfRule type="expression" dxfId="4160" priority="1350">
      <formula>$H973="CÉLULA CONSTRUTIVA"</formula>
    </cfRule>
  </conditionalFormatting>
  <conditionalFormatting sqref="N974">
    <cfRule type="expression" dxfId="4159" priority="8751">
      <formula>$H974="SUBETAPA"</formula>
    </cfRule>
    <cfRule type="expression" dxfId="4158" priority="8752">
      <formula>$H974="CÉLULA CONSTRUTIVA"</formula>
    </cfRule>
    <cfRule type="expression" dxfId="4157" priority="8753">
      <formula>$H974="ETAPA"</formula>
    </cfRule>
  </conditionalFormatting>
  <conditionalFormatting sqref="N975">
    <cfRule type="expression" dxfId="4156" priority="8718">
      <formula>$H975="SUBETAPA"</formula>
    </cfRule>
    <cfRule type="expression" dxfId="4155" priority="8720">
      <formula>$H975="ETAPA"</formula>
    </cfRule>
    <cfRule type="expression" dxfId="4154" priority="8719">
      <formula>$H975="CÉLULA CONSTRUTIVA"</formula>
    </cfRule>
  </conditionalFormatting>
  <conditionalFormatting sqref="N976">
    <cfRule type="expression" dxfId="4153" priority="1339">
      <formula>$H976="ETAPA"</formula>
    </cfRule>
    <cfRule type="expression" dxfId="4152" priority="1338">
      <formula>$H976="CÉLULA CONSTRUTIVA"</formula>
    </cfRule>
    <cfRule type="expression" dxfId="4151" priority="1337">
      <formula>$H976="SUBETAPA"</formula>
    </cfRule>
  </conditionalFormatting>
  <conditionalFormatting sqref="N979">
    <cfRule type="expression" dxfId="4150" priority="1374">
      <formula>$H979="CÉLULA CONSTRUTIVA"</formula>
    </cfRule>
    <cfRule type="expression" dxfId="4149" priority="1373">
      <formula>$H979="SUBETAPA"</formula>
    </cfRule>
    <cfRule type="expression" dxfId="4148" priority="1375">
      <formula>$H979="ETAPA"</formula>
    </cfRule>
  </conditionalFormatting>
  <conditionalFormatting sqref="N981">
    <cfRule type="expression" dxfId="4147" priority="1377">
      <formula>$H981="CÉLULA CONSTRUTIVA"</formula>
    </cfRule>
    <cfRule type="expression" dxfId="4146" priority="1378">
      <formula>$H981="ETAPA"</formula>
    </cfRule>
    <cfRule type="expression" dxfId="4145" priority="1376">
      <formula>$H981="SUBETAPA"</formula>
    </cfRule>
  </conditionalFormatting>
  <conditionalFormatting sqref="N983">
    <cfRule type="expression" dxfId="4144" priority="1379">
      <formula>$H983="SUBETAPA"</formula>
    </cfRule>
    <cfRule type="expression" dxfId="4143" priority="1380">
      <formula>$H983="CÉLULA CONSTRUTIVA"</formula>
    </cfRule>
    <cfRule type="expression" dxfId="4142" priority="1381">
      <formula>$H983="ETAPA"</formula>
    </cfRule>
  </conditionalFormatting>
  <conditionalFormatting sqref="N984">
    <cfRule type="expression" dxfId="4141" priority="8662">
      <formula>$H984="CÉLULA CONSTRUTIVA"</formula>
    </cfRule>
    <cfRule type="expression" dxfId="4140" priority="8663">
      <formula>$H984="ETAPA"</formula>
    </cfRule>
    <cfRule type="expression" dxfId="4139" priority="8661">
      <formula>$H984="SUBETAPA"</formula>
    </cfRule>
  </conditionalFormatting>
  <conditionalFormatting sqref="N986">
    <cfRule type="expression" dxfId="4138" priority="1344">
      <formula>$H986="CÉLULA CONSTRUTIVA"</formula>
    </cfRule>
    <cfRule type="expression" dxfId="4137" priority="1345">
      <formula>$H986="ETAPA"</formula>
    </cfRule>
    <cfRule type="expression" dxfId="4136" priority="1343">
      <formula>$H986="SUBETAPA"</formula>
    </cfRule>
  </conditionalFormatting>
  <conditionalFormatting sqref="N987:N988">
    <cfRule type="expression" dxfId="4135" priority="9113">
      <formula>$H987="SUBETAPA"</formula>
    </cfRule>
    <cfRule type="expression" dxfId="4134" priority="9114">
      <formula>$H987="CÉLULA CONSTRUTIVA"</formula>
    </cfRule>
    <cfRule type="expression" dxfId="4133" priority="9115">
      <formula>$H987="ETAPA"</formula>
    </cfRule>
  </conditionalFormatting>
  <conditionalFormatting sqref="N990">
    <cfRule type="expression" dxfId="4132" priority="1383">
      <formula>$H990="CÉLULA CONSTRUTIVA"</formula>
    </cfRule>
    <cfRule type="expression" dxfId="4131" priority="1384">
      <formula>$H990="ETAPA"</formula>
    </cfRule>
    <cfRule type="expression" dxfId="4130" priority="1382">
      <formula>$H990="SUBETAPA"</formula>
    </cfRule>
  </conditionalFormatting>
  <conditionalFormatting sqref="N992">
    <cfRule type="expression" dxfId="4129" priority="1385">
      <formula>$H992="SUBETAPA"</formula>
    </cfRule>
    <cfRule type="expression" dxfId="4128" priority="1386">
      <formula>$H992="CÉLULA CONSTRUTIVA"</formula>
    </cfRule>
    <cfRule type="expression" dxfId="4127" priority="1387">
      <formula>$H992="ETAPA"</formula>
    </cfRule>
  </conditionalFormatting>
  <conditionalFormatting sqref="N994">
    <cfRule type="expression" dxfId="4126" priority="1389">
      <formula>$H994="CÉLULA CONSTRUTIVA"</formula>
    </cfRule>
    <cfRule type="expression" dxfId="4125" priority="1390">
      <formula>$H994="ETAPA"</formula>
    </cfRule>
    <cfRule type="expression" dxfId="4124" priority="1388">
      <formula>$H994="SUBETAPA"</formula>
    </cfRule>
  </conditionalFormatting>
  <conditionalFormatting sqref="N996">
    <cfRule type="expression" dxfId="4123" priority="1392">
      <formula>$H996="CÉLULA CONSTRUTIVA"</formula>
    </cfRule>
    <cfRule type="expression" dxfId="4122" priority="1393">
      <formula>$H996="ETAPA"</formula>
    </cfRule>
    <cfRule type="expression" dxfId="4121" priority="1391">
      <formula>$H996="SUBETAPA"</formula>
    </cfRule>
  </conditionalFormatting>
  <conditionalFormatting sqref="N998">
    <cfRule type="expression" dxfId="4120" priority="1347">
      <formula>$H998="CÉLULA CONSTRUTIVA"</formula>
    </cfRule>
    <cfRule type="expression" dxfId="4119" priority="1346">
      <formula>$H998="SUBETAPA"</formula>
    </cfRule>
    <cfRule type="expression" dxfId="4118" priority="1348">
      <formula>$H998="ETAPA"</formula>
    </cfRule>
  </conditionalFormatting>
  <conditionalFormatting sqref="N1000">
    <cfRule type="expression" dxfId="4117" priority="9195">
      <formula>$H1000="ETAPA"</formula>
    </cfRule>
    <cfRule type="expression" dxfId="4116" priority="9194">
      <formula>$H1000="CÉLULA CONSTRUTIVA"</formula>
    </cfRule>
    <cfRule type="expression" dxfId="4115" priority="9193">
      <formula>$H1000="SUBETAPA"</formula>
    </cfRule>
  </conditionalFormatting>
  <conditionalFormatting sqref="N1001">
    <cfRule type="expression" dxfId="4114" priority="1394">
      <formula>$H1001="SUBETAPA"</formula>
    </cfRule>
    <cfRule type="expression" dxfId="4113" priority="1395">
      <formula>$H1001="CÉLULA CONSTRUTIVA"</formula>
    </cfRule>
    <cfRule type="expression" dxfId="4112" priority="1396">
      <formula>$H1001="ETAPA"</formula>
    </cfRule>
  </conditionalFormatting>
  <conditionalFormatting sqref="N1002">
    <cfRule type="expression" dxfId="4111" priority="9007">
      <formula>$H1002="ETAPA"</formula>
    </cfRule>
    <cfRule type="expression" dxfId="4110" priority="9005">
      <formula>$H1002="SUBETAPA"</formula>
    </cfRule>
    <cfRule type="expression" dxfId="4109" priority="9006">
      <formula>$H1002="CÉLULA CONSTRUTIVA"</formula>
    </cfRule>
  </conditionalFormatting>
  <conditionalFormatting sqref="N1003">
    <cfRule type="expression" dxfId="4108" priority="1398">
      <formula>$H1003="CÉLULA CONSTRUTIVA"</formula>
    </cfRule>
    <cfRule type="expression" dxfId="4107" priority="1399">
      <formula>$H1003="ETAPA"</formula>
    </cfRule>
    <cfRule type="expression" dxfId="4106" priority="1397">
      <formula>$H1003="SUBETAPA"</formula>
    </cfRule>
  </conditionalFormatting>
  <conditionalFormatting sqref="N1012">
    <cfRule type="expression" dxfId="4105" priority="8950">
      <formula>$H1012="ETAPA"</formula>
    </cfRule>
    <cfRule type="expression" dxfId="4104" priority="8949">
      <formula>$H1012="CÉLULA CONSTRUTIVA"</formula>
    </cfRule>
    <cfRule type="expression" dxfId="4103" priority="8948">
      <formula>$H1012="SUBETAPA"</formula>
    </cfRule>
  </conditionalFormatting>
  <conditionalFormatting sqref="N1016 N1018">
    <cfRule type="expression" dxfId="4102" priority="12943">
      <formula>$H1016="ETAPA"</formula>
    </cfRule>
    <cfRule type="expression" dxfId="4101" priority="12942">
      <formula>$H1016="CÉLULA CONSTRUTIVA"</formula>
    </cfRule>
  </conditionalFormatting>
  <conditionalFormatting sqref="N1017">
    <cfRule type="expression" dxfId="4100" priority="3089">
      <formula>$H1017="ETAPA"</formula>
    </cfRule>
    <cfRule type="expression" dxfId="4099" priority="3087">
      <formula>$H1017="SUBETAPA"</formula>
    </cfRule>
    <cfRule type="expression" dxfId="4098" priority="3088">
      <formula>$H1017="CÉLULA CONSTRUTIVA"</formula>
    </cfRule>
  </conditionalFormatting>
  <conditionalFormatting sqref="N1025:N1027">
    <cfRule type="expression" dxfId="4097" priority="12936">
      <formula>$H1025="CÉLULA CONSTRUTIVA"</formula>
    </cfRule>
    <cfRule type="expression" dxfId="4096" priority="12937">
      <formula>$H1025="ETAPA"</formula>
    </cfRule>
  </conditionalFormatting>
  <conditionalFormatting sqref="N1036 N1038">
    <cfRule type="expression" dxfId="4095" priority="6989">
      <formula>$H1036="ETAPA"</formula>
    </cfRule>
    <cfRule type="expression" dxfId="4094" priority="6987">
      <formula>$H1036="SUBETAPA"</formula>
    </cfRule>
    <cfRule type="expression" dxfId="4093" priority="6988">
      <formula>$H1036="CÉLULA CONSTRUTIVA"</formula>
    </cfRule>
  </conditionalFormatting>
  <conditionalFormatting sqref="N1037">
    <cfRule type="expression" dxfId="4092" priority="3053">
      <formula>$H1037="SUBETAPA"</formula>
    </cfRule>
    <cfRule type="expression" dxfId="4091" priority="3054">
      <formula>$H1037="CÉLULA CONSTRUTIVA"</formula>
    </cfRule>
    <cfRule type="expression" dxfId="4090" priority="3055">
      <formula>$H1037="ETAPA"</formula>
    </cfRule>
  </conditionalFormatting>
  <conditionalFormatting sqref="N1045:N1047">
    <cfRule type="expression" dxfId="4089" priority="6985">
      <formula>$H1045="CÉLULA CONSTRUTIVA"</formula>
    </cfRule>
    <cfRule type="expression" dxfId="4088" priority="6986">
      <formula>$H1045="ETAPA"</formula>
    </cfRule>
    <cfRule type="expression" dxfId="4087" priority="6984">
      <formula>$H1045="SUBETAPA"</formula>
    </cfRule>
  </conditionalFormatting>
  <conditionalFormatting sqref="N1056 N1058">
    <cfRule type="expression" dxfId="4086" priority="6970">
      <formula>$H1056="SUBETAPA"</formula>
    </cfRule>
    <cfRule type="expression" dxfId="4085" priority="6971">
      <formula>$H1056="CÉLULA CONSTRUTIVA"</formula>
    </cfRule>
    <cfRule type="expression" dxfId="4084" priority="6972">
      <formula>$H1056="ETAPA"</formula>
    </cfRule>
  </conditionalFormatting>
  <conditionalFormatting sqref="N1057">
    <cfRule type="expression" dxfId="4083" priority="3024">
      <formula>$H1057="SUBETAPA"</formula>
    </cfRule>
    <cfRule type="expression" dxfId="4082" priority="3026">
      <formula>$H1057="ETAPA"</formula>
    </cfRule>
    <cfRule type="expression" dxfId="4081" priority="3025">
      <formula>$H1057="CÉLULA CONSTRUTIVA"</formula>
    </cfRule>
  </conditionalFormatting>
  <conditionalFormatting sqref="N1065:N1067">
    <cfRule type="expression" dxfId="4080" priority="6968">
      <formula>$H1065="CÉLULA CONSTRUTIVA"</formula>
    </cfRule>
    <cfRule type="expression" dxfId="4079" priority="6967">
      <formula>$H1065="SUBETAPA"</formula>
    </cfRule>
    <cfRule type="expression" dxfId="4078" priority="6969">
      <formula>$H1065="ETAPA"</formula>
    </cfRule>
  </conditionalFormatting>
  <conditionalFormatting sqref="N1076 N1078">
    <cfRule type="expression" dxfId="4077" priority="7006">
      <formula>$H1076="ETAPA"</formula>
    </cfRule>
    <cfRule type="expression" dxfId="4076" priority="7005">
      <formula>$H1076="CÉLULA CONSTRUTIVA"</formula>
    </cfRule>
    <cfRule type="expression" dxfId="4075" priority="7004">
      <formula>$H1076="SUBETAPA"</formula>
    </cfRule>
  </conditionalFormatting>
  <conditionalFormatting sqref="N1077">
    <cfRule type="expression" dxfId="4074" priority="3002">
      <formula>$H1077="CÉLULA CONSTRUTIVA"</formula>
    </cfRule>
    <cfRule type="expression" dxfId="4073" priority="3003">
      <formula>$H1077="ETAPA"</formula>
    </cfRule>
    <cfRule type="expression" dxfId="4072" priority="3001">
      <formula>$H1077="SUBETAPA"</formula>
    </cfRule>
  </conditionalFormatting>
  <conditionalFormatting sqref="N1085:N1087">
    <cfRule type="expression" dxfId="4071" priority="7003">
      <formula>$H1085="ETAPA"</formula>
    </cfRule>
    <cfRule type="expression" dxfId="4070" priority="7002">
      <formula>$H1085="CÉLULA CONSTRUTIVA"</formula>
    </cfRule>
    <cfRule type="expression" dxfId="4069" priority="7001">
      <formula>$H1085="SUBETAPA"</formula>
    </cfRule>
  </conditionalFormatting>
  <conditionalFormatting sqref="N1103:N1105">
    <cfRule type="expression" dxfId="4068" priority="7037">
      <formula>$H1103="ETAPA"</formula>
    </cfRule>
    <cfRule type="expression" dxfId="4067" priority="7036">
      <formula>$H1103="CÉLULA CONSTRUTIVA"</formula>
    </cfRule>
    <cfRule type="expression" dxfId="4066" priority="7035">
      <formula>$H1103="SUBETAPA"</formula>
    </cfRule>
  </conditionalFormatting>
  <conditionalFormatting sqref="N1119:N1121">
    <cfRule type="expression" dxfId="4065" priority="7053">
      <formula>$H1119="CÉLULA CONSTRUTIVA"</formula>
    </cfRule>
    <cfRule type="expression" dxfId="4064" priority="7052">
      <formula>$H1119="SUBETAPA"</formula>
    </cfRule>
    <cfRule type="expression" dxfId="4063" priority="7054">
      <formula>$H1119="ETAPA"</formula>
    </cfRule>
  </conditionalFormatting>
  <conditionalFormatting sqref="N1135:N1137">
    <cfRule type="expression" dxfId="4062" priority="1482">
      <formula>$H1135="CÉLULA CONSTRUTIVA"</formula>
    </cfRule>
    <cfRule type="expression" dxfId="4061" priority="1481">
      <formula>$H1135="SUBETAPA"</formula>
    </cfRule>
    <cfRule type="expression" dxfId="4060" priority="1483">
      <formula>$H1135="ETAPA"</formula>
    </cfRule>
  </conditionalFormatting>
  <conditionalFormatting sqref="N1138 N1134">
    <cfRule type="expression" dxfId="4059" priority="1485">
      <formula>$H1134="CÉLULA CONSTRUTIVA"</formula>
    </cfRule>
    <cfRule type="expression" dxfId="4058" priority="1486">
      <formula>$H1134="ETAPA"</formula>
    </cfRule>
    <cfRule type="expression" dxfId="4057" priority="1484">
      <formula>$H1134="SUBETAPA"</formula>
    </cfRule>
  </conditionalFormatting>
  <conditionalFormatting sqref="N1139:N1141">
    <cfRule type="expression" dxfId="4056" priority="1488">
      <formula>$H1139="CÉLULA CONSTRUTIVA"</formula>
    </cfRule>
    <cfRule type="expression" dxfId="4055" priority="1489">
      <formula>$H1139="ETAPA"</formula>
    </cfRule>
    <cfRule type="expression" dxfId="4054" priority="1487">
      <formula>$H1139="SUBETAPA"</formula>
    </cfRule>
  </conditionalFormatting>
  <conditionalFormatting sqref="N1143">
    <cfRule type="expression" dxfId="4053" priority="1469">
      <formula>$H1143="SUBETAPA"</formula>
    </cfRule>
    <cfRule type="expression" dxfId="4052" priority="1470">
      <formula>$H1143="CÉLULA CONSTRUTIVA"</formula>
    </cfRule>
    <cfRule type="expression" dxfId="4051" priority="1471">
      <formula>$H1143="ETAPA"</formula>
    </cfRule>
  </conditionalFormatting>
  <conditionalFormatting sqref="N1145">
    <cfRule type="expression" dxfId="4050" priority="2815">
      <formula>$H1145="SUBETAPA"</formula>
    </cfRule>
    <cfRule type="expression" dxfId="4049" priority="2817">
      <formula>$H1145="ETAPA"</formula>
    </cfRule>
    <cfRule type="expression" dxfId="4048" priority="2816">
      <formula>$H1145="CÉLULA CONSTRUTIVA"</formula>
    </cfRule>
  </conditionalFormatting>
  <conditionalFormatting sqref="N1146">
    <cfRule type="expression" dxfId="4047" priority="1473">
      <formula>$H1146="CÉLULA CONSTRUTIVA"</formula>
    </cfRule>
    <cfRule type="expression" dxfId="4046" priority="1472">
      <formula>$H1146="SUBETAPA"</formula>
    </cfRule>
    <cfRule type="expression" dxfId="4045" priority="1474">
      <formula>$H1146="ETAPA"</formula>
    </cfRule>
  </conditionalFormatting>
  <conditionalFormatting sqref="N1147:N1149">
    <cfRule type="expression" dxfId="4044" priority="6950">
      <formula>$H1147="SUBETAPA"</formula>
    </cfRule>
    <cfRule type="expression" dxfId="4043" priority="6951">
      <formula>$H1147="CÉLULA CONSTRUTIVA"</formula>
    </cfRule>
    <cfRule type="expression" dxfId="4042" priority="6952">
      <formula>$H1147="ETAPA"</formula>
    </cfRule>
  </conditionalFormatting>
  <conditionalFormatting sqref="N1150">
    <cfRule type="expression" dxfId="4041" priority="1478">
      <formula>$H1150="SUBETAPA"</formula>
    </cfRule>
    <cfRule type="expression" dxfId="4040" priority="1480">
      <formula>$H1150="ETAPA"</formula>
    </cfRule>
    <cfRule type="expression" dxfId="4039" priority="1479">
      <formula>$H1150="CÉLULA CONSTRUTIVA"</formula>
    </cfRule>
  </conditionalFormatting>
  <conditionalFormatting sqref="N1156">
    <cfRule type="expression" dxfId="4038" priority="12931">
      <formula>$H1156="ETAPA"</formula>
    </cfRule>
    <cfRule type="expression" dxfId="4037" priority="12930">
      <formula>$H1156="CÉLULA CONSTRUTIVA"</formula>
    </cfRule>
  </conditionalFormatting>
  <conditionalFormatting sqref="N1157">
    <cfRule type="expression" dxfId="4036" priority="6899">
      <formula>$H1157="CÉLULA CONSTRUTIVA"</formula>
    </cfRule>
    <cfRule type="expression" dxfId="4035" priority="6900">
      <formula>$H1157="ETAPA"</formula>
    </cfRule>
    <cfRule type="expression" dxfId="4034" priority="6898">
      <formula>$H1157="SUBETAPA"</formula>
    </cfRule>
  </conditionalFormatting>
  <conditionalFormatting sqref="N1159:N1160">
    <cfRule type="expression" dxfId="4033" priority="12928">
      <formula>$H1159="ETAPA"</formula>
    </cfRule>
    <cfRule type="expression" dxfId="4032" priority="12927">
      <formula>$H1159="CÉLULA CONSTRUTIVA"</formula>
    </cfRule>
  </conditionalFormatting>
  <conditionalFormatting sqref="N1162">
    <cfRule type="expression" dxfId="4031" priority="12924">
      <formula>$H1162="CÉLULA CONSTRUTIVA"</formula>
    </cfRule>
    <cfRule type="expression" dxfId="4030" priority="12925">
      <formula>$H1162="ETAPA"</formula>
    </cfRule>
  </conditionalFormatting>
  <conditionalFormatting sqref="N1163">
    <cfRule type="expression" dxfId="4029" priority="1408">
      <formula>$H1163="ETAPA"</formula>
    </cfRule>
    <cfRule type="expression" dxfId="4028" priority="1407">
      <formula>$H1163="CÉLULA CONSTRUTIVA"</formula>
    </cfRule>
    <cfRule type="expression" dxfId="4027" priority="1406">
      <formula>$H1163="SUBETAPA"</formula>
    </cfRule>
  </conditionalFormatting>
  <conditionalFormatting sqref="N1169">
    <cfRule type="expression" dxfId="4026" priority="1410">
      <formula>$H1169="CÉLULA CONSTRUTIVA"</formula>
    </cfRule>
    <cfRule type="expression" dxfId="4025" priority="1411">
      <formula>$H1169="ETAPA"</formula>
    </cfRule>
    <cfRule type="expression" dxfId="4024" priority="1409">
      <formula>$H1169="SUBETAPA"</formula>
    </cfRule>
  </conditionalFormatting>
  <conditionalFormatting sqref="N1170">
    <cfRule type="expression" dxfId="4023" priority="1540">
      <formula>$H1170="SUBETAPA"</formula>
    </cfRule>
    <cfRule type="expression" dxfId="4022" priority="1542">
      <formula>$H1170="ETAPA"</formula>
    </cfRule>
    <cfRule type="expression" dxfId="4021" priority="1541">
      <formula>$H1170="CÉLULA CONSTRUTIVA"</formula>
    </cfRule>
  </conditionalFormatting>
  <conditionalFormatting sqref="N1172">
    <cfRule type="expression" dxfId="4020" priority="12909">
      <formula>$H1172="CÉLULA CONSTRUTIVA"</formula>
    </cfRule>
    <cfRule type="expression" dxfId="4019" priority="12910">
      <formula>$H1172="ETAPA"</formula>
    </cfRule>
  </conditionalFormatting>
  <conditionalFormatting sqref="N1173">
    <cfRule type="expression" dxfId="4018" priority="1403">
      <formula>$H1173="SUBETAPA"</formula>
    </cfRule>
    <cfRule type="expression" dxfId="4017" priority="1405">
      <formula>$H1173="ETAPA"</formula>
    </cfRule>
    <cfRule type="expression" dxfId="4016" priority="1404">
      <formula>$H1173="CÉLULA CONSTRUTIVA"</formula>
    </cfRule>
  </conditionalFormatting>
  <conditionalFormatting sqref="N1178">
    <cfRule type="expression" dxfId="4015" priority="1412">
      <formula>$H1178="SUBETAPA"</formula>
    </cfRule>
    <cfRule type="expression" dxfId="4014" priority="1413">
      <formula>$H1178="CÉLULA CONSTRUTIVA"</formula>
    </cfRule>
    <cfRule type="expression" dxfId="4013" priority="1414">
      <formula>$H1178="ETAPA"</formula>
    </cfRule>
  </conditionalFormatting>
  <conditionalFormatting sqref="N1180">
    <cfRule type="expression" dxfId="4012" priority="1400">
      <formula>$H1180="SUBETAPA"</formula>
    </cfRule>
    <cfRule type="expression" dxfId="4011" priority="1401">
      <formula>$H1180="CÉLULA CONSTRUTIVA"</formula>
    </cfRule>
    <cfRule type="expression" dxfId="4010" priority="1402">
      <formula>$H1180="ETAPA"</formula>
    </cfRule>
  </conditionalFormatting>
  <conditionalFormatting sqref="N1184">
    <cfRule type="expression" dxfId="4009" priority="12907">
      <formula>$H1184="ETAPA"</formula>
    </cfRule>
    <cfRule type="expression" dxfId="4008" priority="12906">
      <formula>$H1184="CÉLULA CONSTRUTIVA"</formula>
    </cfRule>
  </conditionalFormatting>
  <conditionalFormatting sqref="N1189">
    <cfRule type="expression" dxfId="4007" priority="1452">
      <formula>$H1189="CÉLULA CONSTRUTIVA"</formula>
    </cfRule>
    <cfRule type="expression" dxfId="4006" priority="1451">
      <formula>$H1189="SUBETAPA"</formula>
    </cfRule>
    <cfRule type="expression" dxfId="4005" priority="1453">
      <formula>$H1189="ETAPA"</formula>
    </cfRule>
  </conditionalFormatting>
  <conditionalFormatting sqref="N1199:N1202">
    <cfRule type="expression" dxfId="4004" priority="12875">
      <formula>$H1199="SUBETAPA"</formula>
    </cfRule>
    <cfRule type="expression" dxfId="4003" priority="12876">
      <formula>$H1199="CÉLULA CONSTRUTIVA"</formula>
    </cfRule>
    <cfRule type="expression" dxfId="4002" priority="12877">
      <formula>$H1199="ETAPA"</formula>
    </cfRule>
  </conditionalFormatting>
  <conditionalFormatting sqref="N1203">
    <cfRule type="expression" dxfId="4001" priority="5508">
      <formula>$H1203="ETAPA"</formula>
    </cfRule>
    <cfRule type="expression" dxfId="4000" priority="5507">
      <formula>$H1203="CÉLULA CONSTRUTIVA"</formula>
    </cfRule>
    <cfRule type="expression" dxfId="3999" priority="5506">
      <formula>$H1203="SUBETAPA"</formula>
    </cfRule>
  </conditionalFormatting>
  <conditionalFormatting sqref="N1204">
    <cfRule type="expression" dxfId="3998" priority="5494">
      <formula>$H1204="ETAPA"</formula>
    </cfRule>
    <cfRule type="expression" dxfId="3997" priority="5493">
      <formula>$H1204="CÉLULA CONSTRUTIVA"</formula>
    </cfRule>
    <cfRule type="expression" dxfId="3996" priority="5492">
      <formula>$H1204="SUBETAPA"</formula>
    </cfRule>
  </conditionalFormatting>
  <conditionalFormatting sqref="N1206:N1207">
    <cfRule type="expression" dxfId="3995" priority="12874">
      <formula>$H1206="ETAPA"</formula>
    </cfRule>
    <cfRule type="expression" dxfId="3994" priority="12872">
      <formula>$H1206="SUBETAPA"</formula>
    </cfRule>
    <cfRule type="expression" dxfId="3993" priority="12873">
      <formula>$H1206="CÉLULA CONSTRUTIVA"</formula>
    </cfRule>
  </conditionalFormatting>
  <conditionalFormatting sqref="N1209">
    <cfRule type="expression" dxfId="3992" priority="12871">
      <formula>$H1209="ETAPA"</formula>
    </cfRule>
    <cfRule type="expression" dxfId="3991" priority="12870">
      <formula>$H1209="CÉLULA CONSTRUTIVA"</formula>
    </cfRule>
  </conditionalFormatting>
  <conditionalFormatting sqref="N1217">
    <cfRule type="expression" dxfId="3990" priority="1448">
      <formula>$H1217="SUBETAPA"</formula>
    </cfRule>
    <cfRule type="expression" dxfId="3989" priority="1449">
      <formula>$H1217="CÉLULA CONSTRUTIVA"</formula>
    </cfRule>
    <cfRule type="expression" dxfId="3988" priority="1450">
      <formula>$H1217="ETAPA"</formula>
    </cfRule>
  </conditionalFormatting>
  <conditionalFormatting sqref="N1222">
    <cfRule type="expression" dxfId="3987" priority="1446">
      <formula>$H1222="CÉLULA CONSTRUTIVA"</formula>
    </cfRule>
    <cfRule type="expression" dxfId="3986" priority="1447">
      <formula>$H1222="ETAPA"</formula>
    </cfRule>
    <cfRule type="expression" dxfId="3985" priority="1445">
      <formula>$H1222="SUBETAPA"</formula>
    </cfRule>
  </conditionalFormatting>
  <conditionalFormatting sqref="N1225">
    <cfRule type="expression" dxfId="3984" priority="3397">
      <formula>$H1225="SUBETAPA"</formula>
    </cfRule>
    <cfRule type="expression" dxfId="3983" priority="3399">
      <formula>$H1225="ETAPA"</formula>
    </cfRule>
    <cfRule type="expression" dxfId="3982" priority="3398">
      <formula>$H1225="CÉLULA CONSTRUTIVA"</formula>
    </cfRule>
  </conditionalFormatting>
  <conditionalFormatting sqref="N1226">
    <cfRule type="expression" dxfId="3981" priority="3371">
      <formula>$H1226="ETAPA"</formula>
    </cfRule>
    <cfRule type="expression" dxfId="3980" priority="3370">
      <formula>$H1226="CÉLULA CONSTRUTIVA"</formula>
    </cfRule>
    <cfRule type="expression" dxfId="3979" priority="3369">
      <formula>$H1226="SUBETAPA"</formula>
    </cfRule>
  </conditionalFormatting>
  <conditionalFormatting sqref="N1227">
    <cfRule type="expression" dxfId="3978" priority="1443">
      <formula>$H1227="CÉLULA CONSTRUTIVA"</formula>
    </cfRule>
    <cfRule type="expression" dxfId="3977" priority="1442">
      <formula>$H1227="SUBETAPA"</formula>
    </cfRule>
    <cfRule type="expression" dxfId="3976" priority="1444">
      <formula>$H1227="ETAPA"</formula>
    </cfRule>
  </conditionalFormatting>
  <conditionalFormatting sqref="N1228">
    <cfRule type="expression" dxfId="3975" priority="3437">
      <formula>$H1228="ETAPA"</formula>
    </cfRule>
    <cfRule type="expression" dxfId="3974" priority="3436">
      <formula>$H1228="CÉLULA CONSTRUTIVA"</formula>
    </cfRule>
    <cfRule type="expression" dxfId="3973" priority="3435">
      <formula>$H1228="SUBETAPA"</formula>
    </cfRule>
  </conditionalFormatting>
  <conditionalFormatting sqref="N1234">
    <cfRule type="expression" dxfId="3972" priority="1440">
      <formula>$H1234="CÉLULA CONSTRUTIVA"</formula>
    </cfRule>
    <cfRule type="expression" dxfId="3971" priority="1441">
      <formula>$H1234="ETAPA"</formula>
    </cfRule>
    <cfRule type="expression" dxfId="3970" priority="1439">
      <formula>$H1234="SUBETAPA"</formula>
    </cfRule>
  </conditionalFormatting>
  <conditionalFormatting sqref="N1239">
    <cfRule type="expression" dxfId="3969" priority="1438">
      <formula>$H1239="ETAPA"</formula>
    </cfRule>
    <cfRule type="expression" dxfId="3968" priority="1437">
      <formula>$H1239="CÉLULA CONSTRUTIVA"</formula>
    </cfRule>
    <cfRule type="expression" dxfId="3967" priority="1436">
      <formula>$H1239="SUBETAPA"</formula>
    </cfRule>
  </conditionalFormatting>
  <conditionalFormatting sqref="N1243">
    <cfRule type="expression" dxfId="3966" priority="3491">
      <formula>$H1243="SUBETAPA"</formula>
    </cfRule>
    <cfRule type="expression" dxfId="3965" priority="3492">
      <formula>$H1243="CÉLULA CONSTRUTIVA"</formula>
    </cfRule>
    <cfRule type="expression" dxfId="3964" priority="3493">
      <formula>$H1243="ETAPA"</formula>
    </cfRule>
  </conditionalFormatting>
  <conditionalFormatting sqref="N1244">
    <cfRule type="expression" dxfId="3963" priority="3463">
      <formula>$H1244="SUBETAPA"</formula>
    </cfRule>
    <cfRule type="expression" dxfId="3962" priority="3464">
      <formula>$H1244="CÉLULA CONSTRUTIVA"</formula>
    </cfRule>
    <cfRule type="expression" dxfId="3961" priority="3465">
      <formula>$H1244="ETAPA"</formula>
    </cfRule>
  </conditionalFormatting>
  <conditionalFormatting sqref="N1245">
    <cfRule type="expression" dxfId="3960" priority="1434">
      <formula>$H1245="CÉLULA CONSTRUTIVA"</formula>
    </cfRule>
    <cfRule type="expression" dxfId="3959" priority="1435">
      <formula>$H1245="ETAPA"</formula>
    </cfRule>
    <cfRule type="expression" dxfId="3958" priority="1433">
      <formula>$H1245="SUBETAPA"</formula>
    </cfRule>
  </conditionalFormatting>
  <conditionalFormatting sqref="N1247">
    <cfRule type="expression" dxfId="3957" priority="1432">
      <formula>$H1247="ETAPA"</formula>
    </cfRule>
    <cfRule type="expression" dxfId="3956" priority="1431">
      <formula>$H1247="CÉLULA CONSTRUTIVA"</formula>
    </cfRule>
    <cfRule type="expression" dxfId="3955" priority="1430">
      <formula>$H1247="SUBETAPA"</formula>
    </cfRule>
  </conditionalFormatting>
  <conditionalFormatting sqref="N1248">
    <cfRule type="expression" dxfId="3954" priority="3529">
      <formula>$H1248="SUBETAPA"</formula>
    </cfRule>
    <cfRule type="expression" dxfId="3953" priority="3531">
      <formula>$H1248="ETAPA"</formula>
    </cfRule>
    <cfRule type="expression" dxfId="3952" priority="3530">
      <formula>$H1248="CÉLULA CONSTRUTIVA"</formula>
    </cfRule>
  </conditionalFormatting>
  <conditionalFormatting sqref="N1249">
    <cfRule type="expression" dxfId="3951" priority="1427">
      <formula>$H1249="SUBETAPA"</formula>
    </cfRule>
    <cfRule type="expression" dxfId="3950" priority="1428">
      <formula>$H1249="CÉLULA CONSTRUTIVA"</formula>
    </cfRule>
    <cfRule type="expression" dxfId="3949" priority="1429">
      <formula>$H1249="ETAPA"</formula>
    </cfRule>
  </conditionalFormatting>
  <conditionalFormatting sqref="N1256">
    <cfRule type="expression" dxfId="3948" priority="1424">
      <formula>$H1256="SUBETAPA"</formula>
    </cfRule>
    <cfRule type="expression" dxfId="3947" priority="1426">
      <formula>$H1256="ETAPA"</formula>
    </cfRule>
    <cfRule type="expression" dxfId="3946" priority="1425">
      <formula>$H1256="CÉLULA CONSTRUTIVA"</formula>
    </cfRule>
  </conditionalFormatting>
  <conditionalFormatting sqref="N1261">
    <cfRule type="expression" dxfId="3945" priority="1419">
      <formula>$H1261="CÉLULA CONSTRUTIVA"</formula>
    </cfRule>
    <cfRule type="expression" dxfId="3944" priority="1418">
      <formula>$H1261="SUBETAPA"</formula>
    </cfRule>
    <cfRule type="expression" dxfId="3943" priority="1420">
      <formula>$H1261="ETAPA"</formula>
    </cfRule>
  </conditionalFormatting>
  <conditionalFormatting sqref="N1265">
    <cfRule type="expression" dxfId="3942" priority="3585">
      <formula>$H1265="SUBETAPA"</formula>
    </cfRule>
    <cfRule type="expression" dxfId="3941" priority="3586">
      <formula>$H1265="CÉLULA CONSTRUTIVA"</formula>
    </cfRule>
    <cfRule type="expression" dxfId="3940" priority="3587">
      <formula>$H1265="ETAPA"</formula>
    </cfRule>
  </conditionalFormatting>
  <conditionalFormatting sqref="N1266">
    <cfRule type="expression" dxfId="3939" priority="3557">
      <formula>$H1266="SUBETAPA"</formula>
    </cfRule>
    <cfRule type="expression" dxfId="3938" priority="3558">
      <formula>$H1266="CÉLULA CONSTRUTIVA"</formula>
    </cfRule>
    <cfRule type="expression" dxfId="3937" priority="3559">
      <formula>$H1266="ETAPA"</formula>
    </cfRule>
  </conditionalFormatting>
  <conditionalFormatting sqref="N1267">
    <cfRule type="expression" dxfId="3936" priority="1423">
      <formula>$H1267="ETAPA"</formula>
    </cfRule>
    <cfRule type="expression" dxfId="3935" priority="1422">
      <formula>$H1267="CÉLULA CONSTRUTIVA"</formula>
    </cfRule>
    <cfRule type="expression" dxfId="3934" priority="1421">
      <formula>$H1267="SUBETAPA"</formula>
    </cfRule>
  </conditionalFormatting>
  <conditionalFormatting sqref="N1268">
    <cfRule type="expression" dxfId="3933" priority="3623">
      <formula>$H1268="SUBETAPA"</formula>
    </cfRule>
    <cfRule type="expression" dxfId="3932" priority="3624">
      <formula>$H1268="CÉLULA CONSTRUTIVA"</formula>
    </cfRule>
    <cfRule type="expression" dxfId="3931" priority="3625">
      <formula>$H1268="ETAPA"</formula>
    </cfRule>
  </conditionalFormatting>
  <conditionalFormatting sqref="N1269">
    <cfRule type="expression" dxfId="3930" priority="1415">
      <formula>$H1269="SUBETAPA"</formula>
    </cfRule>
    <cfRule type="expression" dxfId="3929" priority="1416">
      <formula>$H1269="CÉLULA CONSTRUTIVA"</formula>
    </cfRule>
    <cfRule type="expression" dxfId="3928" priority="1417">
      <formula>$H1269="ETAPA"</formula>
    </cfRule>
  </conditionalFormatting>
  <conditionalFormatting sqref="N1276">
    <cfRule type="expression" dxfId="3927" priority="1456">
      <formula>$H1276="ETAPA"</formula>
    </cfRule>
    <cfRule type="expression" dxfId="3926" priority="1455">
      <formula>$H1276="CÉLULA CONSTRUTIVA"</formula>
    </cfRule>
    <cfRule type="expression" dxfId="3925" priority="1454">
      <formula>$H1276="SUBETAPA"</formula>
    </cfRule>
  </conditionalFormatting>
  <conditionalFormatting sqref="N1278">
    <cfRule type="expression" dxfId="3924" priority="1458">
      <formula>$H1278="CÉLULA CONSTRUTIVA"</formula>
    </cfRule>
    <cfRule type="expression" dxfId="3923" priority="1457">
      <formula>$H1278="SUBETAPA"</formula>
    </cfRule>
    <cfRule type="expression" dxfId="3922" priority="1459">
      <formula>$H1278="ETAPA"</formula>
    </cfRule>
  </conditionalFormatting>
  <conditionalFormatting sqref="N1281">
    <cfRule type="expression" dxfId="3921" priority="1461">
      <formula>$H1281="CÉLULA CONSTRUTIVA"</formula>
    </cfRule>
    <cfRule type="expression" dxfId="3920" priority="1462">
      <formula>$H1281="ETAPA"</formula>
    </cfRule>
    <cfRule type="expression" dxfId="3919" priority="1460">
      <formula>$H1281="SUBETAPA"</formula>
    </cfRule>
  </conditionalFormatting>
  <conditionalFormatting sqref="N1286">
    <cfRule type="expression" dxfId="3918" priority="1465">
      <formula>$H1286="ETAPA"</formula>
    </cfRule>
    <cfRule type="expression" dxfId="3917" priority="1464">
      <formula>$H1286="CÉLULA CONSTRUTIVA"</formula>
    </cfRule>
    <cfRule type="expression" dxfId="3916" priority="1463">
      <formula>$H1286="SUBETAPA"</formula>
    </cfRule>
  </conditionalFormatting>
  <conditionalFormatting sqref="N1304">
    <cfRule type="expression" dxfId="3915" priority="12861">
      <formula>$H1304="CÉLULA CONSTRUTIVA"</formula>
    </cfRule>
    <cfRule type="expression" dxfId="3914" priority="12862">
      <formula>$H1304="ETAPA"</formula>
    </cfRule>
  </conditionalFormatting>
  <conditionalFormatting sqref="N1306">
    <cfRule type="expression" dxfId="3913" priority="12859">
      <formula>$H1306="ETAPA"</formula>
    </cfRule>
    <cfRule type="expression" dxfId="3912" priority="12858">
      <formula>$H1306="CÉLULA CONSTRUTIVA"</formula>
    </cfRule>
  </conditionalFormatting>
  <conditionalFormatting sqref="N1307">
    <cfRule type="expression" dxfId="3911" priority="1468">
      <formula>$H1307="ETAPA"</formula>
    </cfRule>
    <cfRule type="expression" dxfId="3910" priority="1466">
      <formula>$H1307="SUBETAPA"</formula>
    </cfRule>
    <cfRule type="expression" dxfId="3909" priority="1467">
      <formula>$H1307="CÉLULA CONSTRUTIVA"</formula>
    </cfRule>
  </conditionalFormatting>
  <conditionalFormatting sqref="N1310">
    <cfRule type="expression" dxfId="3908" priority="12856">
      <formula>$H1310="ETAPA"</formula>
    </cfRule>
    <cfRule type="expression" dxfId="3907" priority="12855">
      <formula>$H1310="CÉLULA CONSTRUTIVA"</formula>
    </cfRule>
  </conditionalFormatting>
  <conditionalFormatting sqref="N1312:N1313">
    <cfRule type="expression" dxfId="3906" priority="12849">
      <formula>$H1312="CÉLULA CONSTRUTIVA"</formula>
    </cfRule>
    <cfRule type="expression" dxfId="3905" priority="12850">
      <formula>$H1312="ETAPA"</formula>
    </cfRule>
  </conditionalFormatting>
  <conditionalFormatting sqref="N1315">
    <cfRule type="expression" dxfId="3904" priority="12846">
      <formula>$H1315="CÉLULA CONSTRUTIVA"</formula>
    </cfRule>
    <cfRule type="expression" dxfId="3903" priority="12847">
      <formula>$H1315="ETAPA"</formula>
    </cfRule>
  </conditionalFormatting>
  <conditionalFormatting sqref="N1319">
    <cfRule type="expression" dxfId="3902" priority="12843">
      <formula>$H1319="CÉLULA CONSTRUTIVA"</formula>
    </cfRule>
    <cfRule type="expression" dxfId="3901" priority="12844">
      <formula>$H1319="ETAPA"</formula>
    </cfRule>
  </conditionalFormatting>
  <conditionalFormatting sqref="N217:O217">
    <cfRule type="expression" dxfId="3900" priority="11673">
      <formula>$H217="SUBETAPA"</formula>
    </cfRule>
  </conditionalFormatting>
  <conditionalFormatting sqref="N220:O220">
    <cfRule type="expression" dxfId="3899" priority="11620">
      <formula>$H220="SUBETAPA"</formula>
    </cfRule>
  </conditionalFormatting>
  <conditionalFormatting sqref="N393:O394">
    <cfRule type="expression" dxfId="3898" priority="11427">
      <formula>$H393="SUBETAPA"</formula>
    </cfRule>
  </conditionalFormatting>
  <conditionalFormatting sqref="N396:O396">
    <cfRule type="expression" dxfId="3897" priority="11424">
      <formula>$H396="SUBETAPA"</formula>
    </cfRule>
  </conditionalFormatting>
  <conditionalFormatting sqref="N398:O400">
    <cfRule type="expression" dxfId="3896" priority="11421">
      <formula>$H398="SUBETAPA"</formula>
    </cfRule>
  </conditionalFormatting>
  <conditionalFormatting sqref="N402:O403">
    <cfRule type="expression" dxfId="3895" priority="11418">
      <formula>$H402="SUBETAPA"</formula>
    </cfRule>
  </conditionalFormatting>
  <conditionalFormatting sqref="N416:O417">
    <cfRule type="expression" dxfId="3894" priority="11481">
      <formula>$H416="SUBETAPA"</formula>
    </cfRule>
  </conditionalFormatting>
  <conditionalFormatting sqref="N430:O431">
    <cfRule type="expression" dxfId="3893" priority="11495">
      <formula>$H430="SUBETAPA"</formula>
    </cfRule>
  </conditionalFormatting>
  <conditionalFormatting sqref="N481:O483 G484:M484 O484:P484">
    <cfRule type="expression" dxfId="3892" priority="11557">
      <formula>$H481="SUBETAPA"</formula>
    </cfRule>
  </conditionalFormatting>
  <conditionalFormatting sqref="N485:O486">
    <cfRule type="expression" dxfId="3891" priority="11551">
      <formula>$H485="SUBETAPA"</formula>
    </cfRule>
  </conditionalFormatting>
  <conditionalFormatting sqref="N492:O494 G495:P495">
    <cfRule type="expression" dxfId="3890" priority="11571">
      <formula>$H492="SUBETAPA"</formula>
    </cfRule>
  </conditionalFormatting>
  <conditionalFormatting sqref="N602:O603">
    <cfRule type="expression" dxfId="3889" priority="13103">
      <formula>$H602="SUBETAPA"</formula>
    </cfRule>
  </conditionalFormatting>
  <conditionalFormatting sqref="N605:O606">
    <cfRule type="expression" dxfId="3888" priority="11385">
      <formula>$H605="SUBETAPA"</formula>
    </cfRule>
  </conditionalFormatting>
  <conditionalFormatting sqref="N613:O613">
    <cfRule type="expression" dxfId="3887" priority="13079">
      <formula>$H613="SUBETAPA"</formula>
    </cfRule>
  </conditionalFormatting>
  <conditionalFormatting sqref="N715:O718">
    <cfRule type="expression" dxfId="3886" priority="12995">
      <formula>$H715="SUBETAPA"</formula>
    </cfRule>
  </conditionalFormatting>
  <conditionalFormatting sqref="N720:O720">
    <cfRule type="expression" dxfId="3885" priority="11346">
      <formula>$H720="SUBETAPA"</formula>
    </cfRule>
  </conditionalFormatting>
  <conditionalFormatting sqref="N723:O723">
    <cfRule type="expression" dxfId="3884" priority="11335">
      <formula>$H723="SUBETAPA"</formula>
    </cfRule>
  </conditionalFormatting>
  <conditionalFormatting sqref="N778:O778 G778">
    <cfRule type="expression" dxfId="3883" priority="10799">
      <formula>$H778="CÉLULA CONSTRUTIVA"</formula>
    </cfRule>
    <cfRule type="expression" dxfId="3882" priority="10798">
      <formula>$H778="SUBETAPA"</formula>
    </cfRule>
    <cfRule type="expression" dxfId="3881" priority="10800">
      <formula>$H778="ETAPA"</formula>
    </cfRule>
  </conditionalFormatting>
  <conditionalFormatting sqref="N784:O787">
    <cfRule type="expression" dxfId="3880" priority="11146">
      <formula>$H784="SUBETAPA"</formula>
    </cfRule>
  </conditionalFormatting>
  <conditionalFormatting sqref="N802:O802">
    <cfRule type="expression" dxfId="3879" priority="11171">
      <formula>$H802="SUBETAPA"</formula>
    </cfRule>
  </conditionalFormatting>
  <conditionalFormatting sqref="N804:O804">
    <cfRule type="expression" dxfId="3878" priority="11160">
      <formula>$H804="SUBETAPA"</formula>
    </cfRule>
  </conditionalFormatting>
  <conditionalFormatting sqref="N817:O817">
    <cfRule type="expression" dxfId="3877" priority="11218">
      <formula>$H817="SUBETAPA"</formula>
    </cfRule>
  </conditionalFormatting>
  <conditionalFormatting sqref="N819:O819">
    <cfRule type="expression" dxfId="3876" priority="11207">
      <formula>$H819="SUBETAPA"</formula>
    </cfRule>
  </conditionalFormatting>
  <conditionalFormatting sqref="N1016:O1016 N1018:O1018">
    <cfRule type="expression" dxfId="3875" priority="12941">
      <formula>$H1016="SUBETAPA"</formula>
    </cfRule>
  </conditionalFormatting>
  <conditionalFormatting sqref="N1025:O1027">
    <cfRule type="expression" dxfId="3874" priority="12935">
      <formula>$H1025="SUBETAPA"</formula>
    </cfRule>
  </conditionalFormatting>
  <conditionalFormatting sqref="N1069:O1071 G1069:I1071">
    <cfRule type="expression" dxfId="3873" priority="6976">
      <formula>$H1069="SUBETAPA"</formula>
    </cfRule>
    <cfRule type="expression" dxfId="3872" priority="6978">
      <formula>$H1069="ETAPA"</formula>
    </cfRule>
    <cfRule type="expression" dxfId="3871" priority="6977">
      <formula>$H1069="CÉLULA CONSTRUTIVA"</formula>
    </cfRule>
  </conditionalFormatting>
  <conditionalFormatting sqref="N1089:O1091 G1089:I1091">
    <cfRule type="expression" dxfId="3870" priority="7012">
      <formula>$H1089="ETAPA"</formula>
    </cfRule>
    <cfRule type="expression" dxfId="3869" priority="7011">
      <formula>$H1089="CÉLULA CONSTRUTIVA"</formula>
    </cfRule>
    <cfRule type="expression" dxfId="3868" priority="7010">
      <formula>$H1089="SUBETAPA"</formula>
    </cfRule>
  </conditionalFormatting>
  <conditionalFormatting sqref="N1162:O1162">
    <cfRule type="expression" dxfId="3867" priority="12923">
      <formula>$H1162="SUBETAPA"</formula>
    </cfRule>
  </conditionalFormatting>
  <conditionalFormatting sqref="N1172:O1172">
    <cfRule type="expression" dxfId="3866" priority="12908">
      <formula>$H1172="SUBETAPA"</formula>
    </cfRule>
  </conditionalFormatting>
  <conditionalFormatting sqref="N1184:O1184">
    <cfRule type="expression" dxfId="3865" priority="12905">
      <formula>$H1184="SUBETAPA"</formula>
    </cfRule>
  </conditionalFormatting>
  <conditionalFormatting sqref="N1209:O1209">
    <cfRule type="expression" dxfId="3864" priority="12869">
      <formula>$H1209="SUBETAPA"</formula>
    </cfRule>
  </conditionalFormatting>
  <conditionalFormatting sqref="N1306:O1306">
    <cfRule type="expression" dxfId="3863" priority="12857">
      <formula>$H1306="SUBETAPA"</formula>
    </cfRule>
  </conditionalFormatting>
  <conditionalFormatting sqref="N226:P226">
    <cfRule type="expression" dxfId="3862" priority="11601">
      <formula>$H226="SUBETAPA"</formula>
    </cfRule>
  </conditionalFormatting>
  <conditionalFormatting sqref="N283:P288">
    <cfRule type="expression" dxfId="3861" priority="11989">
      <formula>$H283="SUBETAPA"</formula>
    </cfRule>
  </conditionalFormatting>
  <conditionalFormatting sqref="N303:P308">
    <cfRule type="expression" dxfId="3860" priority="12053">
      <formula>$H303="SUBETAPA"</formula>
    </cfRule>
  </conditionalFormatting>
  <conditionalFormatting sqref="N314:P314">
    <cfRule type="expression" dxfId="3859" priority="11795">
      <formula>$H314="SUBETAPA"</formula>
    </cfRule>
  </conditionalFormatting>
  <conditionalFormatting sqref="N334:P334">
    <cfRule type="expression" dxfId="3858" priority="11768">
      <formula>$H334="SUBETAPA"</formula>
    </cfRule>
  </conditionalFormatting>
  <conditionalFormatting sqref="N343:P348">
    <cfRule type="expression" dxfId="3857" priority="12181">
      <formula>$H343="SUBETAPA"</formula>
    </cfRule>
  </conditionalFormatting>
  <conditionalFormatting sqref="N354:P354">
    <cfRule type="expression" dxfId="3856" priority="11741">
      <formula>$H354="SUBETAPA"</formula>
    </cfRule>
  </conditionalFormatting>
  <conditionalFormatting sqref="N373:P373">
    <cfRule type="expression" dxfId="3855" priority="11714">
      <formula>$H373="SUBETAPA"</formula>
    </cfRule>
  </conditionalFormatting>
  <conditionalFormatting sqref="N375:P376 G380:P380 G386:N386">
    <cfRule type="expression" dxfId="3854" priority="11711">
      <formula>$H375="SUBETAPA"</formula>
    </cfRule>
  </conditionalFormatting>
  <conditionalFormatting sqref="N659:P662 G656:L662 G664:L664 N664:P664">
    <cfRule type="expression" dxfId="3853" priority="4301">
      <formula>$H656="CÉLULA CONSTRUTIVA"</formula>
    </cfRule>
    <cfRule type="expression" dxfId="3852" priority="4302">
      <formula>$H656="ETAPA"</formula>
    </cfRule>
    <cfRule type="expression" dxfId="3851" priority="4300">
      <formula>$H656="SUBETAPA"</formula>
    </cfRule>
  </conditionalFormatting>
  <conditionalFormatting sqref="N692:P692 G692:L692">
    <cfRule type="expression" dxfId="3850" priority="3095">
      <formula>$H692="ETAPA"</formula>
    </cfRule>
    <cfRule type="expression" dxfId="3849" priority="3094">
      <formula>$H692="CÉLULA CONSTRUTIVA"</formula>
    </cfRule>
    <cfRule type="expression" dxfId="3848" priority="3093">
      <formula>$H692="SUBETAPA"</formula>
    </cfRule>
  </conditionalFormatting>
  <conditionalFormatting sqref="O100:O103">
    <cfRule type="expression" dxfId="3847" priority="398">
      <formula>$H100="CÉLULA CONSTRUTIVA"</formula>
    </cfRule>
    <cfRule type="expression" dxfId="3846" priority="399">
      <formula>$H100="ETAPA"</formula>
    </cfRule>
    <cfRule type="expression" dxfId="3845" priority="397">
      <formula>$H100="SUBETAPA"</formula>
    </cfRule>
  </conditionalFormatting>
  <conditionalFormatting sqref="O105">
    <cfRule type="expression" dxfId="3844" priority="396">
      <formula>$H105="ETAPA"</formula>
    </cfRule>
    <cfRule type="expression" dxfId="3843" priority="395">
      <formula>$H105="CÉLULA CONSTRUTIVA"</formula>
    </cfRule>
    <cfRule type="expression" dxfId="3842" priority="394">
      <formula>$H105="SUBETAPA"</formula>
    </cfRule>
  </conditionalFormatting>
  <conditionalFormatting sqref="O107:O108">
    <cfRule type="expression" dxfId="3841" priority="392">
      <formula>$H107="CÉLULA CONSTRUTIVA"</formula>
    </cfRule>
    <cfRule type="expression" dxfId="3840" priority="391">
      <formula>$H107="SUBETAPA"</formula>
    </cfRule>
    <cfRule type="expression" dxfId="3839" priority="393">
      <formula>$H107="ETAPA"</formula>
    </cfRule>
  </conditionalFormatting>
  <conditionalFormatting sqref="O110">
    <cfRule type="expression" dxfId="3838" priority="390">
      <formula>$H110="ETAPA"</formula>
    </cfRule>
    <cfRule type="expression" dxfId="3837" priority="389">
      <formula>$H110="CÉLULA CONSTRUTIVA"</formula>
    </cfRule>
    <cfRule type="expression" dxfId="3836" priority="388">
      <formula>$H110="SUBETAPA"</formula>
    </cfRule>
  </conditionalFormatting>
  <conditionalFormatting sqref="O114">
    <cfRule type="expression" dxfId="3835" priority="129">
      <formula>$H114="SUBETAPA"</formula>
    </cfRule>
    <cfRule type="expression" dxfId="3834" priority="130">
      <formula>$H114="CÉLULA CONSTRUTIVA"</formula>
    </cfRule>
    <cfRule type="expression" dxfId="3833" priority="131">
      <formula>$H114="ETAPA"</formula>
    </cfRule>
  </conditionalFormatting>
  <conditionalFormatting sqref="O116">
    <cfRule type="expression" dxfId="3832" priority="132">
      <formula>$H116="SUBETAPA"</formula>
    </cfRule>
    <cfRule type="expression" dxfId="3831" priority="134">
      <formula>$H116="ETAPA"</formula>
    </cfRule>
    <cfRule type="expression" dxfId="3830" priority="133">
      <formula>$H116="CÉLULA CONSTRUTIVA"</formula>
    </cfRule>
  </conditionalFormatting>
  <conditionalFormatting sqref="O118">
    <cfRule type="expression" dxfId="3829" priority="379">
      <formula>$H118="SUBETAPA"</formula>
    </cfRule>
    <cfRule type="expression" dxfId="3828" priority="381">
      <formula>$H118="ETAPA"</formula>
    </cfRule>
    <cfRule type="expression" dxfId="3827" priority="380">
      <formula>$H118="CÉLULA CONSTRUTIVA"</formula>
    </cfRule>
  </conditionalFormatting>
  <conditionalFormatting sqref="O120">
    <cfRule type="expression" dxfId="3826" priority="376">
      <formula>$H120="SUBETAPA"</formula>
    </cfRule>
    <cfRule type="expression" dxfId="3825" priority="377">
      <formula>$H120="CÉLULA CONSTRUTIVA"</formula>
    </cfRule>
    <cfRule type="expression" dxfId="3824" priority="378">
      <formula>$H120="ETAPA"</formula>
    </cfRule>
  </conditionalFormatting>
  <conditionalFormatting sqref="O122">
    <cfRule type="expression" dxfId="3823" priority="375">
      <formula>$H122="ETAPA"</formula>
    </cfRule>
    <cfRule type="expression" dxfId="3822" priority="373">
      <formula>$H122="SUBETAPA"</formula>
    </cfRule>
    <cfRule type="expression" dxfId="3821" priority="374">
      <formula>$H122="CÉLULA CONSTRUTIVA"</formula>
    </cfRule>
  </conditionalFormatting>
  <conditionalFormatting sqref="O124">
    <cfRule type="expression" dxfId="3820" priority="121">
      <formula>$H124="CÉLULA CONSTRUTIVA"</formula>
    </cfRule>
    <cfRule type="expression" dxfId="3819" priority="122">
      <formula>$H124="ETAPA"</formula>
    </cfRule>
    <cfRule type="expression" dxfId="3818" priority="120">
      <formula>$H124="SUBETAPA"</formula>
    </cfRule>
  </conditionalFormatting>
  <conditionalFormatting sqref="O126">
    <cfRule type="expression" dxfId="3817" priority="111">
      <formula>$H126="SUBETAPA"</formula>
    </cfRule>
    <cfRule type="expression" dxfId="3816" priority="112">
      <formula>$H126="CÉLULA CONSTRUTIVA"</formula>
    </cfRule>
    <cfRule type="expression" dxfId="3815" priority="113">
      <formula>$H126="ETAPA"</formula>
    </cfRule>
  </conditionalFormatting>
  <conditionalFormatting sqref="O128">
    <cfRule type="expression" dxfId="3814" priority="364">
      <formula>$H128="SUBETAPA"</formula>
    </cfRule>
    <cfRule type="expression" dxfId="3813" priority="365">
      <formula>$H128="CÉLULA CONSTRUTIVA"</formula>
    </cfRule>
    <cfRule type="expression" dxfId="3812" priority="366">
      <formula>$H128="ETAPA"</formula>
    </cfRule>
  </conditionalFormatting>
  <conditionalFormatting sqref="O130">
    <cfRule type="expression" dxfId="3811" priority="100">
      <formula>$H130="CÉLULA CONSTRUTIVA"</formula>
    </cfRule>
    <cfRule type="expression" dxfId="3810" priority="101">
      <formula>$H130="ETAPA"</formula>
    </cfRule>
    <cfRule type="expression" dxfId="3809" priority="99">
      <formula>$H130="SUBETAPA"</formula>
    </cfRule>
  </conditionalFormatting>
  <conditionalFormatting sqref="O133">
    <cfRule type="expression" dxfId="3808" priority="360">
      <formula>$H133="ETAPA"</formula>
    </cfRule>
    <cfRule type="expression" dxfId="3807" priority="359">
      <formula>$H133="CÉLULA CONSTRUTIVA"</formula>
    </cfRule>
    <cfRule type="expression" dxfId="3806" priority="358">
      <formula>$H133="SUBETAPA"</formula>
    </cfRule>
  </conditionalFormatting>
  <conditionalFormatting sqref="O151 O149 O147 O145 O143 O141 O139 O137 O135">
    <cfRule type="expression" dxfId="3805" priority="357">
      <formula>$H135="ETAPA"</formula>
    </cfRule>
    <cfRule type="expression" dxfId="3804" priority="356">
      <formula>$H135="CÉLULA CONSTRUTIVA"</formula>
    </cfRule>
    <cfRule type="expression" dxfId="3803" priority="355">
      <formula>$H135="SUBETAPA"</formula>
    </cfRule>
  </conditionalFormatting>
  <conditionalFormatting sqref="O173:O174 O168:O171 O166 O164 O161:O162 O156:O159 O154">
    <cfRule type="expression" dxfId="3802" priority="354">
      <formula>$H154="ETAPA"</formula>
    </cfRule>
    <cfRule type="expression" dxfId="3801" priority="352">
      <formula>$H154="SUBETAPA"</formula>
    </cfRule>
    <cfRule type="expression" dxfId="3800" priority="353">
      <formula>$H154="CÉLULA CONSTRUTIVA"</formula>
    </cfRule>
  </conditionalFormatting>
  <conditionalFormatting sqref="O187">
    <cfRule type="expression" dxfId="3799" priority="78">
      <formula>$H187="ETAPA"</formula>
    </cfRule>
    <cfRule type="expression" dxfId="3798" priority="77">
      <formula>$H187="CÉLULA CONSTRUTIVA"</formula>
    </cfRule>
    <cfRule type="expression" dxfId="3797" priority="76">
      <formula>$H187="SUBETAPA"</formula>
    </cfRule>
  </conditionalFormatting>
  <conditionalFormatting sqref="O201 O199 O196:O197 O193 O191 O189 O184 O178:O182">
    <cfRule type="expression" dxfId="3796" priority="351">
      <formula>$H178="ETAPA"</formula>
    </cfRule>
    <cfRule type="expression" dxfId="3795" priority="349">
      <formula>$H178="SUBETAPA"</formula>
    </cfRule>
    <cfRule type="expression" dxfId="3794" priority="350">
      <formula>$H178="CÉLULA CONSTRUTIVA"</formula>
    </cfRule>
  </conditionalFormatting>
  <conditionalFormatting sqref="O229:O230">
    <cfRule type="expression" dxfId="3793" priority="51">
      <formula>$H229="CÉLULA CONSTRUTIVA"</formula>
    </cfRule>
    <cfRule type="expression" dxfId="3792" priority="52">
      <formula>$H229="ETAPA"</formula>
    </cfRule>
    <cfRule type="expression" dxfId="3791" priority="50">
      <formula>$H229="SUBETAPA"</formula>
    </cfRule>
  </conditionalFormatting>
  <conditionalFormatting sqref="O240">
    <cfRule type="expression" dxfId="3790" priority="5197">
      <formula>$H240="ETAPA"</formula>
    </cfRule>
    <cfRule type="expression" dxfId="3789" priority="5196">
      <formula>$H240="CÉLULA CONSTRUTIVA"</formula>
    </cfRule>
    <cfRule type="expression" dxfId="3788" priority="5195">
      <formula>$H240="SUBETAPA"</formula>
    </cfRule>
  </conditionalFormatting>
  <conditionalFormatting sqref="O241">
    <cfRule type="expression" dxfId="3787" priority="4708">
      <formula>$H241="ETAPA"</formula>
    </cfRule>
    <cfRule type="expression" dxfId="3786" priority="4707">
      <formula>$H241="CÉLULA CONSTRUTIVA"</formula>
    </cfRule>
    <cfRule type="expression" dxfId="3785" priority="4706">
      <formula>$H241="SUBETAPA"</formula>
    </cfRule>
  </conditionalFormatting>
  <conditionalFormatting sqref="O242">
    <cfRule type="expression" dxfId="3784" priority="4692">
      <formula>$H242="SUBETAPA"</formula>
    </cfRule>
    <cfRule type="expression" dxfId="3783" priority="4693">
      <formula>$H242="CÉLULA CONSTRUTIVA"</formula>
    </cfRule>
    <cfRule type="expression" dxfId="3782" priority="4694">
      <formula>$H242="ETAPA"</formula>
    </cfRule>
  </conditionalFormatting>
  <conditionalFormatting sqref="O270">
    <cfRule type="expression" dxfId="3781" priority="185">
      <formula>$H270="ETAPA"</formula>
    </cfRule>
    <cfRule type="expression" dxfId="3780" priority="184">
      <formula>$H270="CÉLULA CONSTRUTIVA"</formula>
    </cfRule>
    <cfRule type="expression" dxfId="3779" priority="183">
      <formula>$H270="SUBETAPA"</formula>
    </cfRule>
  </conditionalFormatting>
  <conditionalFormatting sqref="O291">
    <cfRule type="expression" dxfId="3778" priority="188">
      <formula>$H291="ETAPA"</formula>
    </cfRule>
    <cfRule type="expression" dxfId="3777" priority="187">
      <formula>$H291="CÉLULA CONSTRUTIVA"</formula>
    </cfRule>
    <cfRule type="expression" dxfId="3776" priority="186">
      <formula>$H291="SUBETAPA"</formula>
    </cfRule>
  </conditionalFormatting>
  <conditionalFormatting sqref="O311">
    <cfRule type="expression" dxfId="3775" priority="175">
      <formula>$H311="CÉLULA CONSTRUTIVA"</formula>
    </cfRule>
    <cfRule type="expression" dxfId="3774" priority="174">
      <formula>$H311="SUBETAPA"</formula>
    </cfRule>
    <cfRule type="expression" dxfId="3773" priority="176">
      <formula>$H311="ETAPA"</formula>
    </cfRule>
  </conditionalFormatting>
  <conditionalFormatting sqref="O318:O321">
    <cfRule type="expression" dxfId="3772" priority="8">
      <formula>$H318="CÉLULA CONSTRUTIVA"</formula>
    </cfRule>
    <cfRule type="expression" dxfId="3771" priority="7">
      <formula>$H318="SUBETAPA"</formula>
    </cfRule>
    <cfRule type="expression" dxfId="3770" priority="9">
      <formula>$H318="ETAPA"</formula>
    </cfRule>
  </conditionalFormatting>
  <conditionalFormatting sqref="O331">
    <cfRule type="expression" dxfId="3769" priority="181">
      <formula>$H331="CÉLULA CONSTRUTIVA"</formula>
    </cfRule>
    <cfRule type="expression" dxfId="3768" priority="182">
      <formula>$H331="ETAPA"</formula>
    </cfRule>
    <cfRule type="expression" dxfId="3767" priority="180">
      <formula>$H331="SUBETAPA"</formula>
    </cfRule>
  </conditionalFormatting>
  <conditionalFormatting sqref="O338:O341">
    <cfRule type="expression" dxfId="3766" priority="4">
      <formula>$H338="SUBETAPA"</formula>
    </cfRule>
    <cfRule type="expression" dxfId="3765" priority="5">
      <formula>$H338="CÉLULA CONSTRUTIVA"</formula>
    </cfRule>
    <cfRule type="expression" dxfId="3764" priority="6">
      <formula>$H338="ETAPA"</formula>
    </cfRule>
  </conditionalFormatting>
  <conditionalFormatting sqref="O351">
    <cfRule type="expression" dxfId="3763" priority="168">
      <formula>$H351="SUBETAPA"</formula>
    </cfRule>
    <cfRule type="expression" dxfId="3762" priority="169">
      <formula>$H351="CÉLULA CONSTRUTIVA"</formula>
    </cfRule>
    <cfRule type="expression" dxfId="3761" priority="170">
      <formula>$H351="ETAPA"</formula>
    </cfRule>
  </conditionalFormatting>
  <conditionalFormatting sqref="O358:O361">
    <cfRule type="expression" dxfId="3760" priority="2">
      <formula>$H358="CÉLULA CONSTRUTIVA"</formula>
    </cfRule>
    <cfRule type="expression" dxfId="3759" priority="1">
      <formula>$H358="SUBETAPA"</formula>
    </cfRule>
    <cfRule type="expression" dxfId="3758" priority="3">
      <formula>$H358="ETAPA"</formula>
    </cfRule>
  </conditionalFormatting>
  <conditionalFormatting sqref="O363:O368">
    <cfRule type="expression" dxfId="3757" priority="160">
      <formula>$H363="CÉLULA CONSTRUTIVA"</formula>
    </cfRule>
    <cfRule type="expression" dxfId="3756" priority="161">
      <formula>$H363="ETAPA"</formula>
    </cfRule>
    <cfRule type="expression" dxfId="3755" priority="159">
      <formula>$H363="SUBETAPA"</formula>
    </cfRule>
  </conditionalFormatting>
  <conditionalFormatting sqref="O370">
    <cfRule type="expression" dxfId="3754" priority="166">
      <formula>$H370="CÉLULA CONSTRUTIVA"</formula>
    </cfRule>
    <cfRule type="expression" dxfId="3753" priority="167">
      <formula>$H370="ETAPA"</formula>
    </cfRule>
    <cfRule type="expression" dxfId="3752" priority="165">
      <formula>$H370="SUBETAPA"</formula>
    </cfRule>
  </conditionalFormatting>
  <conditionalFormatting sqref="O453:O455 G456:M456 O456:P456">
    <cfRule type="expression" dxfId="3751" priority="11529">
      <formula>$H453="SUBETAPA"</formula>
    </cfRule>
  </conditionalFormatting>
  <conditionalFormatting sqref="O542 O540 O537 O535 O533">
    <cfRule type="expression" dxfId="3750" priority="158">
      <formula>$H533="ETAPA"</formula>
    </cfRule>
    <cfRule type="expression" dxfId="3749" priority="156">
      <formula>$H533="SUBETAPA"</formula>
    </cfRule>
    <cfRule type="expression" dxfId="3748" priority="157">
      <formula>$H533="CÉLULA CONSTRUTIVA"</formula>
    </cfRule>
  </conditionalFormatting>
  <conditionalFormatting sqref="O549 O547">
    <cfRule type="expression" dxfId="3747" priority="154">
      <formula>$H547="CÉLULA CONSTRUTIVA"</formula>
    </cfRule>
    <cfRule type="expression" dxfId="3746" priority="155">
      <formula>$H547="ETAPA"</formula>
    </cfRule>
    <cfRule type="expression" dxfId="3745" priority="153">
      <formula>$H547="SUBETAPA"</formula>
    </cfRule>
  </conditionalFormatting>
  <conditionalFormatting sqref="O576 O574 O572 O558 O567 O565 O563 O556 O554">
    <cfRule type="expression" dxfId="3744" priority="150">
      <formula>$H554="SUBETAPA"</formula>
    </cfRule>
    <cfRule type="expression" dxfId="3743" priority="151">
      <formula>$H554="CÉLULA CONSTRUTIVA"</formula>
    </cfRule>
    <cfRule type="expression" dxfId="3742" priority="152">
      <formula>$H554="ETAPA"</formula>
    </cfRule>
  </conditionalFormatting>
  <conditionalFormatting sqref="O584">
    <cfRule type="expression" dxfId="3741" priority="148">
      <formula>$H584="CÉLULA CONSTRUTIVA"</formula>
    </cfRule>
    <cfRule type="expression" dxfId="3740" priority="149">
      <formula>$H584="ETAPA"</formula>
    </cfRule>
    <cfRule type="expression" dxfId="3739" priority="147">
      <formula>$H584="SUBETAPA"</formula>
    </cfRule>
  </conditionalFormatting>
  <conditionalFormatting sqref="O586">
    <cfRule type="expression" dxfId="3738" priority="144">
      <formula>$H586="SUBETAPA"</formula>
    </cfRule>
    <cfRule type="expression" dxfId="3737" priority="145">
      <formula>$H586="CÉLULA CONSTRUTIVA"</formula>
    </cfRule>
    <cfRule type="expression" dxfId="3736" priority="146">
      <formula>$H586="ETAPA"</formula>
    </cfRule>
  </conditionalFormatting>
  <conditionalFormatting sqref="O624 O625:P625 O623:P623">
    <cfRule type="expression" dxfId="3735" priority="3681">
      <formula>$H623="ETAPA"</formula>
    </cfRule>
    <cfRule type="expression" dxfId="3734" priority="3680">
      <formula>$H623="CÉLULA CONSTRUTIVA"</formula>
    </cfRule>
    <cfRule type="expression" dxfId="3733" priority="3679">
      <formula>$H623="SUBETAPA"</formula>
    </cfRule>
  </conditionalFormatting>
  <conditionalFormatting sqref="O632 O633:P633 O631:P631">
    <cfRule type="expression" dxfId="3732" priority="3733">
      <formula>$H631="ETAPA"</formula>
    </cfRule>
    <cfRule type="expression" dxfId="3731" priority="3732">
      <formula>$H631="CÉLULA CONSTRUTIVA"</formula>
    </cfRule>
    <cfRule type="expression" dxfId="3730" priority="3731">
      <formula>$H631="SUBETAPA"</formula>
    </cfRule>
  </conditionalFormatting>
  <conditionalFormatting sqref="O640 O641:P641 O639:P639">
    <cfRule type="expression" dxfId="3729" priority="4197">
      <formula>$H639="SUBETAPA"</formula>
    </cfRule>
    <cfRule type="expression" dxfId="3728" priority="4198">
      <formula>$H639="CÉLULA CONSTRUTIVA"</formula>
    </cfRule>
    <cfRule type="expression" dxfId="3727" priority="4199">
      <formula>$H639="ETAPA"</formula>
    </cfRule>
  </conditionalFormatting>
  <conditionalFormatting sqref="O688 O687:P687">
    <cfRule type="expression" dxfId="3726" priority="3115">
      <formula>$H687="SUBETAPA"</formula>
    </cfRule>
    <cfRule type="expression" dxfId="3725" priority="3116">
      <formula>$H687="CÉLULA CONSTRUTIVA"</formula>
    </cfRule>
    <cfRule type="expression" dxfId="3724" priority="3117">
      <formula>$H687="ETAPA"</formula>
    </cfRule>
  </conditionalFormatting>
  <conditionalFormatting sqref="O695:O696 N700:P700 N697:P697 G693:P694">
    <cfRule type="expression" dxfId="3723" priority="3897">
      <formula>$H693="SUBETAPA"</formula>
    </cfRule>
    <cfRule type="expression" dxfId="3722" priority="3899">
      <formula>$H693="ETAPA"</formula>
    </cfRule>
    <cfRule type="expression" dxfId="3721" priority="3898">
      <formula>$H693="CÉLULA CONSTRUTIVA"</formula>
    </cfRule>
  </conditionalFormatting>
  <conditionalFormatting sqref="O713 G713 K713:L713">
    <cfRule type="expression" dxfId="3720" priority="10577">
      <formula>$H713="CÉLULA CONSTRUTIVA"</formula>
    </cfRule>
    <cfRule type="expression" dxfId="3719" priority="10576">
      <formula>$H713="SUBETAPA"</formula>
    </cfRule>
    <cfRule type="expression" dxfId="3718" priority="10578">
      <formula>$H713="ETAPA"</formula>
    </cfRule>
  </conditionalFormatting>
  <conditionalFormatting sqref="O727 K727:L727">
    <cfRule type="expression" dxfId="3717" priority="10997">
      <formula>$H727="SUBETAPA"</formula>
    </cfRule>
    <cfRule type="expression" dxfId="3716" priority="10998">
      <formula>$H727="CÉLULA CONSTRUTIVA"</formula>
    </cfRule>
    <cfRule type="expression" dxfId="3715" priority="10999">
      <formula>$H727="ETAPA"</formula>
    </cfRule>
  </conditionalFormatting>
  <conditionalFormatting sqref="O782">
    <cfRule type="expression" dxfId="3714" priority="11138">
      <formula>$H782="SUBETAPA"</formula>
    </cfRule>
    <cfRule type="expression" dxfId="3713" priority="11139">
      <formula>$H782="CÉLULA CONSTRUTIVA"</formula>
    </cfRule>
    <cfRule type="expression" dxfId="3712" priority="11140">
      <formula>$H782="ETAPA"</formula>
    </cfRule>
  </conditionalFormatting>
  <conditionalFormatting sqref="O895:O896 G895:L895 G896:K896 L896:L898">
    <cfRule type="expression" dxfId="3711" priority="9706">
      <formula>$H895="ETAPA"</formula>
    </cfRule>
    <cfRule type="expression" dxfId="3710" priority="9704">
      <formula>$H895="SUBETAPA"</formula>
    </cfRule>
    <cfRule type="expression" dxfId="3709" priority="9705">
      <formula>$H895="CÉLULA CONSTRUTIVA"</formula>
    </cfRule>
  </conditionalFormatting>
  <conditionalFormatting sqref="O911 G911:L911">
    <cfRule type="expression" dxfId="3708" priority="9617">
      <formula>$H911="ETAPA"</formula>
    </cfRule>
    <cfRule type="expression" dxfId="3707" priority="9616">
      <formula>$H911="CÉLULA CONSTRUTIVA"</formula>
    </cfRule>
    <cfRule type="expression" dxfId="3706" priority="9615">
      <formula>$H911="SUBETAPA"</formula>
    </cfRule>
  </conditionalFormatting>
  <conditionalFormatting sqref="O912 G912:L912">
    <cfRule type="expression" dxfId="3705" priority="9582">
      <formula>$H912="SUBETAPA"</formula>
    </cfRule>
    <cfRule type="expression" dxfId="3704" priority="9584">
      <formula>$H912="ETAPA"</formula>
    </cfRule>
    <cfRule type="expression" dxfId="3703" priority="9583">
      <formula>$H912="CÉLULA CONSTRUTIVA"</formula>
    </cfRule>
  </conditionalFormatting>
  <conditionalFormatting sqref="O920 G920:L920">
    <cfRule type="expression" dxfId="3702" priority="9525">
      <formula>$H920="SUBETAPA"</formula>
    </cfRule>
    <cfRule type="expression" dxfId="3701" priority="9526">
      <formula>$H920="CÉLULA CONSTRUTIVA"</formula>
    </cfRule>
    <cfRule type="expression" dxfId="3700" priority="9527">
      <formula>$H920="ETAPA"</formula>
    </cfRule>
  </conditionalFormatting>
  <conditionalFormatting sqref="O928 G928:L928">
    <cfRule type="expression" dxfId="3699" priority="7895">
      <formula>$H928="ETAPA"</formula>
    </cfRule>
    <cfRule type="expression" dxfId="3698" priority="7894">
      <formula>$H928="CÉLULA CONSTRUTIVA"</formula>
    </cfRule>
    <cfRule type="expression" dxfId="3697" priority="7893">
      <formula>$H928="SUBETAPA"</formula>
    </cfRule>
  </conditionalFormatting>
  <conditionalFormatting sqref="O929 G929:L929">
    <cfRule type="expression" dxfId="3696" priority="7860">
      <formula>$H929="SUBETAPA"</formula>
    </cfRule>
    <cfRule type="expression" dxfId="3695" priority="7861">
      <formula>$H929="CÉLULA CONSTRUTIVA"</formula>
    </cfRule>
    <cfRule type="expression" dxfId="3694" priority="7862">
      <formula>$H929="ETAPA"</formula>
    </cfRule>
  </conditionalFormatting>
  <conditionalFormatting sqref="O939 G939:L939">
    <cfRule type="expression" dxfId="3693" priority="8180">
      <formula>$H939="SUBETAPA"</formula>
    </cfRule>
    <cfRule type="expression" dxfId="3692" priority="8182">
      <formula>$H939="ETAPA"</formula>
    </cfRule>
    <cfRule type="expression" dxfId="3691" priority="8181">
      <formula>$H939="CÉLULA CONSTRUTIVA"</formula>
    </cfRule>
  </conditionalFormatting>
  <conditionalFormatting sqref="O940 G940:L940">
    <cfRule type="expression" dxfId="3690" priority="8149">
      <formula>$H940="ETAPA"</formula>
    </cfRule>
    <cfRule type="expression" dxfId="3689" priority="8148">
      <formula>$H940="CÉLULA CONSTRUTIVA"</formula>
    </cfRule>
    <cfRule type="expression" dxfId="3688" priority="8147">
      <formula>$H940="SUBETAPA"</formula>
    </cfRule>
  </conditionalFormatting>
  <conditionalFormatting sqref="O949 G949:L949">
    <cfRule type="expression" dxfId="3687" priority="8435">
      <formula>$H949="CÉLULA CONSTRUTIVA"</formula>
    </cfRule>
    <cfRule type="expression" dxfId="3686" priority="8436">
      <formula>$H949="ETAPA"</formula>
    </cfRule>
    <cfRule type="expression" dxfId="3685" priority="8434">
      <formula>$H949="SUBETAPA"</formula>
    </cfRule>
  </conditionalFormatting>
  <conditionalFormatting sqref="O954:O955 G954:L954 G955:K955">
    <cfRule type="expression" dxfId="3684" priority="8831">
      <formula>$H954="ETAPA"</formula>
    </cfRule>
    <cfRule type="expression" dxfId="3683" priority="8830">
      <formula>$H954="CÉLULA CONSTRUTIVA"</formula>
    </cfRule>
    <cfRule type="expression" dxfId="3682" priority="8829">
      <formula>$H954="SUBETAPA"</formula>
    </cfRule>
  </conditionalFormatting>
  <conditionalFormatting sqref="O974 G974:L974">
    <cfRule type="expression" dxfId="3681" priority="8754">
      <formula>$H974="SUBETAPA"</formula>
    </cfRule>
    <cfRule type="expression" dxfId="3680" priority="8756">
      <formula>$H974="ETAPA"</formula>
    </cfRule>
    <cfRule type="expression" dxfId="3679" priority="8755">
      <formula>$H974="CÉLULA CONSTRUTIVA"</formula>
    </cfRule>
  </conditionalFormatting>
  <conditionalFormatting sqref="O975 G975:L975">
    <cfRule type="expression" dxfId="3678" priority="8721">
      <formula>$H975="SUBETAPA"</formula>
    </cfRule>
    <cfRule type="expression" dxfId="3677" priority="8723">
      <formula>$H975="ETAPA"</formula>
    </cfRule>
    <cfRule type="expression" dxfId="3676" priority="8722">
      <formula>$H975="CÉLULA CONSTRUTIVA"</formula>
    </cfRule>
  </conditionalFormatting>
  <conditionalFormatting sqref="O984 G984:L984">
    <cfRule type="expression" dxfId="3675" priority="8664">
      <formula>$H984="SUBETAPA"</formula>
    </cfRule>
    <cfRule type="expression" dxfId="3674" priority="8665">
      <formula>$H984="CÉLULA CONSTRUTIVA"</formula>
    </cfRule>
    <cfRule type="expression" dxfId="3673" priority="8666">
      <formula>$H984="ETAPA"</formula>
    </cfRule>
  </conditionalFormatting>
  <conditionalFormatting sqref="O987:O988 G987:L987 G988:K988">
    <cfRule type="expression" dxfId="3672" priority="9117">
      <formula>$H987="CÉLULA CONSTRUTIVA"</formula>
    </cfRule>
    <cfRule type="expression" dxfId="3671" priority="9118">
      <formula>$H987="ETAPA"</formula>
    </cfRule>
    <cfRule type="expression" dxfId="3670" priority="9116">
      <formula>$H987="SUBETAPA"</formula>
    </cfRule>
  </conditionalFormatting>
  <conditionalFormatting sqref="O1002 G1002:L1002">
    <cfRule type="expression" dxfId="3669" priority="9010">
      <formula>$H1002="ETAPA"</formula>
    </cfRule>
    <cfRule type="expression" dxfId="3668" priority="9009">
      <formula>$H1002="CÉLULA CONSTRUTIVA"</formula>
    </cfRule>
    <cfRule type="expression" dxfId="3667" priority="9008">
      <formula>$H1002="SUBETAPA"</formula>
    </cfRule>
  </conditionalFormatting>
  <conditionalFormatting sqref="O1012 G1012:L1012">
    <cfRule type="expression" dxfId="3666" priority="8952">
      <formula>$H1012="CÉLULA CONSTRUTIVA"</formula>
    </cfRule>
    <cfRule type="expression" dxfId="3665" priority="8951">
      <formula>$H1012="SUBETAPA"</formula>
    </cfRule>
    <cfRule type="expression" dxfId="3664" priority="8953">
      <formula>$H1012="ETAPA"</formula>
    </cfRule>
  </conditionalFormatting>
  <conditionalFormatting sqref="O1017 G1017:L1017">
    <cfRule type="expression" dxfId="3663" priority="3092">
      <formula>$H1017="ETAPA"</formula>
    </cfRule>
    <cfRule type="expression" dxfId="3662" priority="3090">
      <formula>$H1017="SUBETAPA"</formula>
    </cfRule>
    <cfRule type="expression" dxfId="3661" priority="3091">
      <formula>$H1017="CÉLULA CONSTRUTIVA"</formula>
    </cfRule>
  </conditionalFormatting>
  <conditionalFormatting sqref="O1036 G1048:L1048 G1044:L1045 O1045:O1047 G1034:L1035 G1046:K1047 N1048:O1048 N1044:O1044 N1039:O1039 N1034:P1035 G1038:L1039 O1038 G1036:I1036 K1036:L1036">
    <cfRule type="expression" dxfId="3660" priority="6991">
      <formula>$H1034="CÉLULA CONSTRUTIVA"</formula>
    </cfRule>
    <cfRule type="expression" dxfId="3659" priority="6990">
      <formula>$H1034="SUBETAPA"</formula>
    </cfRule>
    <cfRule type="expression" dxfId="3658" priority="6992">
      <formula>$H1034="ETAPA"</formula>
    </cfRule>
  </conditionalFormatting>
  <conditionalFormatting sqref="O1056 G1068:L1068 G1064:L1065 O1065:O1067 G1054:L1055 G1066:K1067 N1068:O1068 N1064:O1064 N1059:O1059 N1054:P1055 G1058:L1059 O1058 G1056:I1056 K1056:L1056">
    <cfRule type="expression" dxfId="3657" priority="6973">
      <formula>$H1054="SUBETAPA"</formula>
    </cfRule>
    <cfRule type="expression" dxfId="3656" priority="6975">
      <formula>$H1054="ETAPA"</formula>
    </cfRule>
    <cfRule type="expression" dxfId="3655" priority="6974">
      <formula>$H1054="CÉLULA CONSTRUTIVA"</formula>
    </cfRule>
  </conditionalFormatting>
  <conditionalFormatting sqref="O1057 G1057:I1057 K1057:L1057">
    <cfRule type="expression" dxfId="3654" priority="3029">
      <formula>$H1057="ETAPA"</formula>
    </cfRule>
    <cfRule type="expression" dxfId="3653" priority="3028">
      <formula>$H1057="CÉLULA CONSTRUTIVA"</formula>
    </cfRule>
    <cfRule type="expression" dxfId="3652" priority="3027">
      <formula>$H1057="SUBETAPA"</formula>
    </cfRule>
  </conditionalFormatting>
  <conditionalFormatting sqref="O1076 G1084:L1088 O1085:O1087 G1074:L1075 N1088:O1088 N1084:O1084 N1079:O1079 N1074:P1075 G1078:L1079 O1078 G1076:I1076 K1076:L1076">
    <cfRule type="expression" dxfId="3651" priority="7007">
      <formula>$H1074="SUBETAPA"</formula>
    </cfRule>
    <cfRule type="expression" dxfId="3650" priority="7008">
      <formula>$H1074="CÉLULA CONSTRUTIVA"</formula>
    </cfRule>
    <cfRule type="expression" dxfId="3649" priority="7009">
      <formula>$H1074="ETAPA"</formula>
    </cfRule>
  </conditionalFormatting>
  <conditionalFormatting sqref="O1077 G1077:I1077 K1077:L1077">
    <cfRule type="expression" dxfId="3648" priority="3006">
      <formula>$H1077="ETAPA"</formula>
    </cfRule>
    <cfRule type="expression" dxfId="3647" priority="3005">
      <formula>$H1077="CÉLULA CONSTRUTIVA"</formula>
    </cfRule>
    <cfRule type="expression" dxfId="3646" priority="3004">
      <formula>$H1077="SUBETAPA"</formula>
    </cfRule>
  </conditionalFormatting>
  <conditionalFormatting sqref="O1170 G1169:M1169 O1169:P1169 G1170:L1170">
    <cfRule type="expression" dxfId="3645" priority="1543">
      <formula>$H1169="SUBETAPA"</formula>
    </cfRule>
    <cfRule type="expression" dxfId="3644" priority="1544">
      <formula>$H1169="CÉLULA CONSTRUTIVA"</formula>
    </cfRule>
    <cfRule type="expression" dxfId="3643" priority="1545">
      <formula>$H1169="ETAPA"</formula>
    </cfRule>
  </conditionalFormatting>
  <conditionalFormatting sqref="O1202:O1204">
    <cfRule type="expression" dxfId="3642" priority="600">
      <formula>$H1202="ETAPA"</formula>
    </cfRule>
    <cfRule type="expression" dxfId="3641" priority="598">
      <formula>$H1202="SUBETAPA"</formula>
    </cfRule>
    <cfRule type="expression" dxfId="3640" priority="599">
      <formula>$H1202="CÉLULA CONSTRUTIVA"</formula>
    </cfRule>
  </conditionalFormatting>
  <conditionalFormatting sqref="O1206">
    <cfRule type="expression" dxfId="3639" priority="597">
      <formula>$H1206="ETAPA"</formula>
    </cfRule>
    <cfRule type="expression" dxfId="3638" priority="596">
      <formula>$H1206="CÉLULA CONSTRUTIVA"</formula>
    </cfRule>
    <cfRule type="expression" dxfId="3637" priority="595">
      <formula>$H1206="SUBETAPA"</formula>
    </cfRule>
  </conditionalFormatting>
  <conditionalFormatting sqref="O1215">
    <cfRule type="expression" dxfId="3636" priority="584">
      <formula>$H1215="SUBETAPA"</formula>
    </cfRule>
    <cfRule type="expression" dxfId="3635" priority="585">
      <formula>$H1215="CÉLULA CONSTRUTIVA"</formula>
    </cfRule>
    <cfRule type="expression" dxfId="3634" priority="586">
      <formula>$H1215="ETAPA"</formula>
    </cfRule>
  </conditionalFormatting>
  <conditionalFormatting sqref="O1301:O1302">
    <cfRule type="expression" dxfId="3633" priority="549">
      <formula>$H1301="ETAPA"</formula>
    </cfRule>
    <cfRule type="expression" dxfId="3632" priority="548">
      <formula>$H1301="CÉLULA CONSTRUTIVA"</formula>
    </cfRule>
    <cfRule type="expression" dxfId="3631" priority="547">
      <formula>$H1301="SUBETAPA"</formula>
    </cfRule>
  </conditionalFormatting>
  <conditionalFormatting sqref="O26:P26 G26:L26">
    <cfRule type="expression" dxfId="3630" priority="636">
      <formula>$H26="ETAPA"</formula>
    </cfRule>
    <cfRule type="expression" dxfId="3629" priority="635">
      <formula>$H26="CÉLULA CONSTRUTIVA"</formula>
    </cfRule>
    <cfRule type="expression" dxfId="3628" priority="634">
      <formula>$H26="SUBETAPA"</formula>
    </cfRule>
  </conditionalFormatting>
  <conditionalFormatting sqref="O111:P113 O115:P115 O117:P117 O119:P119 G110:L119">
    <cfRule type="expression" dxfId="3627" priority="923">
      <formula>$H110="SUBETAPA"</formula>
    </cfRule>
    <cfRule type="expression" dxfId="3626" priority="924">
      <formula>$H110="CÉLULA CONSTRUTIVA"</formula>
    </cfRule>
    <cfRule type="expression" dxfId="3625" priority="925">
      <formula>$H110="ETAPA"</formula>
    </cfRule>
  </conditionalFormatting>
  <conditionalFormatting sqref="O186:P186 G186:L186">
    <cfRule type="expression" dxfId="3624" priority="89">
      <formula>$H186="CÉLULA CONSTRUTIVA"</formula>
    </cfRule>
    <cfRule type="expression" dxfId="3623" priority="90">
      <formula>$H186="ETAPA"</formula>
    </cfRule>
    <cfRule type="expression" dxfId="3622" priority="88">
      <formula>$H186="SUBETAPA"</formula>
    </cfRule>
  </conditionalFormatting>
  <conditionalFormatting sqref="O198:P198 G198:L201 O200:P200 G203:P211 G212:L212 N212:P212 G214:P214 G222:L224 N222:P224 G227 I227:P227 G228:P228 G229:L230 N229:N230 P230 G231:P231 G232:L233 N232:P233 K234:P234 G234:I235 K235:L235 N235:P235 M240 G243:P243 H243:H249 G244:L249 N244:O249 G250:P250 G251:L251 N251:O251 G252:P252 G253:L253 N253:P253 G254:P254 N257:P260 G260:L260 G261:M261 N262:O267 G268:O268 G269:M269 G270:L270 G271:M272 O272 M273 G274:M274 G275:O275 N278:P281 G280:I280 K280:L280 G281:L281 G282:M282 N283:O288 O289 G290:M290 G295:P295 N298:P301 G301:L301 G302:M302 N303:O308 O309 G310:M310 G312:I312 K312:M312 G314:M315 M315:P315 N318:N320 P318:P320 G322:M322 G323:L323 M323:O328 O329 G330:M330 G332:I332 K332:M332 G334:M335 M335:P335 N338:N340 P338:P340 G342:M342 N343:O348 G344:L348 O349 G352:I352 K352:M352 G354:M355 M355:P355 N358:N360 P358:P360 G362:M362 N363:N367 P363:P367 M363:M368 G364:L367 G369:M369 G371:I371 K371:M371 G373:M374 M374:P374 N377:P379 G379:I379 K379:L379 G380:M380 G381:L385 N381:P385 G386:M386 O388:P388 G388:M389 N389:P389 G393:K394 O393:O394 L393:L400 N395:P395 G396:K396 O396 N397:P397 G398:K400 O398:O400 G401:L401 N401:P401 G410:L410 N410:O410 G424:L424 N424:O424 G438:L438 O438 G448:L449 N448:O449 G451:L451 O451 G476:L477 N476:O477 G479:L479 N479:O479 G489:L490 N489:O490 G496:L496 N496:O496 G497:P498 G499:M499 O499:P499 G500:L500 N500:O500 G501:M501 O501:P501 G502:L502 N502:O502 G503:M503 O503:P503 G504:L504 N504:O504 G505:M505 O505:P505 G506:L506 N506:O506 G507:M507 O507:P507 G508:L508 N508:O508 G509:M509 O509:P509 G510:L510 N510:O510 G511:M511 O511:P511 G512:L512 N512:O512 G513:P515 G516:L516 N516:O516 G517:P517 G518:M518 O518:P518 G521:M521 O521:P521 G522:L522 O522 G523:M523 O523:P523 G524:L524 O524 G525:M525 O525:P525 G526:L526 O526 G527:M527 O527:P527 G528:L528 O528 G529:M529 O529:P529 G530:L530 O530 G579:P580 G583:P583 G584:L584 N584 G585:P585 G586:L586 N586 G587:P587 G588:L588 N588:O588 G589:P591 G592:O593 G594:P594 G596:L596 N596:O596 G599:P600 G602:M603 G604:L604 M604:M606 M608:M609 P609 G612:M616 N615:P616 G617:P620 G628:P628 G636:P636 G639:M643 N642:P643 G646:L648 M646:M653 M656:M662 M664 G667:P667 G668:L668 M668:M679 G673:L679 N676:P679 G682:L684 M682:M686 G689:M691 N690:P691 G695:L697 M695:M699 G700:M702 N701:P702 G705:P705 G706:L706 N706:O707 G707:K707 L707:L710 G715:L716 N715:O716 K726:L726 O726:P726 G726:J727 G782 K783:L784 M794:P794 G794:G795 K795:L795 N795:O795 G798 K798:M798 O798:P798 G807:P807 M809:P809 G809:G810 K810:L810 N810:O810 K812:L813 G812:G815 L814 G823:G826 G833:P834 G835:M835 O835:P835 G836:L836 N836:O836 G837:M837 O837:P837 N838:O838 G838:L839 N839:P839 G840:M840 O840:P840 G841:L841 N841:O841 M846:M847 P847 M854:M855 P855 M862:M863 P863 M870:M871 P871 M878:M879 P879 G882:P882 G883:M883 O883:P883 G884:L884 N884:O884 G885:P885 G886:L886 N886:O886 G887:P887 G888:M888 O888:P888 G889:L889 N889:O889 G890:P890 G891:L891 N891:O891 G899:L899 N899:O899 G902:K902 N902:O902 G906:M906 O906:P906 G907:L907 N907:O907 G909:L909 N909:O909 M911:M912 P911:P912 G923:I923 K923:L923 N923:O924 G924:L924 G925:M925 O925:P925 G926:L926 N926:O926 G934:L934 N934:O934 L935 G936:M936 O936:P936 G937:L937 N937:O937 G945:L945 N945:O945 G946:M946 O946:P946 G947:L947 N947:O947 L955:L956 G956:K956 N956:O956 L966 N972:O972 L988:L989 G989:K989 N989:O989 G992:M992 O992:P992 L993 G999:L999 N999:O999 L1000 M1016:M1036 G1020:K1022 N1020:O1022 G1029:K1029 N1029:O1029 P1031 M1038:M1056 G1043:K1043 N1043:O1043 P1049:P1053 G1053:I1053 N1053:O1053 M1058:M1076 G1060:K1063 N1060:O1063 P1069:P1073 G1073:I1073 N1073:O1073 M1078:M1150 G1080:K1083 N1080:O1083 P1089:P1093 G1093:I1093 N1093:O1093 G1096:L1096 N1096:O1096 G1098:K1101 N1098:O1101 G1107:I1107 N1107:O1107 K1107:K1110 P1107:P1110 G1109:I1110 N1109:O1110 G1113:L1113 N1113:O1113 G1115:K1117 N1115:O1117 G1123:K1123 N1123:P1125 G1124:I1125 K1124:K1125 G1128:L1128 N1128:O1128 G1130:K1133 N1130:O1133 G1139:K1139 O1139:O1140 P1139:P1141 G1140:I1140 K1140 G1142:L1142 N1142:P1142 N1144:O1144 G1144:K1145 O1145 G1151:I1152 M1151:P1152 G1161:O1161 G1163:M1163 O1163:P1163 G1164:L1167 N1164:O1167 G1173:M1173 O1173:P1173 L1174:M1174 P1174:P1177 G1175:O1175 G1177:O1177 G1180:M1180 O1180:P1180 G1181:O1182 G1188:L1188 N1188:O1188 M1191:P1191 G1194:L1195 N1194:O1195 G1197:L1197 N1197:O1197 M1199:M1204 G1211:L1213 N1211:O1213 G1222:L1224 N1223:O1224 M1223:M1226 G1227:L1229 G1230:O1232 N1240:O1242 M1240:M1244 G1241:L1242 G1245:L1249 M1246:O1246 N1262:O1264 M1262:M1266 G1263:L1264 G1267:L1269 G1274:P1275 G1276:M1276 O1276:P1276 G1277:L1277 N1277:P1277 G1278:M1278 O1278:P1278 G1279:L1279 N1279:P1279 G1280:P1280 G1281:M1281 O1281:P1281 G1282:O1282 G1283:P1285 G1286:M1286 O1286:P1286 G1287:P1287 G1290:P1297 G1301:N1301 P1301 G1307:M1307 O1307:P1307 G1308:O1308">
    <cfRule type="expression" dxfId="3621" priority="13149">
      <formula>$H198="CÉLULA CONSTRUTIVA"</formula>
    </cfRule>
    <cfRule type="expression" dxfId="3620" priority="13150">
      <formula>$H198="ETAPA"</formula>
    </cfRule>
  </conditionalFormatting>
  <conditionalFormatting sqref="O255:P256 O261:P261 O269:P269 O271:P271 O274:P274">
    <cfRule type="expression" dxfId="3619" priority="11943">
      <formula>$H255="ETAPA"</formula>
    </cfRule>
    <cfRule type="expression" dxfId="3618" priority="11942">
      <formula>$H255="CÉLULA CONSTRUTIVA"</formula>
    </cfRule>
  </conditionalFormatting>
  <conditionalFormatting sqref="O271:P271">
    <cfRule type="expression" dxfId="3617" priority="11941">
      <formula>$H271="SUBETAPA"</formula>
    </cfRule>
  </conditionalFormatting>
  <conditionalFormatting sqref="O276:P277 O282:P282 O290:P290 O292:P292 O294:P294">
    <cfRule type="expression" dxfId="3616" priority="12007">
      <formula>$H276="ETAPA"</formula>
    </cfRule>
    <cfRule type="expression" dxfId="3615" priority="12006">
      <formula>$H276="CÉLULA CONSTRUTIVA"</formula>
    </cfRule>
  </conditionalFormatting>
  <conditionalFormatting sqref="O292:P292">
    <cfRule type="expression" dxfId="3614" priority="12005">
      <formula>$H292="SUBETAPA"</formula>
    </cfRule>
  </conditionalFormatting>
  <conditionalFormatting sqref="O296:P297 O302:P302 O310:P310 O312:P312 O314:P314">
    <cfRule type="expression" dxfId="3613" priority="12071">
      <formula>$H296="ETAPA"</formula>
    </cfRule>
    <cfRule type="expression" dxfId="3612" priority="12070">
      <formula>$H296="CÉLULA CONSTRUTIVA"</formula>
    </cfRule>
  </conditionalFormatting>
  <conditionalFormatting sqref="O312:P312">
    <cfRule type="expression" dxfId="3611" priority="12069">
      <formula>$H312="SUBETAPA"</formula>
    </cfRule>
  </conditionalFormatting>
  <conditionalFormatting sqref="O316:P317 O322:P322 O330:P330 O332:P332 O334:P334">
    <cfRule type="expression" dxfId="3610" priority="12134">
      <formula>$H316="CÉLULA CONSTRUTIVA"</formula>
    </cfRule>
    <cfRule type="expression" dxfId="3609" priority="12135">
      <formula>$H316="ETAPA"</formula>
    </cfRule>
  </conditionalFormatting>
  <conditionalFormatting sqref="O316:P317 O322:P322 O332:P332">
    <cfRule type="expression" dxfId="3608" priority="12133">
      <formula>$H316="SUBETAPA"</formula>
    </cfRule>
  </conditionalFormatting>
  <conditionalFormatting sqref="O336:P337 O342:P342 O350:P350 O352:P352 O354:P354">
    <cfRule type="expression" dxfId="3607" priority="12198">
      <formula>$H336="CÉLULA CONSTRUTIVA"</formula>
    </cfRule>
    <cfRule type="expression" dxfId="3606" priority="12199">
      <formula>$H336="ETAPA"</formula>
    </cfRule>
  </conditionalFormatting>
  <conditionalFormatting sqref="O336:P337 O352:P352">
    <cfRule type="expression" dxfId="3605" priority="12197">
      <formula>$H336="SUBETAPA"</formula>
    </cfRule>
  </conditionalFormatting>
  <conditionalFormatting sqref="O375:P376 O380:P380 O386:P386 O387">
    <cfRule type="expression" dxfId="3604" priority="12262">
      <formula>$H375="CÉLULA CONSTRUTIVA"</formula>
    </cfRule>
    <cfRule type="expression" dxfId="3603" priority="12263">
      <formula>$H375="ETAPA"</formula>
    </cfRule>
  </conditionalFormatting>
  <conditionalFormatting sqref="O386:P388">
    <cfRule type="expression" dxfId="3602" priority="12237">
      <formula>$H386="SUBETAPA"</formula>
    </cfRule>
  </conditionalFormatting>
  <conditionalFormatting sqref="P1:P5 P7 P203:P212 P214:P216 P221:P225 P227:P228 P230:P235 P238:P239 P243 P250 P252:P254 P388 P390:P392 P395 P397 P401 P404:P405 P409 P411 P415 P418:P419 P423 P425 P429 P432:P433 P437 P439 P443 P446:P447 P450 P452 P456 P474:P475 P478 P480 P484 P487:P488 P491 P495 P497:P499 P501 P503 P505 P507 P509 P511 P513:P515 P517:P518 P521 P523 P525 P529 P579:P580 P583 P585 P587 P589:P591 P594 P597:P599 P601 P604 P612 P614:P617 P619 P641:P643 P675:P679 P703:P705 P714 P793:P794 P798 P812 P833:P835 P837 P839:P840 P847 P855 P863 P871 P879 P885 P890 P908 P911:P912 P1013:P1015 P1019 P1024 P1031 P1034:P1035 P1054:P1055 P1074:P1075 P1094:P1095 P1097 P1102 P1106:P1112 P1114 P1118 P1122 P1126:P1127 P1129 P1134 P1138 P1142:P1143 P1146 P1150:P1155 P1158 P1163 P1171 P1173:P1177 P1180 P1183 P1185:P1187 P1191:P1193 P1198 P1205 P1208 P1210 P1229 P1274:P1276 P1278 P1280:P1281 P1290:P1292 P1294 P1296 P1298:P1300 P1303 P1305 P1307 P1309 P1311 P1314 P1316:P1318">
    <cfRule type="containsText" dxfId="3601" priority="13159" operator="containsText" text="Finalizado">
      <formula>NOT(ISERROR(SEARCH("Finalizado",P1)))</formula>
    </cfRule>
    <cfRule type="containsText" dxfId="3600" priority="13160" operator="containsText" text="em andamento">
      <formula>NOT(ISERROR(SEARCH("em andamento",P1)))</formula>
    </cfRule>
    <cfRule type="containsText" dxfId="3599" priority="13158" operator="containsText" text="Pendente">
      <formula>NOT(ISERROR(SEARCH("Pendente",P1)))</formula>
    </cfRule>
  </conditionalFormatting>
  <conditionalFormatting sqref="P7:P8">
    <cfRule type="containsText" dxfId="3598" priority="870" operator="containsText" text="Lançado">
      <formula>NOT(ISERROR(SEARCH("Lançado",P7)))</formula>
    </cfRule>
    <cfRule type="containsText" dxfId="3597" priority="871" operator="containsText" text="N/A">
      <formula>NOT(ISERROR(SEARCH("N/A",P7)))</formula>
    </cfRule>
  </conditionalFormatting>
  <conditionalFormatting sqref="P8">
    <cfRule type="containsText" dxfId="3596" priority="872" operator="containsText" text="Pendente">
      <formula>NOT(ISERROR(SEARCH("Pendente",P8)))</formula>
    </cfRule>
    <cfRule type="containsText" dxfId="3595" priority="873" operator="containsText" text="Finalizado">
      <formula>NOT(ISERROR(SEARCH("Finalizado",P8)))</formula>
    </cfRule>
    <cfRule type="containsText" dxfId="3594" priority="874" operator="containsText" text="em andamento">
      <formula>NOT(ISERROR(SEARCH("em andamento",P8)))</formula>
    </cfRule>
  </conditionalFormatting>
  <conditionalFormatting sqref="P9 P11 P13:P15 P17 P19 P21 P23 P25 P28 P30 P32 P35:P36 P38 P42:P43 P45 P47:P49 P51 P57 P60 P62 P64 P66 P68 P70 P72 P74 P76 P78:P80 P82:P83 P85 P88 P94 P97 P99 P150 P160 P163 P165 P167">
    <cfRule type="containsText" dxfId="3593" priority="958" operator="containsText" text="Lançado">
      <formula>NOT(ISERROR(SEARCH("Lançado",P9)))</formula>
    </cfRule>
    <cfRule type="containsText" dxfId="3592" priority="959" operator="containsText" text="N/A">
      <formula>NOT(ISERROR(SEARCH("N/A",P9)))</formula>
    </cfRule>
  </conditionalFormatting>
  <conditionalFormatting sqref="P9 P150 P160 P28 P11 P13:P15 P17 P19 P21 P23 P25 P30 P32 P35:P36 P38 P42:P43 P45 P47:P49 P51 P57 P60 P62 P64 P66 P68 P70 P72 P74 P76 P78:P80 P82:P83 P85 P88 P94 P97 P99 P163 P165 P167">
    <cfRule type="containsText" dxfId="3591" priority="960" operator="containsText" text="Pendente">
      <formula>NOT(ISERROR(SEARCH("Pendente",P9)))</formula>
    </cfRule>
    <cfRule type="containsText" dxfId="3590" priority="961" operator="containsText" text="Finalizado">
      <formula>NOT(ISERROR(SEARCH("Finalizado",P9)))</formula>
    </cfRule>
    <cfRule type="containsText" dxfId="3589" priority="962" operator="containsText" text="em andamento">
      <formula>NOT(ISERROR(SEARCH("em andamento",P9)))</formula>
    </cfRule>
  </conditionalFormatting>
  <conditionalFormatting sqref="P10">
    <cfRule type="containsText" dxfId="3588" priority="624" operator="containsText" text="N/A">
      <formula>NOT(ISERROR(SEARCH("N/A",P10)))</formula>
    </cfRule>
    <cfRule type="containsText" dxfId="3587" priority="623" operator="containsText" text="Lançado">
      <formula>NOT(ISERROR(SEARCH("Lançado",P10)))</formula>
    </cfRule>
    <cfRule type="containsText" dxfId="3586" priority="626" operator="containsText" text="Finalizado">
      <formula>NOT(ISERROR(SEARCH("Finalizado",P10)))</formula>
    </cfRule>
    <cfRule type="containsText" dxfId="3585" priority="627" operator="containsText" text="em andamento">
      <formula>NOT(ISERROR(SEARCH("em andamento",P10)))</formula>
    </cfRule>
    <cfRule type="containsText" dxfId="3584" priority="625" operator="containsText" text="Pendente">
      <formula>NOT(ISERROR(SEARCH("Pendente",P10)))</formula>
    </cfRule>
  </conditionalFormatting>
  <conditionalFormatting sqref="P12 P16 P18 P20 P22 P24 P27 P29 P31 P33:P34 P37 P39:P41">
    <cfRule type="containsText" dxfId="3583" priority="345" operator="containsText" text="N/A">
      <formula>NOT(ISERROR(SEARCH("N/A",P12)))</formula>
    </cfRule>
    <cfRule type="containsText" dxfId="3582" priority="344" operator="containsText" text="Lançado">
      <formula>NOT(ISERROR(SEARCH("Lançado",P12)))</formula>
    </cfRule>
  </conditionalFormatting>
  <conditionalFormatting sqref="P26">
    <cfRule type="containsText" dxfId="3581" priority="637" operator="containsText" text="Lançado">
      <formula>NOT(ISERROR(SEARCH("Lançado",P26)))</formula>
    </cfRule>
    <cfRule type="containsText" dxfId="3580" priority="638" operator="containsText" text="N/A">
      <formula>NOT(ISERROR(SEARCH("N/A",P26)))</formula>
    </cfRule>
    <cfRule type="containsText" dxfId="3579" priority="639" operator="containsText" text="Pendente">
      <formula>NOT(ISERROR(SEARCH("Pendente",P26)))</formula>
    </cfRule>
    <cfRule type="containsText" dxfId="3578" priority="640" operator="containsText" text="Finalizado">
      <formula>NOT(ISERROR(SEARCH("Finalizado",P26)))</formula>
    </cfRule>
    <cfRule type="containsText" dxfId="3577" priority="641" operator="containsText" text="em andamento">
      <formula>NOT(ISERROR(SEARCH("em andamento",P26)))</formula>
    </cfRule>
  </conditionalFormatting>
  <conditionalFormatting sqref="P39:P41 P37 P33:P34 P31 P29 P27 P24 P22 P20 P18 P16 P12">
    <cfRule type="containsText" dxfId="3576" priority="348" operator="containsText" text="em andamento">
      <formula>NOT(ISERROR(SEARCH("em andamento",P12)))</formula>
    </cfRule>
    <cfRule type="containsText" dxfId="3575" priority="347" operator="containsText" text="Finalizado">
      <formula>NOT(ISERROR(SEARCH("Finalizado",P12)))</formula>
    </cfRule>
    <cfRule type="expression" dxfId="3574" priority="342">
      <formula>$H12="CÉLULA CONSTRUTIVA"</formula>
    </cfRule>
    <cfRule type="expression" dxfId="3573" priority="341">
      <formula>$H12="SUBETAPA"</formula>
    </cfRule>
    <cfRule type="expression" dxfId="3572" priority="343">
      <formula>$H12="ETAPA"</formula>
    </cfRule>
    <cfRule type="containsText" dxfId="3571" priority="346" operator="containsText" text="Pendente">
      <formula>NOT(ISERROR(SEARCH("Pendente",P12)))</formula>
    </cfRule>
  </conditionalFormatting>
  <conditionalFormatting sqref="P44">
    <cfRule type="containsText" dxfId="3570" priority="338" operator="containsText" text="Pendente">
      <formula>NOT(ISERROR(SEARCH("Pendente",P44)))</formula>
    </cfRule>
    <cfRule type="containsText" dxfId="3569" priority="340" operator="containsText" text="em andamento">
      <formula>NOT(ISERROR(SEARCH("em andamento",P44)))</formula>
    </cfRule>
    <cfRule type="containsText" dxfId="3568" priority="337" operator="containsText" text="N/A">
      <formula>NOT(ISERROR(SEARCH("N/A",P44)))</formula>
    </cfRule>
    <cfRule type="containsText" dxfId="3567" priority="336" operator="containsText" text="Lançado">
      <formula>NOT(ISERROR(SEARCH("Lançado",P44)))</formula>
    </cfRule>
    <cfRule type="expression" dxfId="3566" priority="335">
      <formula>$H44="ETAPA"</formula>
    </cfRule>
    <cfRule type="expression" dxfId="3565" priority="334">
      <formula>$H44="CÉLULA CONSTRUTIVA"</formula>
    </cfRule>
    <cfRule type="containsText" dxfId="3564" priority="339" operator="containsText" text="Finalizado">
      <formula>NOT(ISERROR(SEARCH("Finalizado",P44)))</formula>
    </cfRule>
    <cfRule type="expression" dxfId="3563" priority="333">
      <formula>$H44="SUBETAPA"</formula>
    </cfRule>
  </conditionalFormatting>
  <conditionalFormatting sqref="P46">
    <cfRule type="expression" dxfId="3562" priority="325">
      <formula>$H46="SUBETAPA"</formula>
    </cfRule>
    <cfRule type="expression" dxfId="3561" priority="326">
      <formula>$H46="CÉLULA CONSTRUTIVA"</formula>
    </cfRule>
    <cfRule type="expression" dxfId="3560" priority="327">
      <formula>$H46="ETAPA"</formula>
    </cfRule>
    <cfRule type="containsText" dxfId="3559" priority="328" operator="containsText" text="Lançado">
      <formula>NOT(ISERROR(SEARCH("Lançado",P46)))</formula>
    </cfRule>
    <cfRule type="containsText" dxfId="3558" priority="329" operator="containsText" text="N/A">
      <formula>NOT(ISERROR(SEARCH("N/A",P46)))</formula>
    </cfRule>
    <cfRule type="containsText" dxfId="3557" priority="330" operator="containsText" text="Pendente">
      <formula>NOT(ISERROR(SEARCH("Pendente",P46)))</formula>
    </cfRule>
    <cfRule type="containsText" dxfId="3556" priority="331" operator="containsText" text="Finalizado">
      <formula>NOT(ISERROR(SEARCH("Finalizado",P46)))</formula>
    </cfRule>
    <cfRule type="containsText" dxfId="3555" priority="332" operator="containsText" text="em andamento">
      <formula>NOT(ISERROR(SEARCH("em andamento",P46)))</formula>
    </cfRule>
  </conditionalFormatting>
  <conditionalFormatting sqref="P50 P52:P56 P58:P59 P61 P63 P65 P67 P69 P71 P73 P75 P77">
    <cfRule type="containsText" dxfId="3554" priority="320" operator="containsText" text="Lançado">
      <formula>NOT(ISERROR(SEARCH("Lançado",P50)))</formula>
    </cfRule>
    <cfRule type="containsText" dxfId="3553" priority="321" operator="containsText" text="N/A">
      <formula>NOT(ISERROR(SEARCH("N/A",P50)))</formula>
    </cfRule>
  </conditionalFormatting>
  <conditionalFormatting sqref="P77 P75 P73 P71 P69 P67 P65 P63 P61 P58:P59 P52:P56 P50">
    <cfRule type="expression" dxfId="3552" priority="317">
      <formula>$H50="SUBETAPA"</formula>
    </cfRule>
    <cfRule type="expression" dxfId="3551" priority="318">
      <formula>$H50="CÉLULA CONSTRUTIVA"</formula>
    </cfRule>
    <cfRule type="expression" dxfId="3550" priority="319">
      <formula>$H50="ETAPA"</formula>
    </cfRule>
    <cfRule type="containsText" dxfId="3549" priority="322" operator="containsText" text="Pendente">
      <formula>NOT(ISERROR(SEARCH("Pendente",P50)))</formula>
    </cfRule>
    <cfRule type="containsText" dxfId="3548" priority="323" operator="containsText" text="Finalizado">
      <formula>NOT(ISERROR(SEARCH("Finalizado",P50)))</formula>
    </cfRule>
    <cfRule type="containsText" dxfId="3547" priority="324" operator="containsText" text="em andamento">
      <formula>NOT(ISERROR(SEARCH("em andamento",P50)))</formula>
    </cfRule>
  </conditionalFormatting>
  <conditionalFormatting sqref="P81 P84 P86:P87 P89:P93 P95:P96 P98 P100:P103 P105 P107:P108 P110">
    <cfRule type="containsText" dxfId="3546" priority="312" operator="containsText" text="Lançado">
      <formula>NOT(ISERROR(SEARCH("Lançado",P81)))</formula>
    </cfRule>
    <cfRule type="containsText" dxfId="3545" priority="313" operator="containsText" text="N/A">
      <formula>NOT(ISERROR(SEARCH("N/A",P81)))</formula>
    </cfRule>
  </conditionalFormatting>
  <conditionalFormatting sqref="P104 P106 P109">
    <cfRule type="containsText" dxfId="3544" priority="918" operator="containsText" text="Lançado">
      <formula>NOT(ISERROR(SEARCH("Lançado",P104)))</formula>
    </cfRule>
    <cfRule type="containsText" dxfId="3543" priority="919" operator="containsText" text="N/A">
      <formula>NOT(ISERROR(SEARCH("N/A",P104)))</formula>
    </cfRule>
    <cfRule type="containsText" dxfId="3542" priority="920" operator="containsText" text="Pendente">
      <formula>NOT(ISERROR(SEARCH("Pendente",P104)))</formula>
    </cfRule>
    <cfRule type="containsText" dxfId="3541" priority="921" operator="containsText" text="Finalizado">
      <formula>NOT(ISERROR(SEARCH("Finalizado",P104)))</formula>
    </cfRule>
    <cfRule type="containsText" dxfId="3540" priority="922" operator="containsText" text="em andamento">
      <formula>NOT(ISERROR(SEARCH("em andamento",P104)))</formula>
    </cfRule>
  </conditionalFormatting>
  <conditionalFormatting sqref="P110 P107:P108 P105 P100:P103 P98 P95:P96 P89:P93 P86:P87 P84 P81">
    <cfRule type="expression" dxfId="3539" priority="309">
      <formula>$H81="SUBETAPA"</formula>
    </cfRule>
    <cfRule type="containsText" dxfId="3538" priority="316" operator="containsText" text="em andamento">
      <formula>NOT(ISERROR(SEARCH("em andamento",P81)))</formula>
    </cfRule>
    <cfRule type="containsText" dxfId="3537" priority="315" operator="containsText" text="Finalizado">
      <formula>NOT(ISERROR(SEARCH("Finalizado",P81)))</formula>
    </cfRule>
    <cfRule type="containsText" dxfId="3536" priority="314" operator="containsText" text="Pendente">
      <formula>NOT(ISERROR(SEARCH("Pendente",P81)))</formula>
    </cfRule>
    <cfRule type="expression" dxfId="3535" priority="310">
      <formula>$H81="CÉLULA CONSTRUTIVA"</formula>
    </cfRule>
    <cfRule type="expression" dxfId="3534" priority="311">
      <formula>$H81="ETAPA"</formula>
    </cfRule>
  </conditionalFormatting>
  <conditionalFormatting sqref="P111:P113 P115 P117 P119">
    <cfRule type="containsText" dxfId="3533" priority="928" operator="containsText" text="Pendente">
      <formula>NOT(ISERROR(SEARCH("Pendente",P111)))</formula>
    </cfRule>
    <cfRule type="containsText" dxfId="3532" priority="929" operator="containsText" text="Finalizado">
      <formula>NOT(ISERROR(SEARCH("Finalizado",P111)))</formula>
    </cfRule>
    <cfRule type="containsText" dxfId="3531" priority="926" operator="containsText" text="Lançado">
      <formula>NOT(ISERROR(SEARCH("Lançado",P111)))</formula>
    </cfRule>
    <cfRule type="containsText" dxfId="3530" priority="927" operator="containsText" text="N/A">
      <formula>NOT(ISERROR(SEARCH("N/A",P111)))</formula>
    </cfRule>
    <cfRule type="containsText" dxfId="3529" priority="930" operator="containsText" text="em andamento">
      <formula>NOT(ISERROR(SEARCH("em andamento",P111)))</formula>
    </cfRule>
  </conditionalFormatting>
  <conditionalFormatting sqref="P114 P116 P118 P120 P122 P124 P126 P128 P130">
    <cfRule type="containsText" dxfId="3528" priority="304" operator="containsText" text="Lançado">
      <formula>NOT(ISERROR(SEARCH("Lançado",P114)))</formula>
    </cfRule>
    <cfRule type="containsText" dxfId="3527" priority="305" operator="containsText" text="N/A">
      <formula>NOT(ISERROR(SEARCH("N/A",P114)))</formula>
    </cfRule>
  </conditionalFormatting>
  <conditionalFormatting sqref="P121 P123 P125 P127 P129">
    <cfRule type="containsText" dxfId="3526" priority="935" operator="containsText" text="N/A">
      <formula>NOT(ISERROR(SEARCH("N/A",P121)))</formula>
    </cfRule>
    <cfRule type="containsText" dxfId="3525" priority="936" operator="containsText" text="Pendente">
      <formula>NOT(ISERROR(SEARCH("Pendente",P121)))</formula>
    </cfRule>
    <cfRule type="containsText" dxfId="3524" priority="937" operator="containsText" text="Finalizado">
      <formula>NOT(ISERROR(SEARCH("Finalizado",P121)))</formula>
    </cfRule>
    <cfRule type="containsText" dxfId="3523" priority="938" operator="containsText" text="em andamento">
      <formula>NOT(ISERROR(SEARCH("em andamento",P121)))</formula>
    </cfRule>
    <cfRule type="containsText" dxfId="3522" priority="934" operator="containsText" text="Lançado">
      <formula>NOT(ISERROR(SEARCH("Lançado",P121)))</formula>
    </cfRule>
  </conditionalFormatting>
  <conditionalFormatting sqref="P130 P128 P126 P124 P122 P120 P118 P116 P114">
    <cfRule type="containsText" dxfId="3521" priority="306" operator="containsText" text="Pendente">
      <formula>NOT(ISERROR(SEARCH("Pendente",P114)))</formula>
    </cfRule>
    <cfRule type="expression" dxfId="3520" priority="302">
      <formula>$H114="CÉLULA CONSTRUTIVA"</formula>
    </cfRule>
    <cfRule type="expression" dxfId="3519" priority="301">
      <formula>$H114="SUBETAPA"</formula>
    </cfRule>
    <cfRule type="containsText" dxfId="3518" priority="307" operator="containsText" text="Finalizado">
      <formula>NOT(ISERROR(SEARCH("Finalizado",P114)))</formula>
    </cfRule>
    <cfRule type="expression" dxfId="3517" priority="303">
      <formula>$H114="ETAPA"</formula>
    </cfRule>
    <cfRule type="containsText" dxfId="3516" priority="308" operator="containsText" text="em andamento">
      <formula>NOT(ISERROR(SEARCH("em andamento",P114)))</formula>
    </cfRule>
  </conditionalFormatting>
  <conditionalFormatting sqref="P131:P132 P134 P136 P138">
    <cfRule type="containsText" dxfId="3515" priority="942" operator="containsText" text="Lançado">
      <formula>NOT(ISERROR(SEARCH("Lançado",P131)))</formula>
    </cfRule>
    <cfRule type="containsText" dxfId="3514" priority="943" operator="containsText" text="N/A">
      <formula>NOT(ISERROR(SEARCH("N/A",P131)))</formula>
    </cfRule>
    <cfRule type="containsText" dxfId="3513" priority="944" operator="containsText" text="Pendente">
      <formula>NOT(ISERROR(SEARCH("Pendente",P131)))</formula>
    </cfRule>
    <cfRule type="containsText" dxfId="3512" priority="945" operator="containsText" text="Finalizado">
      <formula>NOT(ISERROR(SEARCH("Finalizado",P131)))</formula>
    </cfRule>
    <cfRule type="containsText" dxfId="3511" priority="946" operator="containsText" text="em andamento">
      <formula>NOT(ISERROR(SEARCH("em andamento",P131)))</formula>
    </cfRule>
  </conditionalFormatting>
  <conditionalFormatting sqref="P133 P135 P137 P139 P141 P143 P145 P147 P149 P151">
    <cfRule type="containsText" dxfId="3510" priority="297" operator="containsText" text="N/A">
      <formula>NOT(ISERROR(SEARCH("N/A",P133)))</formula>
    </cfRule>
    <cfRule type="containsText" dxfId="3509" priority="296" operator="containsText" text="Lançado">
      <formula>NOT(ISERROR(SEARCH("Lançado",P133)))</formula>
    </cfRule>
  </conditionalFormatting>
  <conditionalFormatting sqref="P140 P142 P144 P146 P148">
    <cfRule type="containsText" dxfId="3508" priority="952" operator="containsText" text="Pendente">
      <formula>NOT(ISERROR(SEARCH("Pendente",P140)))</formula>
    </cfRule>
    <cfRule type="containsText" dxfId="3507" priority="954" operator="containsText" text="em andamento">
      <formula>NOT(ISERROR(SEARCH("em andamento",P140)))</formula>
    </cfRule>
    <cfRule type="containsText" dxfId="3506" priority="953" operator="containsText" text="Finalizado">
      <formula>NOT(ISERROR(SEARCH("Finalizado",P140)))</formula>
    </cfRule>
    <cfRule type="containsText" dxfId="3505" priority="951" operator="containsText" text="N/A">
      <formula>NOT(ISERROR(SEARCH("N/A",P140)))</formula>
    </cfRule>
    <cfRule type="containsText" dxfId="3504" priority="950" operator="containsText" text="Lançado">
      <formula>NOT(ISERROR(SEARCH("Lançado",P140)))</formula>
    </cfRule>
  </conditionalFormatting>
  <conditionalFormatting sqref="P151 P149 P147 P145 P143 P141 P139 P137 P135 P133">
    <cfRule type="containsText" dxfId="3503" priority="298" operator="containsText" text="Pendente">
      <formula>NOT(ISERROR(SEARCH("Pendente",P133)))</formula>
    </cfRule>
    <cfRule type="containsText" dxfId="3502" priority="300" operator="containsText" text="em andamento">
      <formula>NOT(ISERROR(SEARCH("em andamento",P133)))</formula>
    </cfRule>
    <cfRule type="containsText" dxfId="3501" priority="299" operator="containsText" text="Finalizado">
      <formula>NOT(ISERROR(SEARCH("Finalizado",P133)))</formula>
    </cfRule>
    <cfRule type="expression" dxfId="3500" priority="293">
      <formula>$H133="SUBETAPA"</formula>
    </cfRule>
    <cfRule type="expression" dxfId="3499" priority="295">
      <formula>$H133="ETAPA"</formula>
    </cfRule>
    <cfRule type="expression" dxfId="3498" priority="294">
      <formula>$H133="CÉLULA CONSTRUTIVA"</formula>
    </cfRule>
  </conditionalFormatting>
  <conditionalFormatting sqref="P152:P153 P155">
    <cfRule type="containsText" dxfId="3497" priority="910" operator="containsText" text="Lançado">
      <formula>NOT(ISERROR(SEARCH("Lançado",P152)))</formula>
    </cfRule>
    <cfRule type="containsText" dxfId="3496" priority="912" operator="containsText" text="Pendente">
      <formula>NOT(ISERROR(SEARCH("Pendente",P152)))</formula>
    </cfRule>
    <cfRule type="containsText" dxfId="3495" priority="911" operator="containsText" text="N/A">
      <formula>NOT(ISERROR(SEARCH("N/A",P152)))</formula>
    </cfRule>
    <cfRule type="containsText" dxfId="3494" priority="914" operator="containsText" text="em andamento">
      <formula>NOT(ISERROR(SEARCH("em andamento",P152)))</formula>
    </cfRule>
    <cfRule type="containsText" dxfId="3493" priority="913" operator="containsText" text="Finalizado">
      <formula>NOT(ISERROR(SEARCH("Finalizado",P152)))</formula>
    </cfRule>
  </conditionalFormatting>
  <conditionalFormatting sqref="P154">
    <cfRule type="containsText" dxfId="3492" priority="289" operator="containsText" text="N/A">
      <formula>NOT(ISERROR(SEARCH("N/A",P154)))</formula>
    </cfRule>
    <cfRule type="containsText" dxfId="3491" priority="290" operator="containsText" text="Pendente">
      <formula>NOT(ISERROR(SEARCH("Pendente",P154)))</formula>
    </cfRule>
    <cfRule type="containsText" dxfId="3490" priority="291" operator="containsText" text="Finalizado">
      <formula>NOT(ISERROR(SEARCH("Finalizado",P154)))</formula>
    </cfRule>
    <cfRule type="containsText" dxfId="3489" priority="292" operator="containsText" text="em andamento">
      <formula>NOT(ISERROR(SEARCH("em andamento",P154)))</formula>
    </cfRule>
    <cfRule type="expression" dxfId="3488" priority="286">
      <formula>$H154="CÉLULA CONSTRUTIVA"</formula>
    </cfRule>
    <cfRule type="expression" dxfId="3487" priority="287">
      <formula>$H154="ETAPA"</formula>
    </cfRule>
    <cfRule type="containsText" dxfId="3486" priority="288" operator="containsText" text="Lançado">
      <formula>NOT(ISERROR(SEARCH("Lançado",P154)))</formula>
    </cfRule>
    <cfRule type="expression" dxfId="3485" priority="285">
      <formula>$H154="SUBETAPA"</formula>
    </cfRule>
  </conditionalFormatting>
  <conditionalFormatting sqref="P156:P159">
    <cfRule type="containsText" dxfId="3484" priority="281" operator="containsText" text="N/A">
      <formula>NOT(ISERROR(SEARCH("N/A",P156)))</formula>
    </cfRule>
    <cfRule type="containsText" dxfId="3483" priority="280" operator="containsText" text="Lançado">
      <formula>NOT(ISERROR(SEARCH("Lançado",P156)))</formula>
    </cfRule>
    <cfRule type="expression" dxfId="3482" priority="279">
      <formula>$H156="ETAPA"</formula>
    </cfRule>
    <cfRule type="expression" dxfId="3481" priority="278">
      <formula>$H156="CÉLULA CONSTRUTIVA"</formula>
    </cfRule>
    <cfRule type="expression" dxfId="3480" priority="277">
      <formula>$H156="SUBETAPA"</formula>
    </cfRule>
    <cfRule type="containsText" dxfId="3479" priority="283" operator="containsText" text="Finalizado">
      <formula>NOT(ISERROR(SEARCH("Finalizado",P156)))</formula>
    </cfRule>
    <cfRule type="containsText" dxfId="3478" priority="284" operator="containsText" text="em andamento">
      <formula>NOT(ISERROR(SEARCH("em andamento",P156)))</formula>
    </cfRule>
    <cfRule type="containsText" dxfId="3477" priority="282" operator="containsText" text="Pendente">
      <formula>NOT(ISERROR(SEARCH("Pendente",P156)))</formula>
    </cfRule>
  </conditionalFormatting>
  <conditionalFormatting sqref="P161:P162">
    <cfRule type="containsText" dxfId="3476" priority="275" operator="containsText" text="Finalizado">
      <formula>NOT(ISERROR(SEARCH("Finalizado",P161)))</formula>
    </cfRule>
    <cfRule type="expression" dxfId="3475" priority="269">
      <formula>$H161="SUBETAPA"</formula>
    </cfRule>
    <cfRule type="containsText" dxfId="3474" priority="272" operator="containsText" text="Lançado">
      <formula>NOT(ISERROR(SEARCH("Lançado",P161)))</formula>
    </cfRule>
    <cfRule type="expression" dxfId="3473" priority="270">
      <formula>$H161="CÉLULA CONSTRUTIVA"</formula>
    </cfRule>
    <cfRule type="expression" dxfId="3472" priority="271">
      <formula>$H161="ETAPA"</formula>
    </cfRule>
    <cfRule type="containsText" dxfId="3471" priority="273" operator="containsText" text="N/A">
      <formula>NOT(ISERROR(SEARCH("N/A",P161)))</formula>
    </cfRule>
    <cfRule type="containsText" dxfId="3470" priority="274" operator="containsText" text="Pendente">
      <formula>NOT(ISERROR(SEARCH("Pendente",P161)))</formula>
    </cfRule>
    <cfRule type="containsText" dxfId="3469" priority="276" operator="containsText" text="em andamento">
      <formula>NOT(ISERROR(SEARCH("em andamento",P161)))</formula>
    </cfRule>
  </conditionalFormatting>
  <conditionalFormatting sqref="P164">
    <cfRule type="containsText" dxfId="3468" priority="265" operator="containsText" text="N/A">
      <formula>NOT(ISERROR(SEARCH("N/A",P164)))</formula>
    </cfRule>
    <cfRule type="containsText" dxfId="3467" priority="264" operator="containsText" text="Lançado">
      <formula>NOT(ISERROR(SEARCH("Lançado",P164)))</formula>
    </cfRule>
    <cfRule type="expression" dxfId="3466" priority="263">
      <formula>$H164="ETAPA"</formula>
    </cfRule>
    <cfRule type="expression" dxfId="3465" priority="262">
      <formula>$H164="CÉLULA CONSTRUTIVA"</formula>
    </cfRule>
    <cfRule type="containsText" dxfId="3464" priority="268" operator="containsText" text="em andamento">
      <formula>NOT(ISERROR(SEARCH("em andamento",P164)))</formula>
    </cfRule>
    <cfRule type="containsText" dxfId="3463" priority="266" operator="containsText" text="Pendente">
      <formula>NOT(ISERROR(SEARCH("Pendente",P164)))</formula>
    </cfRule>
    <cfRule type="expression" dxfId="3462" priority="261">
      <formula>$H164="SUBETAPA"</formula>
    </cfRule>
    <cfRule type="containsText" dxfId="3461" priority="267" operator="containsText" text="Finalizado">
      <formula>NOT(ISERROR(SEARCH("Finalizado",P164)))</formula>
    </cfRule>
  </conditionalFormatting>
  <conditionalFormatting sqref="P166">
    <cfRule type="expression" dxfId="3460" priority="255">
      <formula>$H166="ETAPA"</formula>
    </cfRule>
    <cfRule type="containsText" dxfId="3459" priority="256" operator="containsText" text="Lançado">
      <formula>NOT(ISERROR(SEARCH("Lançado",P166)))</formula>
    </cfRule>
    <cfRule type="containsText" dxfId="3458" priority="257" operator="containsText" text="N/A">
      <formula>NOT(ISERROR(SEARCH("N/A",P166)))</formula>
    </cfRule>
    <cfRule type="containsText" dxfId="3457" priority="258" operator="containsText" text="Pendente">
      <formula>NOT(ISERROR(SEARCH("Pendente",P166)))</formula>
    </cfRule>
    <cfRule type="containsText" dxfId="3456" priority="259" operator="containsText" text="Finalizado">
      <formula>NOT(ISERROR(SEARCH("Finalizado",P166)))</formula>
    </cfRule>
    <cfRule type="containsText" dxfId="3455" priority="260" operator="containsText" text="em andamento">
      <formula>NOT(ISERROR(SEARCH("em andamento",P166)))</formula>
    </cfRule>
    <cfRule type="expression" dxfId="3454" priority="253">
      <formula>$H166="SUBETAPA"</formula>
    </cfRule>
    <cfRule type="expression" dxfId="3453" priority="254">
      <formula>$H166="CÉLULA CONSTRUTIVA"</formula>
    </cfRule>
  </conditionalFormatting>
  <conditionalFormatting sqref="P168:P171">
    <cfRule type="containsText" dxfId="3452" priority="250" operator="containsText" text="Pendente">
      <formula>NOT(ISERROR(SEARCH("Pendente",P168)))</formula>
    </cfRule>
    <cfRule type="expression" dxfId="3451" priority="245">
      <formula>$H168="SUBETAPA"</formula>
    </cfRule>
    <cfRule type="expression" dxfId="3450" priority="246">
      <formula>$H168="CÉLULA CONSTRUTIVA"</formula>
    </cfRule>
    <cfRule type="expression" dxfId="3449" priority="247">
      <formula>$H168="ETAPA"</formula>
    </cfRule>
    <cfRule type="containsText" dxfId="3448" priority="248" operator="containsText" text="Lançado">
      <formula>NOT(ISERROR(SEARCH("Lançado",P168)))</formula>
    </cfRule>
    <cfRule type="containsText" dxfId="3447" priority="249" operator="containsText" text="N/A">
      <formula>NOT(ISERROR(SEARCH("N/A",P168)))</formula>
    </cfRule>
    <cfRule type="containsText" dxfId="3446" priority="252" operator="containsText" text="em andamento">
      <formula>NOT(ISERROR(SEARCH("em andamento",P168)))</formula>
    </cfRule>
    <cfRule type="containsText" dxfId="3445" priority="251" operator="containsText" text="Finalizado">
      <formula>NOT(ISERROR(SEARCH("Finalizado",P168)))</formula>
    </cfRule>
  </conditionalFormatting>
  <conditionalFormatting sqref="P172 P175:P177">
    <cfRule type="containsText" dxfId="3444" priority="881" operator="containsText" text="Finalizado">
      <formula>NOT(ISERROR(SEARCH("Finalizado",P172)))</formula>
    </cfRule>
    <cfRule type="containsText" dxfId="3443" priority="879" operator="containsText" text="N/A">
      <formula>NOT(ISERROR(SEARCH("N/A",P172)))</formula>
    </cfRule>
    <cfRule type="containsText" dxfId="3442" priority="878" operator="containsText" text="Lançado">
      <formula>NOT(ISERROR(SEARCH("Lançado",P172)))</formula>
    </cfRule>
    <cfRule type="containsText" dxfId="3441" priority="882" operator="containsText" text="em andamento">
      <formula>NOT(ISERROR(SEARCH("em andamento",P172)))</formula>
    </cfRule>
    <cfRule type="containsText" dxfId="3440" priority="880" operator="containsText" text="Pendente">
      <formula>NOT(ISERROR(SEARCH("Pendente",P172)))</formula>
    </cfRule>
  </conditionalFormatting>
  <conditionalFormatting sqref="P173:P174">
    <cfRule type="expression" dxfId="3439" priority="237">
      <formula>$H173="SUBETAPA"</formula>
    </cfRule>
    <cfRule type="containsText" dxfId="3438" priority="241" operator="containsText" text="N/A">
      <formula>NOT(ISERROR(SEARCH("N/A",P173)))</formula>
    </cfRule>
    <cfRule type="expression" dxfId="3437" priority="238">
      <formula>$H173="CÉLULA CONSTRUTIVA"</formula>
    </cfRule>
    <cfRule type="containsText" dxfId="3436" priority="240" operator="containsText" text="Lançado">
      <formula>NOT(ISERROR(SEARCH("Lançado",P173)))</formula>
    </cfRule>
    <cfRule type="expression" dxfId="3435" priority="239">
      <formula>$H173="ETAPA"</formula>
    </cfRule>
    <cfRule type="containsText" dxfId="3434" priority="243" operator="containsText" text="Finalizado">
      <formula>NOT(ISERROR(SEARCH("Finalizado",P173)))</formula>
    </cfRule>
    <cfRule type="containsText" dxfId="3433" priority="244" operator="containsText" text="em andamento">
      <formula>NOT(ISERROR(SEARCH("em andamento",P173)))</formula>
    </cfRule>
    <cfRule type="containsText" dxfId="3432" priority="242" operator="containsText" text="Pendente">
      <formula>NOT(ISERROR(SEARCH("Pendente",P173)))</formula>
    </cfRule>
  </conditionalFormatting>
  <conditionalFormatting sqref="P178:P182 P184">
    <cfRule type="containsText" dxfId="3431" priority="233" operator="containsText" text="N/A">
      <formula>NOT(ISERROR(SEARCH("N/A",P178)))</formula>
    </cfRule>
    <cfRule type="containsText" dxfId="3430" priority="232" operator="containsText" text="Lançado">
      <formula>NOT(ISERROR(SEARCH("Lançado",P178)))</formula>
    </cfRule>
  </conditionalFormatting>
  <conditionalFormatting sqref="P183 P185 P188">
    <cfRule type="containsText" dxfId="3429" priority="886" operator="containsText" text="Lançado">
      <formula>NOT(ISERROR(SEARCH("Lançado",P183)))</formula>
    </cfRule>
    <cfRule type="containsText" dxfId="3428" priority="887" operator="containsText" text="N/A">
      <formula>NOT(ISERROR(SEARCH("N/A",P183)))</formula>
    </cfRule>
    <cfRule type="containsText" dxfId="3427" priority="889" operator="containsText" text="Finalizado">
      <formula>NOT(ISERROR(SEARCH("Finalizado",P183)))</formula>
    </cfRule>
    <cfRule type="containsText" dxfId="3426" priority="890" operator="containsText" text="em andamento">
      <formula>NOT(ISERROR(SEARCH("em andamento",P183)))</formula>
    </cfRule>
    <cfRule type="containsText" dxfId="3425" priority="888" operator="containsText" text="Pendente">
      <formula>NOT(ISERROR(SEARCH("Pendente",P183)))</formula>
    </cfRule>
  </conditionalFormatting>
  <conditionalFormatting sqref="P184 P178:P182">
    <cfRule type="containsText" dxfId="3424" priority="235" operator="containsText" text="Finalizado">
      <formula>NOT(ISERROR(SEARCH("Finalizado",P178)))</formula>
    </cfRule>
    <cfRule type="containsText" dxfId="3423" priority="234" operator="containsText" text="Pendente">
      <formula>NOT(ISERROR(SEARCH("Pendente",P178)))</formula>
    </cfRule>
    <cfRule type="expression" dxfId="3422" priority="231">
      <formula>$H178="ETAPA"</formula>
    </cfRule>
    <cfRule type="expression" dxfId="3421" priority="230">
      <formula>$H178="CÉLULA CONSTRUTIVA"</formula>
    </cfRule>
    <cfRule type="expression" dxfId="3420" priority="229">
      <formula>$H178="SUBETAPA"</formula>
    </cfRule>
    <cfRule type="containsText" dxfId="3419" priority="236" operator="containsText" text="em andamento">
      <formula>NOT(ISERROR(SEARCH("em andamento",P178)))</formula>
    </cfRule>
  </conditionalFormatting>
  <conditionalFormatting sqref="P186">
    <cfRule type="containsText" dxfId="3418" priority="94" operator="containsText" text="Finalizado">
      <formula>NOT(ISERROR(SEARCH("Finalizado",P186)))</formula>
    </cfRule>
    <cfRule type="containsText" dxfId="3417" priority="95" operator="containsText" text="em andamento">
      <formula>NOT(ISERROR(SEARCH("em andamento",P186)))</formula>
    </cfRule>
    <cfRule type="containsText" dxfId="3416" priority="93" operator="containsText" text="Pendente">
      <formula>NOT(ISERROR(SEARCH("Pendente",P186)))</formula>
    </cfRule>
    <cfRule type="containsText" dxfId="3415" priority="91" operator="containsText" text="Lançado">
      <formula>NOT(ISERROR(SEARCH("Lançado",P186)))</formula>
    </cfRule>
    <cfRule type="containsText" dxfId="3414" priority="92" operator="containsText" text="N/A">
      <formula>NOT(ISERROR(SEARCH("N/A",P186)))</formula>
    </cfRule>
  </conditionalFormatting>
  <conditionalFormatting sqref="P187">
    <cfRule type="expression" dxfId="3413" priority="68">
      <formula>$H187="SUBETAPA"</formula>
    </cfRule>
    <cfRule type="expression" dxfId="3412" priority="69">
      <formula>$H187="CÉLULA CONSTRUTIVA"</formula>
    </cfRule>
    <cfRule type="containsText" dxfId="3411" priority="71" operator="containsText" text="Lançado">
      <formula>NOT(ISERROR(SEARCH("Lançado",P187)))</formula>
    </cfRule>
    <cfRule type="containsText" dxfId="3410" priority="72" operator="containsText" text="N/A">
      <formula>NOT(ISERROR(SEARCH("N/A",P187)))</formula>
    </cfRule>
    <cfRule type="containsText" dxfId="3409" priority="73" operator="containsText" text="Pendente">
      <formula>NOT(ISERROR(SEARCH("Pendente",P187)))</formula>
    </cfRule>
    <cfRule type="containsText" dxfId="3408" priority="74" operator="containsText" text="Finalizado">
      <formula>NOT(ISERROR(SEARCH("Finalizado",P187)))</formula>
    </cfRule>
    <cfRule type="containsText" dxfId="3407" priority="75" operator="containsText" text="em andamento">
      <formula>NOT(ISERROR(SEARCH("em andamento",P187)))</formula>
    </cfRule>
    <cfRule type="expression" dxfId="3406" priority="70">
      <formula>$H187="ETAPA"</formula>
    </cfRule>
  </conditionalFormatting>
  <conditionalFormatting sqref="P189 P191 P193">
    <cfRule type="containsText" dxfId="3405" priority="224" operator="containsText" text="Lançado">
      <formula>NOT(ISERROR(SEARCH("Lançado",P189)))</formula>
    </cfRule>
    <cfRule type="containsText" dxfId="3404" priority="225" operator="containsText" text="N/A">
      <formula>NOT(ISERROR(SEARCH("N/A",P189)))</formula>
    </cfRule>
  </conditionalFormatting>
  <conditionalFormatting sqref="P190 P192 P194:P195">
    <cfRule type="containsText" dxfId="3403" priority="898" operator="containsText" text="em andamento">
      <formula>NOT(ISERROR(SEARCH("em andamento",P190)))</formula>
    </cfRule>
    <cfRule type="containsText" dxfId="3402" priority="897" operator="containsText" text="Finalizado">
      <formula>NOT(ISERROR(SEARCH("Finalizado",P190)))</formula>
    </cfRule>
    <cfRule type="containsText" dxfId="3401" priority="896" operator="containsText" text="Pendente">
      <formula>NOT(ISERROR(SEARCH("Pendente",P190)))</formula>
    </cfRule>
    <cfRule type="containsText" dxfId="3400" priority="895" operator="containsText" text="N/A">
      <formula>NOT(ISERROR(SEARCH("N/A",P190)))</formula>
    </cfRule>
    <cfRule type="containsText" dxfId="3399" priority="894" operator="containsText" text="Lançado">
      <formula>NOT(ISERROR(SEARCH("Lançado",P190)))</formula>
    </cfRule>
  </conditionalFormatting>
  <conditionalFormatting sqref="P193 P191 P189">
    <cfRule type="expression" dxfId="3398" priority="221">
      <formula>$H189="SUBETAPA"</formula>
    </cfRule>
    <cfRule type="expression" dxfId="3397" priority="222">
      <formula>$H189="CÉLULA CONSTRUTIVA"</formula>
    </cfRule>
    <cfRule type="expression" dxfId="3396" priority="223">
      <formula>$H189="ETAPA"</formula>
    </cfRule>
    <cfRule type="containsText" dxfId="3395" priority="226" operator="containsText" text="Pendente">
      <formula>NOT(ISERROR(SEARCH("Pendente",P189)))</formula>
    </cfRule>
    <cfRule type="containsText" dxfId="3394" priority="227" operator="containsText" text="Finalizado">
      <formula>NOT(ISERROR(SEARCH("Finalizado",P189)))</formula>
    </cfRule>
    <cfRule type="containsText" dxfId="3393" priority="228" operator="containsText" text="em andamento">
      <formula>NOT(ISERROR(SEARCH("em andamento",P189)))</formula>
    </cfRule>
  </conditionalFormatting>
  <conditionalFormatting sqref="P196:P201">
    <cfRule type="containsText" dxfId="3392" priority="217" operator="containsText" text="N/A">
      <formula>NOT(ISERROR(SEARCH("N/A",P196)))</formula>
    </cfRule>
    <cfRule type="containsText" dxfId="3391" priority="216" operator="containsText" text="Lançado">
      <formula>NOT(ISERROR(SEARCH("Lançado",P196)))</formula>
    </cfRule>
  </conditionalFormatting>
  <conditionalFormatting sqref="P198 P200">
    <cfRule type="containsText" dxfId="3390" priority="906" operator="containsText" text="em andamento">
      <formula>NOT(ISERROR(SEARCH("em andamento",P198)))</formula>
    </cfRule>
    <cfRule type="containsText" dxfId="3389" priority="905" operator="containsText" text="Finalizado">
      <formula>NOT(ISERROR(SEARCH("Finalizado",P198)))</formula>
    </cfRule>
    <cfRule type="containsText" dxfId="3388" priority="904" operator="containsText" text="Pendente">
      <formula>NOT(ISERROR(SEARCH("Pendente",P198)))</formula>
    </cfRule>
  </conditionalFormatting>
  <conditionalFormatting sqref="P201 P199 P196:P197">
    <cfRule type="containsText" dxfId="3387" priority="220" operator="containsText" text="em andamento">
      <formula>NOT(ISERROR(SEARCH("em andamento",P196)))</formula>
    </cfRule>
    <cfRule type="expression" dxfId="3386" priority="213">
      <formula>$H196="SUBETAPA"</formula>
    </cfRule>
    <cfRule type="expression" dxfId="3385" priority="214">
      <formula>$H196="CÉLULA CONSTRUTIVA"</formula>
    </cfRule>
    <cfRule type="expression" dxfId="3384" priority="215">
      <formula>$H196="ETAPA"</formula>
    </cfRule>
    <cfRule type="containsText" dxfId="3383" priority="218" operator="containsText" text="Pendente">
      <formula>NOT(ISERROR(SEARCH("Pendente",P196)))</formula>
    </cfRule>
    <cfRule type="containsText" dxfId="3382" priority="219" operator="containsText" text="Finalizado">
      <formula>NOT(ISERROR(SEARCH("Finalizado",P196)))</formula>
    </cfRule>
  </conditionalFormatting>
  <conditionalFormatting sqref="P202">
    <cfRule type="containsText" dxfId="3381" priority="969" operator="containsText" text="Finalizado">
      <formula>NOT(ISERROR(SEARCH("Finalizado",P202)))</formula>
    </cfRule>
    <cfRule type="containsText" dxfId="3380" priority="970" operator="containsText" text="em andamento">
      <formula>NOT(ISERROR(SEARCH("em andamento",P202)))</formula>
    </cfRule>
    <cfRule type="containsText" dxfId="3379" priority="967" operator="containsText" text="N/A">
      <formula>NOT(ISERROR(SEARCH("N/A",P202)))</formula>
    </cfRule>
    <cfRule type="containsText" dxfId="3378" priority="968" operator="containsText" text="Pendente">
      <formula>NOT(ISERROR(SEARCH("Pendente",P202)))</formula>
    </cfRule>
    <cfRule type="containsText" dxfId="3377" priority="966" operator="containsText" text="Lançado">
      <formula>NOT(ISERROR(SEARCH("Lançado",P202)))</formula>
    </cfRule>
  </conditionalFormatting>
  <conditionalFormatting sqref="P203:P212 P214:P216 P221:P225 P227:P228 P230:P235 P243 P250 P252:P254 P388 P395 P397 P401 P497:P499 P501 P503 P505 P507 P509 P511 P513:P515 P517:P518 P521 P523 P525 P529 P579:P580 P583 P585 P587 P589:P591 P594 P597:P599 P614:P617 P619 P641:P643 P675:P679 P703:P705 P793:P794 P798 P833:P835 P837 P839:P840 P847 P855 P863 P871 P879 P885 P890 P911:P912 P1031 P1106:P1112 P1142:P1143 P1150:P1155 P1163 P1173:P1177 P1180 P1191:P1193 P1274:P1276 P1278 P1280:P1281 P1290:P1292 P1294 P1296 P1307 P238:P239 P390:P392 P601 P604 P612 P714 P908 P1013:P1015 P1019 P1024 P1158 P1171 P1183 P1185:P1187 P1198 P1205 P1208 P1210 P1298:P1300 P1303 P1305 P1309 P1311 P1314 P1316:P1318 P495 P487:P488 P491 P484 P474:P475 P478 P480 P456 P446:P447 P450 P452 P443 P432:P433 P437 P439 P429 P418:P419 P423 P425 P415 P404:P405 P409 P411 P812 P1126:P1127 P1129 P1134 P1138 P1114 P1118 P1122 P1094:P1095 P1097 P1102 P1074:P1075 P1034:P1035 P1054:P1055 P1146 P1229 P1:P5">
    <cfRule type="containsText" dxfId="3376" priority="13157" operator="containsText" text="N/A">
      <formula>NOT(ISERROR(SEARCH("N/A",P1)))</formula>
    </cfRule>
    <cfRule type="containsText" dxfId="3375" priority="13156" operator="containsText" text="Lançado">
      <formula>NOT(ISERROR(SEARCH("Lançado",P1)))</formula>
    </cfRule>
  </conditionalFormatting>
  <conditionalFormatting sqref="P213">
    <cfRule type="containsText" dxfId="3374" priority="11682" operator="containsText" text="Finalizado">
      <formula>NOT(ISERROR(SEARCH("Finalizado",P213)))</formula>
    </cfRule>
    <cfRule type="containsText" dxfId="3373" priority="11679" operator="containsText" text="Lançado">
      <formula>NOT(ISERROR(SEARCH("Lançado",P213)))</formula>
    </cfRule>
    <cfRule type="containsText" dxfId="3372" priority="11680" operator="containsText" text="N/A">
      <formula>NOT(ISERROR(SEARCH("N/A",P213)))</formula>
    </cfRule>
    <cfRule type="containsText" dxfId="3371" priority="11681" operator="containsText" text="Pendente">
      <formula>NOT(ISERROR(SEARCH("Pendente",P213)))</formula>
    </cfRule>
    <cfRule type="containsText" dxfId="3370" priority="11683" operator="containsText" text="em andamento">
      <formula>NOT(ISERROR(SEARCH("em andamento",P213)))</formula>
    </cfRule>
  </conditionalFormatting>
  <conditionalFormatting sqref="P217">
    <cfRule type="expression" dxfId="3369" priority="199">
      <formula>$H217="ETAPA"</formula>
    </cfRule>
    <cfRule type="expression" dxfId="3368" priority="197">
      <formula>$H217="SUBETAPA"</formula>
    </cfRule>
    <cfRule type="expression" dxfId="3367" priority="198">
      <formula>$H217="CÉLULA CONSTRUTIVA"</formula>
    </cfRule>
    <cfRule type="containsText" dxfId="3366" priority="200" operator="containsText" text="Lançado">
      <formula>NOT(ISERROR(SEARCH("Lançado",P217)))</formula>
    </cfRule>
    <cfRule type="containsText" dxfId="3365" priority="201" operator="containsText" text="N/A">
      <formula>NOT(ISERROR(SEARCH("N/A",P217)))</formula>
    </cfRule>
    <cfRule type="containsText" dxfId="3364" priority="202" operator="containsText" text="Pendente">
      <formula>NOT(ISERROR(SEARCH("Pendente",P217)))</formula>
    </cfRule>
    <cfRule type="containsText" dxfId="3363" priority="203" operator="containsText" text="Finalizado">
      <formula>NOT(ISERROR(SEARCH("Finalizado",P217)))</formula>
    </cfRule>
    <cfRule type="containsText" dxfId="3362" priority="204" operator="containsText" text="em andamento">
      <formula>NOT(ISERROR(SEARCH("em andamento",P217)))</formula>
    </cfRule>
  </conditionalFormatting>
  <conditionalFormatting sqref="P218">
    <cfRule type="containsText" dxfId="3361" priority="11635" operator="containsText" text="N/A">
      <formula>NOT(ISERROR(SEARCH("N/A",P218)))</formula>
    </cfRule>
    <cfRule type="containsText" dxfId="3360" priority="11634" operator="containsText" text="Lançado">
      <formula>NOT(ISERROR(SEARCH("Lançado",P218)))</formula>
    </cfRule>
    <cfRule type="containsText" dxfId="3359" priority="11638" operator="containsText" text="em andamento">
      <formula>NOT(ISERROR(SEARCH("em andamento",P218)))</formula>
    </cfRule>
    <cfRule type="containsText" dxfId="3358" priority="11637" operator="containsText" text="Finalizado">
      <formula>NOT(ISERROR(SEARCH("Finalizado",P218)))</formula>
    </cfRule>
    <cfRule type="containsText" dxfId="3357" priority="11636" operator="containsText" text="Pendente">
      <formula>NOT(ISERROR(SEARCH("Pendente",P218)))</formula>
    </cfRule>
  </conditionalFormatting>
  <conditionalFormatting sqref="P219">
    <cfRule type="containsText" dxfId="3356" priority="11630" operator="containsText" text="em andamento">
      <formula>NOT(ISERROR(SEARCH("em andamento",P219)))</formula>
    </cfRule>
    <cfRule type="containsText" dxfId="3355" priority="11626" operator="containsText" text="Lançado">
      <formula>NOT(ISERROR(SEARCH("Lançado",P219)))</formula>
    </cfRule>
    <cfRule type="containsText" dxfId="3354" priority="11627" operator="containsText" text="N/A">
      <formula>NOT(ISERROR(SEARCH("N/A",P219)))</formula>
    </cfRule>
    <cfRule type="containsText" dxfId="3353" priority="11628" operator="containsText" text="Pendente">
      <formula>NOT(ISERROR(SEARCH("Pendente",P219)))</formula>
    </cfRule>
    <cfRule type="containsText" dxfId="3352" priority="11629" operator="containsText" text="Finalizado">
      <formula>NOT(ISERROR(SEARCH("Finalizado",P219)))</formula>
    </cfRule>
  </conditionalFormatting>
  <conditionalFormatting sqref="P220">
    <cfRule type="containsText" dxfId="3351" priority="212" operator="containsText" text="em andamento">
      <formula>NOT(ISERROR(SEARCH("em andamento",P220)))</formula>
    </cfRule>
    <cfRule type="containsText" dxfId="3350" priority="209" operator="containsText" text="N/A">
      <formula>NOT(ISERROR(SEARCH("N/A",P220)))</formula>
    </cfRule>
    <cfRule type="containsText" dxfId="3349" priority="208" operator="containsText" text="Lançado">
      <formula>NOT(ISERROR(SEARCH("Lançado",P220)))</formula>
    </cfRule>
    <cfRule type="expression" dxfId="3348" priority="207">
      <formula>$H220="ETAPA"</formula>
    </cfRule>
    <cfRule type="expression" dxfId="3347" priority="206">
      <formula>$H220="CÉLULA CONSTRUTIVA"</formula>
    </cfRule>
    <cfRule type="expression" dxfId="3346" priority="205">
      <formula>$H220="SUBETAPA"</formula>
    </cfRule>
    <cfRule type="containsText" dxfId="3345" priority="210" operator="containsText" text="Pendente">
      <formula>NOT(ISERROR(SEARCH("Pendente",P220)))</formula>
    </cfRule>
    <cfRule type="containsText" dxfId="3344" priority="211" operator="containsText" text="Finalizado">
      <formula>NOT(ISERROR(SEARCH("Finalizado",P220)))</formula>
    </cfRule>
  </conditionalFormatting>
  <conditionalFormatting sqref="P226">
    <cfRule type="containsText" dxfId="3343" priority="11605" operator="containsText" text="N/A">
      <formula>NOT(ISERROR(SEARCH("N/A",P226)))</formula>
    </cfRule>
    <cfRule type="containsText" dxfId="3342" priority="11607" operator="containsText" text="Finalizado">
      <formula>NOT(ISERROR(SEARCH("Finalizado",P226)))</formula>
    </cfRule>
    <cfRule type="containsText" dxfId="3341" priority="11606" operator="containsText" text="Pendente">
      <formula>NOT(ISERROR(SEARCH("Pendente",P226)))</formula>
    </cfRule>
    <cfRule type="containsText" dxfId="3340" priority="11608" operator="containsText" text="em andamento">
      <formula>NOT(ISERROR(SEARCH("em andamento",P226)))</formula>
    </cfRule>
    <cfRule type="expression" dxfId="3339" priority="11603">
      <formula>$H226="ETAPA"</formula>
    </cfRule>
    <cfRule type="containsText" dxfId="3338" priority="11604" operator="containsText" text="Lançado">
      <formula>NOT(ISERROR(SEARCH("Lançado",P226)))</formula>
    </cfRule>
    <cfRule type="expression" dxfId="3337" priority="11602">
      <formula>$H226="CÉLULA CONSTRUTIVA"</formula>
    </cfRule>
  </conditionalFormatting>
  <conditionalFormatting sqref="P229">
    <cfRule type="expression" dxfId="3336" priority="1704">
      <formula>$H229="ETAPA"</formula>
    </cfRule>
    <cfRule type="expression" dxfId="3335" priority="1703">
      <formula>$H229="CÉLULA CONSTRUTIVA"</formula>
    </cfRule>
    <cfRule type="expression" dxfId="3334" priority="1702">
      <formula>$H229="SUBETAPA"</formula>
    </cfRule>
    <cfRule type="containsText" dxfId="3333" priority="1705" operator="containsText" text="Lançado">
      <formula>NOT(ISERROR(SEARCH("Lançado",P229)))</formula>
    </cfRule>
    <cfRule type="containsText" dxfId="3332" priority="1709" operator="containsText" text="em andamento">
      <formula>NOT(ISERROR(SEARCH("em andamento",P229)))</formula>
    </cfRule>
    <cfRule type="containsText" dxfId="3331" priority="1708" operator="containsText" text="Finalizado">
      <formula>NOT(ISERROR(SEARCH("Finalizado",P229)))</formula>
    </cfRule>
    <cfRule type="containsText" dxfId="3330" priority="1707" operator="containsText" text="Pendente">
      <formula>NOT(ISERROR(SEARCH("Pendente",P229)))</formula>
    </cfRule>
    <cfRule type="containsText" dxfId="3329" priority="1706" operator="containsText" text="N/A">
      <formula>NOT(ISERROR(SEARCH("N/A",P229)))</formula>
    </cfRule>
  </conditionalFormatting>
  <conditionalFormatting sqref="P236:P237">
    <cfRule type="containsText" dxfId="3328" priority="11660" operator="containsText" text="em andamento">
      <formula>NOT(ISERROR(SEARCH("em andamento",P236)))</formula>
    </cfRule>
    <cfRule type="containsText" dxfId="3327" priority="11658" operator="containsText" text="Pendente">
      <formula>NOT(ISERROR(SEARCH("Pendente",P236)))</formula>
    </cfRule>
    <cfRule type="containsText" dxfId="3326" priority="11656" operator="containsText" text="Lançado">
      <formula>NOT(ISERROR(SEARCH("Lançado",P236)))</formula>
    </cfRule>
    <cfRule type="containsText" dxfId="3325" priority="11657" operator="containsText" text="N/A">
      <formula>NOT(ISERROR(SEARCH("N/A",P236)))</formula>
    </cfRule>
    <cfRule type="containsText" dxfId="3324" priority="11659" operator="containsText" text="Finalizado">
      <formula>NOT(ISERROR(SEARCH("Finalizado",P236)))</formula>
    </cfRule>
  </conditionalFormatting>
  <conditionalFormatting sqref="P240:P242">
    <cfRule type="containsText" dxfId="3323" priority="11645" operator="containsText" text="Lançado">
      <formula>NOT(ISERROR(SEARCH("Lançado",P240)))</formula>
    </cfRule>
    <cfRule type="containsText" dxfId="3322" priority="11646" operator="containsText" text="N/A">
      <formula>NOT(ISERROR(SEARCH("N/A",P240)))</formula>
    </cfRule>
    <cfRule type="containsText" dxfId="3321" priority="11647" operator="containsText" text="Pendente">
      <formula>NOT(ISERROR(SEARCH("Pendente",P240)))</formula>
    </cfRule>
    <cfRule type="containsText" dxfId="3320" priority="11648" operator="containsText" text="Finalizado">
      <formula>NOT(ISERROR(SEARCH("Finalizado",P240)))</formula>
    </cfRule>
    <cfRule type="containsText" dxfId="3319" priority="11649" operator="containsText" text="em andamento">
      <formula>NOT(ISERROR(SEARCH("em andamento",P240)))</formula>
    </cfRule>
  </conditionalFormatting>
  <conditionalFormatting sqref="P244:P249">
    <cfRule type="containsText" dxfId="3318" priority="1714" operator="containsText" text="N/A">
      <formula>NOT(ISERROR(SEARCH("N/A",P244)))</formula>
    </cfRule>
    <cfRule type="containsText" dxfId="3317" priority="1713" operator="containsText" text="Lançado">
      <formula>NOT(ISERROR(SEARCH("Lançado",P244)))</formula>
    </cfRule>
    <cfRule type="expression" dxfId="3316" priority="1712">
      <formula>$H244="ETAPA"</formula>
    </cfRule>
    <cfRule type="expression" dxfId="3315" priority="1710">
      <formula>$H244="SUBETAPA"</formula>
    </cfRule>
    <cfRule type="containsText" dxfId="3314" priority="1717" operator="containsText" text="em andamento">
      <formula>NOT(ISERROR(SEARCH("em andamento",P244)))</formula>
    </cfRule>
    <cfRule type="containsText" dxfId="3313" priority="1716" operator="containsText" text="Finalizado">
      <formula>NOT(ISERROR(SEARCH("Finalizado",P244)))</formula>
    </cfRule>
    <cfRule type="expression" dxfId="3312" priority="1711">
      <formula>$H244="CÉLULA CONSTRUTIVA"</formula>
    </cfRule>
    <cfRule type="containsText" dxfId="3311" priority="1715" operator="containsText" text="Pendente">
      <formula>NOT(ISERROR(SEARCH("Pendente",P244)))</formula>
    </cfRule>
  </conditionalFormatting>
  <conditionalFormatting sqref="P251">
    <cfRule type="containsText" dxfId="3310" priority="4753" operator="containsText" text="Finalizado">
      <formula>NOT(ISERROR(SEARCH("Finalizado",P251)))</formula>
    </cfRule>
    <cfRule type="containsText" dxfId="3309" priority="4752" operator="containsText" text="Pendente">
      <formula>NOT(ISERROR(SEARCH("Pendente",P251)))</formula>
    </cfRule>
    <cfRule type="containsText" dxfId="3308" priority="4751" operator="containsText" text="N/A">
      <formula>NOT(ISERROR(SEARCH("N/A",P251)))</formula>
    </cfRule>
    <cfRule type="containsText" dxfId="3307" priority="4750" operator="containsText" text="Lançado">
      <formula>NOT(ISERROR(SEARCH("Lançado",P251)))</formula>
    </cfRule>
    <cfRule type="expression" dxfId="3306" priority="4749">
      <formula>$H251="ETAPA"</formula>
    </cfRule>
    <cfRule type="expression" dxfId="3305" priority="4747">
      <formula>$H251="SUBETAPA"</formula>
    </cfRule>
    <cfRule type="expression" dxfId="3304" priority="4748">
      <formula>$H251="CÉLULA CONSTRUTIVA"</formula>
    </cfRule>
    <cfRule type="containsText" dxfId="3303" priority="4754" operator="containsText" text="em andamento">
      <formula>NOT(ISERROR(SEARCH("em andamento",P251)))</formula>
    </cfRule>
  </conditionalFormatting>
  <conditionalFormatting sqref="P255:P256 P261 P269 P271 P274">
    <cfRule type="containsText" dxfId="3302" priority="11945" operator="containsText" text="N/A">
      <formula>NOT(ISERROR(SEARCH("N/A",P255)))</formula>
    </cfRule>
    <cfRule type="containsText" dxfId="3301" priority="11947" operator="containsText" text="Finalizado">
      <formula>NOT(ISERROR(SEARCH("Finalizado",P255)))</formula>
    </cfRule>
    <cfRule type="containsText" dxfId="3300" priority="11946" operator="containsText" text="Pendente">
      <formula>NOT(ISERROR(SEARCH("Pendente",P255)))</formula>
    </cfRule>
    <cfRule type="containsText" dxfId="3299" priority="11948" operator="containsText" text="em andamento">
      <formula>NOT(ISERROR(SEARCH("em andamento",P255)))</formula>
    </cfRule>
    <cfRule type="containsText" dxfId="3298" priority="11944" operator="containsText" text="Lançado">
      <formula>NOT(ISERROR(SEARCH("Lançado",P255)))</formula>
    </cfRule>
  </conditionalFormatting>
  <conditionalFormatting sqref="P257:P260">
    <cfRule type="containsText" dxfId="3297" priority="11937" operator="containsText" text="N/A">
      <formula>NOT(ISERROR(SEARCH("N/A",P257)))</formula>
    </cfRule>
    <cfRule type="containsText" dxfId="3296" priority="11938" operator="containsText" text="Pendente">
      <formula>NOT(ISERROR(SEARCH("Pendente",P257)))</formula>
    </cfRule>
    <cfRule type="containsText" dxfId="3295" priority="11940" operator="containsText" text="em andamento">
      <formula>NOT(ISERROR(SEARCH("em andamento",P257)))</formula>
    </cfRule>
    <cfRule type="containsText" dxfId="3294" priority="11936" operator="containsText" text="Lançado">
      <formula>NOT(ISERROR(SEARCH("Lançado",P257)))</formula>
    </cfRule>
    <cfRule type="containsText" dxfId="3293" priority="11939" operator="containsText" text="Finalizado">
      <formula>NOT(ISERROR(SEARCH("Finalizado",P257)))</formula>
    </cfRule>
  </conditionalFormatting>
  <conditionalFormatting sqref="P262:P268">
    <cfRule type="containsText" dxfId="3292" priority="11928" operator="containsText" text="Lançado">
      <formula>NOT(ISERROR(SEARCH("Lançado",P262)))</formula>
    </cfRule>
    <cfRule type="containsText" dxfId="3291" priority="11930" operator="containsText" text="Pendente">
      <formula>NOT(ISERROR(SEARCH("Pendente",P262)))</formula>
    </cfRule>
    <cfRule type="containsText" dxfId="3290" priority="11929" operator="containsText" text="N/A">
      <formula>NOT(ISERROR(SEARCH("N/A",P262)))</formula>
    </cfRule>
    <cfRule type="containsText" dxfId="3289" priority="11931" operator="containsText" text="Finalizado">
      <formula>NOT(ISERROR(SEARCH("Finalizado",P262)))</formula>
    </cfRule>
    <cfRule type="containsText" dxfId="3288" priority="11932" operator="containsText" text="em andamento">
      <formula>NOT(ISERROR(SEARCH("em andamento",P262)))</formula>
    </cfRule>
    <cfRule type="expression" dxfId="3287" priority="11927">
      <formula>$H262="ETAPA"</formula>
    </cfRule>
    <cfRule type="expression" dxfId="3286" priority="11926">
      <formula>$H262="CÉLULA CONSTRUTIVA"</formula>
    </cfRule>
    <cfRule type="expression" dxfId="3285" priority="11925">
      <formula>$H262="SUBETAPA"</formula>
    </cfRule>
  </conditionalFormatting>
  <conditionalFormatting sqref="P270">
    <cfRule type="containsText" dxfId="3284" priority="11924" operator="containsText" text="em andamento">
      <formula>NOT(ISERROR(SEARCH("em andamento",P270)))</formula>
    </cfRule>
    <cfRule type="expression" dxfId="3283" priority="11918">
      <formula>$H270="CÉLULA CONSTRUTIVA"</formula>
    </cfRule>
    <cfRule type="expression" dxfId="3282" priority="11917">
      <formula>$H270="SUBETAPA"</formula>
    </cfRule>
    <cfRule type="expression" dxfId="3281" priority="11919">
      <formula>$H270="ETAPA"</formula>
    </cfRule>
    <cfRule type="containsText" dxfId="3280" priority="11920" operator="containsText" text="Lançado">
      <formula>NOT(ISERROR(SEARCH("Lançado",P270)))</formula>
    </cfRule>
    <cfRule type="containsText" dxfId="3279" priority="11921" operator="containsText" text="N/A">
      <formula>NOT(ISERROR(SEARCH("N/A",P270)))</formula>
    </cfRule>
    <cfRule type="containsText" dxfId="3278" priority="11922" operator="containsText" text="Pendente">
      <formula>NOT(ISERROR(SEARCH("Pendente",P270)))</formula>
    </cfRule>
    <cfRule type="containsText" dxfId="3277" priority="11923" operator="containsText" text="Finalizado">
      <formula>NOT(ISERROR(SEARCH("Finalizado",P270)))</formula>
    </cfRule>
  </conditionalFormatting>
  <conditionalFormatting sqref="P272:P273">
    <cfRule type="containsText" dxfId="3276" priority="193" operator="containsText" text="N/A">
      <formula>NOT(ISERROR(SEARCH("N/A",P272)))</formula>
    </cfRule>
    <cfRule type="expression" dxfId="3275" priority="190">
      <formula>$H272="CÉLULA CONSTRUTIVA"</formula>
    </cfRule>
    <cfRule type="expression" dxfId="3274" priority="189">
      <formula>$H272="SUBETAPA"</formula>
    </cfRule>
    <cfRule type="containsText" dxfId="3273" priority="194" operator="containsText" text="Pendente">
      <formula>NOT(ISERROR(SEARCH("Pendente",P272)))</formula>
    </cfRule>
    <cfRule type="expression" dxfId="3272" priority="191">
      <formula>$H272="ETAPA"</formula>
    </cfRule>
    <cfRule type="containsText" dxfId="3271" priority="192" operator="containsText" text="Lançado">
      <formula>NOT(ISERROR(SEARCH("Lançado",P272)))</formula>
    </cfRule>
    <cfRule type="containsText" dxfId="3270" priority="196" operator="containsText" text="em andamento">
      <formula>NOT(ISERROR(SEARCH("em andamento",P272)))</formula>
    </cfRule>
    <cfRule type="containsText" dxfId="3269" priority="195" operator="containsText" text="Finalizado">
      <formula>NOT(ISERROR(SEARCH("Finalizado",P272)))</formula>
    </cfRule>
  </conditionalFormatting>
  <conditionalFormatting sqref="P275">
    <cfRule type="containsText" dxfId="3268" priority="1692" operator="containsText" text="Finalizado">
      <formula>NOT(ISERROR(SEARCH("Finalizado",P275)))</formula>
    </cfRule>
    <cfRule type="containsText" dxfId="3267" priority="1693" operator="containsText" text="em andamento">
      <formula>NOT(ISERROR(SEARCH("em andamento",P275)))</formula>
    </cfRule>
    <cfRule type="expression" dxfId="3266" priority="1688">
      <formula>$H275="ETAPA"</formula>
    </cfRule>
    <cfRule type="expression" dxfId="3265" priority="1687">
      <formula>$H275="CÉLULA CONSTRUTIVA"</formula>
    </cfRule>
    <cfRule type="containsText" dxfId="3264" priority="1689" operator="containsText" text="Lançado">
      <formula>NOT(ISERROR(SEARCH("Lançado",P275)))</formula>
    </cfRule>
    <cfRule type="expression" dxfId="3263" priority="1686">
      <formula>$H275="SUBETAPA"</formula>
    </cfRule>
    <cfRule type="containsText" dxfId="3262" priority="1690" operator="containsText" text="N/A">
      <formula>NOT(ISERROR(SEARCH("N/A",P275)))</formula>
    </cfRule>
    <cfRule type="containsText" dxfId="3261" priority="1691" operator="containsText" text="Pendente">
      <formula>NOT(ISERROR(SEARCH("Pendente",P275)))</formula>
    </cfRule>
  </conditionalFormatting>
  <conditionalFormatting sqref="P276:P277 P282 P290 P292 P294">
    <cfRule type="containsText" dxfId="3260" priority="12012" operator="containsText" text="em andamento">
      <formula>NOT(ISERROR(SEARCH("em andamento",P276)))</formula>
    </cfRule>
    <cfRule type="containsText" dxfId="3259" priority="12009" operator="containsText" text="N/A">
      <formula>NOT(ISERROR(SEARCH("N/A",P276)))</formula>
    </cfRule>
    <cfRule type="containsText" dxfId="3258" priority="12011" operator="containsText" text="Finalizado">
      <formula>NOT(ISERROR(SEARCH("Finalizado",P276)))</formula>
    </cfRule>
    <cfRule type="containsText" dxfId="3257" priority="12010" operator="containsText" text="Pendente">
      <formula>NOT(ISERROR(SEARCH("Pendente",P276)))</formula>
    </cfRule>
    <cfRule type="containsText" dxfId="3256" priority="12008" operator="containsText" text="Lançado">
      <formula>NOT(ISERROR(SEARCH("Lançado",P276)))</formula>
    </cfRule>
  </conditionalFormatting>
  <conditionalFormatting sqref="P278:P281">
    <cfRule type="containsText" dxfId="3255" priority="12004" operator="containsText" text="em andamento">
      <formula>NOT(ISERROR(SEARCH("em andamento",P278)))</formula>
    </cfRule>
    <cfRule type="containsText" dxfId="3254" priority="12003" operator="containsText" text="Finalizado">
      <formula>NOT(ISERROR(SEARCH("Finalizado",P278)))</formula>
    </cfRule>
    <cfRule type="containsText" dxfId="3253" priority="12002" operator="containsText" text="Pendente">
      <formula>NOT(ISERROR(SEARCH("Pendente",P278)))</formula>
    </cfRule>
    <cfRule type="containsText" dxfId="3252" priority="12001" operator="containsText" text="N/A">
      <formula>NOT(ISERROR(SEARCH("N/A",P278)))</formula>
    </cfRule>
    <cfRule type="containsText" dxfId="3251" priority="12000" operator="containsText" text="Lançado">
      <formula>NOT(ISERROR(SEARCH("Lançado",P278)))</formula>
    </cfRule>
  </conditionalFormatting>
  <conditionalFormatting sqref="P283:P288">
    <cfRule type="expression" dxfId="3250" priority="11990">
      <formula>$H283="CÉLULA CONSTRUTIVA"</formula>
    </cfRule>
    <cfRule type="containsText" dxfId="3249" priority="11996" operator="containsText" text="em andamento">
      <formula>NOT(ISERROR(SEARCH("em andamento",P283)))</formula>
    </cfRule>
    <cfRule type="containsText" dxfId="3248" priority="11995" operator="containsText" text="Finalizado">
      <formula>NOT(ISERROR(SEARCH("Finalizado",P283)))</formula>
    </cfRule>
    <cfRule type="containsText" dxfId="3247" priority="11994" operator="containsText" text="Pendente">
      <formula>NOT(ISERROR(SEARCH("Pendente",P283)))</formula>
    </cfRule>
    <cfRule type="containsText" dxfId="3246" priority="11993" operator="containsText" text="N/A">
      <formula>NOT(ISERROR(SEARCH("N/A",P283)))</formula>
    </cfRule>
    <cfRule type="containsText" dxfId="3245" priority="11992" operator="containsText" text="Lançado">
      <formula>NOT(ISERROR(SEARCH("Lançado",P283)))</formula>
    </cfRule>
    <cfRule type="expression" dxfId="3244" priority="11991">
      <formula>$H283="ETAPA"</formula>
    </cfRule>
  </conditionalFormatting>
  <conditionalFormatting sqref="P289">
    <cfRule type="containsText" dxfId="3243" priority="5317" operator="containsText" text="Finalizado">
      <formula>NOT(ISERROR(SEARCH("Finalizado",P289)))</formula>
    </cfRule>
    <cfRule type="containsText" dxfId="3242" priority="5315" operator="containsText" text="N/A">
      <formula>NOT(ISERROR(SEARCH("N/A",P289)))</formula>
    </cfRule>
    <cfRule type="containsText" dxfId="3241" priority="5314" operator="containsText" text="Lançado">
      <formula>NOT(ISERROR(SEARCH("Lançado",P289)))</formula>
    </cfRule>
    <cfRule type="containsText" dxfId="3240" priority="5318" operator="containsText" text="em andamento">
      <formula>NOT(ISERROR(SEARCH("em andamento",P289)))</formula>
    </cfRule>
    <cfRule type="containsText" dxfId="3239" priority="5316" operator="containsText" text="Pendente">
      <formula>NOT(ISERROR(SEARCH("Pendente",P289)))</formula>
    </cfRule>
  </conditionalFormatting>
  <conditionalFormatting sqref="P291">
    <cfRule type="containsText" dxfId="3238" priority="11986" operator="containsText" text="Pendente">
      <formula>NOT(ISERROR(SEARCH("Pendente",P291)))</formula>
    </cfRule>
    <cfRule type="containsText" dxfId="3237" priority="11984" operator="containsText" text="Lançado">
      <formula>NOT(ISERROR(SEARCH("Lançado",P291)))</formula>
    </cfRule>
    <cfRule type="expression" dxfId="3236" priority="11983">
      <formula>$H291="ETAPA"</formula>
    </cfRule>
    <cfRule type="expression" dxfId="3235" priority="11981">
      <formula>$H291="SUBETAPA"</formula>
    </cfRule>
    <cfRule type="containsText" dxfId="3234" priority="11987" operator="containsText" text="Finalizado">
      <formula>NOT(ISERROR(SEARCH("Finalizado",P291)))</formula>
    </cfRule>
    <cfRule type="containsText" dxfId="3233" priority="11988" operator="containsText" text="em andamento">
      <formula>NOT(ISERROR(SEARCH("em andamento",P291)))</formula>
    </cfRule>
    <cfRule type="expression" dxfId="3232" priority="11982">
      <formula>$H291="CÉLULA CONSTRUTIVA"</formula>
    </cfRule>
    <cfRule type="containsText" dxfId="3231" priority="11985" operator="containsText" text="N/A">
      <formula>NOT(ISERROR(SEARCH("N/A",P291)))</formula>
    </cfRule>
  </conditionalFormatting>
  <conditionalFormatting sqref="P293">
    <cfRule type="containsText" dxfId="3230" priority="5404" operator="containsText" text="em andamento">
      <formula>NOT(ISERROR(SEARCH("em andamento",P293)))</formula>
    </cfRule>
    <cfRule type="containsText" dxfId="3229" priority="5402" operator="containsText" text="Pendente">
      <formula>NOT(ISERROR(SEARCH("Pendente",P293)))</formula>
    </cfRule>
    <cfRule type="containsText" dxfId="3228" priority="5400" operator="containsText" text="Lançado">
      <formula>NOT(ISERROR(SEARCH("Lançado",P293)))</formula>
    </cfRule>
    <cfRule type="containsText" dxfId="3227" priority="5401" operator="containsText" text="N/A">
      <formula>NOT(ISERROR(SEARCH("N/A",P293)))</formula>
    </cfRule>
    <cfRule type="containsText" dxfId="3226" priority="5403" operator="containsText" text="Finalizado">
      <formula>NOT(ISERROR(SEARCH("Finalizado",P293)))</formula>
    </cfRule>
  </conditionalFormatting>
  <conditionalFormatting sqref="P295">
    <cfRule type="containsText" dxfId="3225" priority="11969" operator="containsText" text="N/A">
      <formula>NOT(ISERROR(SEARCH("N/A",P295)))</formula>
    </cfRule>
    <cfRule type="containsText" dxfId="3224" priority="11970" operator="containsText" text="Pendente">
      <formula>NOT(ISERROR(SEARCH("Pendente",P295)))</formula>
    </cfRule>
    <cfRule type="containsText" dxfId="3223" priority="11972" operator="containsText" text="em andamento">
      <formula>NOT(ISERROR(SEARCH("em andamento",P295)))</formula>
    </cfRule>
    <cfRule type="containsText" dxfId="3222" priority="11971" operator="containsText" text="Finalizado">
      <formula>NOT(ISERROR(SEARCH("Finalizado",P295)))</formula>
    </cfRule>
    <cfRule type="containsText" dxfId="3221" priority="11968" operator="containsText" text="Lançado">
      <formula>NOT(ISERROR(SEARCH("Lançado",P295)))</formula>
    </cfRule>
  </conditionalFormatting>
  <conditionalFormatting sqref="P296:P297 P302 P310 P312 P314">
    <cfRule type="containsText" dxfId="3220" priority="12074" operator="containsText" text="Pendente">
      <formula>NOT(ISERROR(SEARCH("Pendente",P296)))</formula>
    </cfRule>
    <cfRule type="containsText" dxfId="3219" priority="12073" operator="containsText" text="N/A">
      <formula>NOT(ISERROR(SEARCH("N/A",P296)))</formula>
    </cfRule>
    <cfRule type="containsText" dxfId="3218" priority="12075" operator="containsText" text="Finalizado">
      <formula>NOT(ISERROR(SEARCH("Finalizado",P296)))</formula>
    </cfRule>
    <cfRule type="containsText" dxfId="3217" priority="12076" operator="containsText" text="em andamento">
      <formula>NOT(ISERROR(SEARCH("em andamento",P296)))</formula>
    </cfRule>
    <cfRule type="containsText" dxfId="3216" priority="12072" operator="containsText" text="Lançado">
      <formula>NOT(ISERROR(SEARCH("Lançado",P296)))</formula>
    </cfRule>
  </conditionalFormatting>
  <conditionalFormatting sqref="P298:P301">
    <cfRule type="containsText" dxfId="3215" priority="12068" operator="containsText" text="em andamento">
      <formula>NOT(ISERROR(SEARCH("em andamento",P298)))</formula>
    </cfRule>
    <cfRule type="containsText" dxfId="3214" priority="12064" operator="containsText" text="Lançado">
      <formula>NOT(ISERROR(SEARCH("Lançado",P298)))</formula>
    </cfRule>
    <cfRule type="containsText" dxfId="3213" priority="12067" operator="containsText" text="Finalizado">
      <formula>NOT(ISERROR(SEARCH("Finalizado",P298)))</formula>
    </cfRule>
    <cfRule type="containsText" dxfId="3212" priority="12066" operator="containsText" text="Pendente">
      <formula>NOT(ISERROR(SEARCH("Pendente",P298)))</formula>
    </cfRule>
    <cfRule type="containsText" dxfId="3211" priority="12065" operator="containsText" text="N/A">
      <formula>NOT(ISERROR(SEARCH("N/A",P298)))</formula>
    </cfRule>
  </conditionalFormatting>
  <conditionalFormatting sqref="P303:P308">
    <cfRule type="containsText" dxfId="3210" priority="12060" operator="containsText" text="em andamento">
      <formula>NOT(ISERROR(SEARCH("em andamento",P303)))</formula>
    </cfRule>
    <cfRule type="containsText" dxfId="3209" priority="12058" operator="containsText" text="Pendente">
      <formula>NOT(ISERROR(SEARCH("Pendente",P303)))</formula>
    </cfRule>
    <cfRule type="containsText" dxfId="3208" priority="12057" operator="containsText" text="N/A">
      <formula>NOT(ISERROR(SEARCH("N/A",P303)))</formula>
    </cfRule>
    <cfRule type="containsText" dxfId="3207" priority="12056" operator="containsText" text="Lançado">
      <formula>NOT(ISERROR(SEARCH("Lançado",P303)))</formula>
    </cfRule>
    <cfRule type="expression" dxfId="3206" priority="12055">
      <formula>$H303="ETAPA"</formula>
    </cfRule>
    <cfRule type="expression" dxfId="3205" priority="12054">
      <formula>$H303="CÉLULA CONSTRUTIVA"</formula>
    </cfRule>
    <cfRule type="containsText" dxfId="3204" priority="12059" operator="containsText" text="Finalizado">
      <formula>NOT(ISERROR(SEARCH("Finalizado",P303)))</formula>
    </cfRule>
  </conditionalFormatting>
  <conditionalFormatting sqref="P309">
    <cfRule type="containsText" dxfId="3203" priority="5309" operator="containsText" text="Finalizado">
      <formula>NOT(ISERROR(SEARCH("Finalizado",P309)))</formula>
    </cfRule>
    <cfRule type="containsText" dxfId="3202" priority="5308" operator="containsText" text="Pendente">
      <formula>NOT(ISERROR(SEARCH("Pendente",P309)))</formula>
    </cfRule>
    <cfRule type="containsText" dxfId="3201" priority="5307" operator="containsText" text="N/A">
      <formula>NOT(ISERROR(SEARCH("N/A",P309)))</formula>
    </cfRule>
    <cfRule type="containsText" dxfId="3200" priority="5310" operator="containsText" text="em andamento">
      <formula>NOT(ISERROR(SEARCH("em andamento",P309)))</formula>
    </cfRule>
    <cfRule type="containsText" dxfId="3199" priority="5306" operator="containsText" text="Lançado">
      <formula>NOT(ISERROR(SEARCH("Lançado",P309)))</formula>
    </cfRule>
  </conditionalFormatting>
  <conditionalFormatting sqref="P311">
    <cfRule type="containsText" dxfId="3198" priority="12052" operator="containsText" text="em andamento">
      <formula>NOT(ISERROR(SEARCH("em andamento",P311)))</formula>
    </cfRule>
    <cfRule type="expression" dxfId="3197" priority="12045">
      <formula>$H311="SUBETAPA"</formula>
    </cfRule>
    <cfRule type="containsText" dxfId="3196" priority="12048" operator="containsText" text="Lançado">
      <formula>NOT(ISERROR(SEARCH("Lançado",P311)))</formula>
    </cfRule>
    <cfRule type="containsText" dxfId="3195" priority="12050" operator="containsText" text="Pendente">
      <formula>NOT(ISERROR(SEARCH("Pendente",P311)))</formula>
    </cfRule>
    <cfRule type="containsText" dxfId="3194" priority="12049" operator="containsText" text="N/A">
      <formula>NOT(ISERROR(SEARCH("N/A",P311)))</formula>
    </cfRule>
    <cfRule type="expression" dxfId="3193" priority="12047">
      <formula>$H311="ETAPA"</formula>
    </cfRule>
    <cfRule type="expression" dxfId="3192" priority="12046">
      <formula>$H311="CÉLULA CONSTRUTIVA"</formula>
    </cfRule>
    <cfRule type="containsText" dxfId="3191" priority="12051" operator="containsText" text="Finalizado">
      <formula>NOT(ISERROR(SEARCH("Finalizado",P311)))</formula>
    </cfRule>
  </conditionalFormatting>
  <conditionalFormatting sqref="P313">
    <cfRule type="containsText" dxfId="3190" priority="5389" operator="containsText" text="Lançado">
      <formula>NOT(ISERROR(SEARCH("Lançado",P313)))</formula>
    </cfRule>
    <cfRule type="containsText" dxfId="3189" priority="5393" operator="containsText" text="em andamento">
      <formula>NOT(ISERROR(SEARCH("em andamento",P313)))</formula>
    </cfRule>
    <cfRule type="containsText" dxfId="3188" priority="5392" operator="containsText" text="Finalizado">
      <formula>NOT(ISERROR(SEARCH("Finalizado",P313)))</formula>
    </cfRule>
    <cfRule type="containsText" dxfId="3187" priority="5391" operator="containsText" text="Pendente">
      <formula>NOT(ISERROR(SEARCH("Pendente",P313)))</formula>
    </cfRule>
    <cfRule type="containsText" dxfId="3186" priority="5390" operator="containsText" text="N/A">
      <formula>NOT(ISERROR(SEARCH("N/A",P313)))</formula>
    </cfRule>
  </conditionalFormatting>
  <conditionalFormatting sqref="P315">
    <cfRule type="containsText" dxfId="3185" priority="12034" operator="containsText" text="Pendente">
      <formula>NOT(ISERROR(SEARCH("Pendente",P315)))</formula>
    </cfRule>
    <cfRule type="containsText" dxfId="3184" priority="57" operator="containsText" text="em andamento">
      <formula>NOT(ISERROR(SEARCH("em andamento",P315)))</formula>
    </cfRule>
    <cfRule type="containsText" dxfId="3183" priority="56" operator="containsText" text="Finalizado">
      <formula>NOT(ISERROR(SEARCH("Finalizado",P315)))</formula>
    </cfRule>
    <cfRule type="containsText" dxfId="3182" priority="58" operator="containsText" text="Lançado">
      <formula>NOT(ISERROR(SEARCH("Lançado",P315)))</formula>
    </cfRule>
    <cfRule type="containsText" dxfId="3181" priority="12035" operator="containsText" text="Finalizado">
      <formula>NOT(ISERROR(SEARCH("Finalizado",P315)))</formula>
    </cfRule>
    <cfRule type="containsText" dxfId="3180" priority="12036" operator="containsText" text="em andamento">
      <formula>NOT(ISERROR(SEARCH("em andamento",P315)))</formula>
    </cfRule>
    <cfRule type="containsText" dxfId="3179" priority="60" operator="containsText" text="Pendente">
      <formula>NOT(ISERROR(SEARCH("Pendente",P315)))</formula>
    </cfRule>
    <cfRule type="containsText" dxfId="3178" priority="61" operator="containsText" text="Finalizado">
      <formula>NOT(ISERROR(SEARCH("Finalizado",P315)))</formula>
    </cfRule>
    <cfRule type="containsText" dxfId="3177" priority="12032" operator="containsText" text="Lançado">
      <formula>NOT(ISERROR(SEARCH("Lançado",P315)))</formula>
    </cfRule>
    <cfRule type="containsText" dxfId="3176" priority="55" operator="containsText" text="Pendente">
      <formula>NOT(ISERROR(SEARCH("Pendente",P315)))</formula>
    </cfRule>
    <cfRule type="containsText" dxfId="3175" priority="54" operator="containsText" text="N/A">
      <formula>NOT(ISERROR(SEARCH("N/A",P315)))</formula>
    </cfRule>
    <cfRule type="containsText" dxfId="3174" priority="53" operator="containsText" text="Lançado">
      <formula>NOT(ISERROR(SEARCH("Lançado",P315)))</formula>
    </cfRule>
    <cfRule type="containsText" dxfId="3173" priority="12033" operator="containsText" text="N/A">
      <formula>NOT(ISERROR(SEARCH("N/A",P315)))</formula>
    </cfRule>
    <cfRule type="containsText" dxfId="3172" priority="62" operator="containsText" text="em andamento">
      <formula>NOT(ISERROR(SEARCH("em andamento",P315)))</formula>
    </cfRule>
    <cfRule type="containsText" dxfId="3171" priority="59" operator="containsText" text="N/A">
      <formula>NOT(ISERROR(SEARCH("N/A",P315)))</formula>
    </cfRule>
  </conditionalFormatting>
  <conditionalFormatting sqref="P316:P317 P322 P330 P332 P334">
    <cfRule type="containsText" dxfId="3170" priority="12138" operator="containsText" text="Pendente">
      <formula>NOT(ISERROR(SEARCH("Pendente",P316)))</formula>
    </cfRule>
    <cfRule type="containsText" dxfId="3169" priority="12140" operator="containsText" text="em andamento">
      <formula>NOT(ISERROR(SEARCH("em andamento",P316)))</formula>
    </cfRule>
    <cfRule type="containsText" dxfId="3168" priority="12137" operator="containsText" text="N/A">
      <formula>NOT(ISERROR(SEARCH("N/A",P316)))</formula>
    </cfRule>
    <cfRule type="containsText" dxfId="3167" priority="12136" operator="containsText" text="Lançado">
      <formula>NOT(ISERROR(SEARCH("Lançado",P316)))</formula>
    </cfRule>
    <cfRule type="containsText" dxfId="3166" priority="12139" operator="containsText" text="Finalizado">
      <formula>NOT(ISERROR(SEARCH("Finalizado",P316)))</formula>
    </cfRule>
  </conditionalFormatting>
  <conditionalFormatting sqref="P318:P320">
    <cfRule type="containsText" dxfId="3165" priority="12131" operator="containsText" text="Finalizado">
      <formula>NOT(ISERROR(SEARCH("Finalizado",P318)))</formula>
    </cfRule>
    <cfRule type="containsText" dxfId="3164" priority="12130" operator="containsText" text="Pendente">
      <formula>NOT(ISERROR(SEARCH("Pendente",P318)))</formula>
    </cfRule>
    <cfRule type="containsText" dxfId="3163" priority="12132" operator="containsText" text="em andamento">
      <formula>NOT(ISERROR(SEARCH("em andamento",P318)))</formula>
    </cfRule>
  </conditionalFormatting>
  <conditionalFormatting sqref="P318:P321">
    <cfRule type="containsText" dxfId="3162" priority="5274" operator="containsText" text="Lançado">
      <formula>NOT(ISERROR(SEARCH("Lançado",P318)))</formula>
    </cfRule>
    <cfRule type="containsText" dxfId="3161" priority="5275" operator="containsText" text="N/A">
      <formula>NOT(ISERROR(SEARCH("N/A",P318)))</formula>
    </cfRule>
  </conditionalFormatting>
  <conditionalFormatting sqref="P321">
    <cfRule type="containsText" dxfId="3160" priority="5277" operator="containsText" text="Finalizado">
      <formula>NOT(ISERROR(SEARCH("Finalizado",P321)))</formula>
    </cfRule>
    <cfRule type="containsText" dxfId="3159" priority="5276" operator="containsText" text="Pendente">
      <formula>NOT(ISERROR(SEARCH("Pendente",P321)))</formula>
    </cfRule>
    <cfRule type="containsText" dxfId="3158" priority="5278" operator="containsText" text="em andamento">
      <formula>NOT(ISERROR(SEARCH("em andamento",P321)))</formula>
    </cfRule>
  </conditionalFormatting>
  <conditionalFormatting sqref="P323:P328">
    <cfRule type="containsText" dxfId="3157" priority="12124" operator="containsText" text="em andamento">
      <formula>NOT(ISERROR(SEARCH("em andamento",P323)))</formula>
    </cfRule>
    <cfRule type="expression" dxfId="3156" priority="12118">
      <formula>$H323="CÉLULA CONSTRUTIVA"</formula>
    </cfRule>
    <cfRule type="containsText" dxfId="3155" priority="12120" operator="containsText" text="Lançado">
      <formula>NOT(ISERROR(SEARCH("Lançado",P323)))</formula>
    </cfRule>
    <cfRule type="expression" dxfId="3154" priority="12119">
      <formula>$H323="ETAPA"</formula>
    </cfRule>
    <cfRule type="containsText" dxfId="3153" priority="12122" operator="containsText" text="Pendente">
      <formula>NOT(ISERROR(SEARCH("Pendente",P323)))</formula>
    </cfRule>
    <cfRule type="containsText" dxfId="3152" priority="12121" operator="containsText" text="N/A">
      <formula>NOT(ISERROR(SEARCH("N/A",P323)))</formula>
    </cfRule>
    <cfRule type="containsText" dxfId="3151" priority="12123" operator="containsText" text="Finalizado">
      <formula>NOT(ISERROR(SEARCH("Finalizado",P323)))</formula>
    </cfRule>
  </conditionalFormatting>
  <conditionalFormatting sqref="P329">
    <cfRule type="containsText" dxfId="3150" priority="5302" operator="containsText" text="em andamento">
      <formula>NOT(ISERROR(SEARCH("em andamento",P329)))</formula>
    </cfRule>
    <cfRule type="containsText" dxfId="3149" priority="5298" operator="containsText" text="Lançado">
      <formula>NOT(ISERROR(SEARCH("Lançado",P329)))</formula>
    </cfRule>
    <cfRule type="containsText" dxfId="3148" priority="5299" operator="containsText" text="N/A">
      <formula>NOT(ISERROR(SEARCH("N/A",P329)))</formula>
    </cfRule>
    <cfRule type="containsText" dxfId="3147" priority="5300" operator="containsText" text="Pendente">
      <formula>NOT(ISERROR(SEARCH("Pendente",P329)))</formula>
    </cfRule>
    <cfRule type="containsText" dxfId="3146" priority="5301" operator="containsText" text="Finalizado">
      <formula>NOT(ISERROR(SEARCH("Finalizado",P329)))</formula>
    </cfRule>
  </conditionalFormatting>
  <conditionalFormatting sqref="P331">
    <cfRule type="containsText" dxfId="3145" priority="12116" operator="containsText" text="em andamento">
      <formula>NOT(ISERROR(SEARCH("em andamento",P331)))</formula>
    </cfRule>
    <cfRule type="containsText" dxfId="3144" priority="12112" operator="containsText" text="Lançado">
      <formula>NOT(ISERROR(SEARCH("Lançado",P331)))</formula>
    </cfRule>
    <cfRule type="containsText" dxfId="3143" priority="12114" operator="containsText" text="Pendente">
      <formula>NOT(ISERROR(SEARCH("Pendente",P331)))</formula>
    </cfRule>
    <cfRule type="containsText" dxfId="3142" priority="12115" operator="containsText" text="Finalizado">
      <formula>NOT(ISERROR(SEARCH("Finalizado",P331)))</formula>
    </cfRule>
    <cfRule type="containsText" dxfId="3141" priority="12113" operator="containsText" text="N/A">
      <formula>NOT(ISERROR(SEARCH("N/A",P331)))</formula>
    </cfRule>
    <cfRule type="expression" dxfId="3140" priority="12109">
      <formula>$H331="SUBETAPA"</formula>
    </cfRule>
    <cfRule type="expression" dxfId="3139" priority="12110">
      <formula>$H331="CÉLULA CONSTRUTIVA"</formula>
    </cfRule>
    <cfRule type="expression" dxfId="3138" priority="12111">
      <formula>$H331="ETAPA"</formula>
    </cfRule>
  </conditionalFormatting>
  <conditionalFormatting sqref="P333">
    <cfRule type="containsText" dxfId="3137" priority="5382" operator="containsText" text="em andamento">
      <formula>NOT(ISERROR(SEARCH("em andamento",P333)))</formula>
    </cfRule>
    <cfRule type="containsText" dxfId="3136" priority="5378" operator="containsText" text="Lançado">
      <formula>NOT(ISERROR(SEARCH("Lançado",P333)))</formula>
    </cfRule>
    <cfRule type="containsText" dxfId="3135" priority="5379" operator="containsText" text="N/A">
      <formula>NOT(ISERROR(SEARCH("N/A",P333)))</formula>
    </cfRule>
    <cfRule type="containsText" dxfId="3134" priority="5380" operator="containsText" text="Pendente">
      <formula>NOT(ISERROR(SEARCH("Pendente",P333)))</formula>
    </cfRule>
    <cfRule type="containsText" dxfId="3133" priority="5381" operator="containsText" text="Finalizado">
      <formula>NOT(ISERROR(SEARCH("Finalizado",P333)))</formula>
    </cfRule>
  </conditionalFormatting>
  <conditionalFormatting sqref="P335">
    <cfRule type="containsText" dxfId="3132" priority="12099" operator="containsText" text="Finalizado">
      <formula>NOT(ISERROR(SEARCH("Finalizado",P335)))</formula>
    </cfRule>
    <cfRule type="containsText" dxfId="3131" priority="41" operator="containsText" text="N/A">
      <formula>NOT(ISERROR(SEARCH("N/A",P335)))</formula>
    </cfRule>
    <cfRule type="containsText" dxfId="3130" priority="67" operator="containsText" text="em andamento">
      <formula>NOT(ISERROR(SEARCH("em andamento",P335)))</formula>
    </cfRule>
    <cfRule type="containsText" dxfId="3129" priority="44" operator="containsText" text="em andamento">
      <formula>NOT(ISERROR(SEARCH("em andamento",P335)))</formula>
    </cfRule>
    <cfRule type="containsText" dxfId="3128" priority="45" operator="containsText" text="Lançado">
      <formula>NOT(ISERROR(SEARCH("Lançado",P335)))</formula>
    </cfRule>
    <cfRule type="containsText" dxfId="3127" priority="46" operator="containsText" text="N/A">
      <formula>NOT(ISERROR(SEARCH("N/A",P335)))</formula>
    </cfRule>
    <cfRule type="containsText" dxfId="3126" priority="47" operator="containsText" text="Pendente">
      <formula>NOT(ISERROR(SEARCH("Pendente",P335)))</formula>
    </cfRule>
    <cfRule type="containsText" dxfId="3125" priority="63" operator="containsText" text="Lançado">
      <formula>NOT(ISERROR(SEARCH("Lançado",P335)))</formula>
    </cfRule>
    <cfRule type="containsText" dxfId="3124" priority="12096" operator="containsText" text="Lançado">
      <formula>NOT(ISERROR(SEARCH("Lançado",P335)))</formula>
    </cfRule>
    <cfRule type="containsText" dxfId="3123" priority="48" operator="containsText" text="Finalizado">
      <formula>NOT(ISERROR(SEARCH("Finalizado",P335)))</formula>
    </cfRule>
    <cfRule type="containsText" dxfId="3122" priority="49" operator="containsText" text="em andamento">
      <formula>NOT(ISERROR(SEARCH("em andamento",P335)))</formula>
    </cfRule>
    <cfRule type="containsText" dxfId="3121" priority="66" operator="containsText" text="Finalizado">
      <formula>NOT(ISERROR(SEARCH("Finalizado",P335)))</formula>
    </cfRule>
    <cfRule type="containsText" dxfId="3120" priority="35" operator="containsText" text="Lançado">
      <formula>NOT(ISERROR(SEARCH("Lançado",P335)))</formula>
    </cfRule>
    <cfRule type="containsText" dxfId="3119" priority="43" operator="containsText" text="Finalizado">
      <formula>NOT(ISERROR(SEARCH("Finalizado",P335)))</formula>
    </cfRule>
    <cfRule type="containsText" dxfId="3118" priority="12097" operator="containsText" text="N/A">
      <formula>NOT(ISERROR(SEARCH("N/A",P335)))</formula>
    </cfRule>
    <cfRule type="containsText" dxfId="3117" priority="12098" operator="containsText" text="Pendente">
      <formula>NOT(ISERROR(SEARCH("Pendente",P335)))</formula>
    </cfRule>
    <cfRule type="containsText" dxfId="3116" priority="40" operator="containsText" text="Lançado">
      <formula>NOT(ISERROR(SEARCH("Lançado",P335)))</formula>
    </cfRule>
    <cfRule type="containsText" dxfId="3115" priority="36" operator="containsText" text="N/A">
      <formula>NOT(ISERROR(SEARCH("N/A",P335)))</formula>
    </cfRule>
    <cfRule type="containsText" dxfId="3114" priority="12100" operator="containsText" text="em andamento">
      <formula>NOT(ISERROR(SEARCH("em andamento",P335)))</formula>
    </cfRule>
    <cfRule type="containsText" dxfId="3113" priority="42" operator="containsText" text="Pendente">
      <formula>NOT(ISERROR(SEARCH("Pendente",P335)))</formula>
    </cfRule>
    <cfRule type="containsText" dxfId="3112" priority="37" operator="containsText" text="Pendente">
      <formula>NOT(ISERROR(SEARCH("Pendente",P335)))</formula>
    </cfRule>
    <cfRule type="containsText" dxfId="3111" priority="39" operator="containsText" text="em andamento">
      <formula>NOT(ISERROR(SEARCH("em andamento",P335)))</formula>
    </cfRule>
    <cfRule type="containsText" dxfId="3110" priority="38" operator="containsText" text="Finalizado">
      <formula>NOT(ISERROR(SEARCH("Finalizado",P335)))</formula>
    </cfRule>
    <cfRule type="containsText" dxfId="3109" priority="64" operator="containsText" text="N/A">
      <formula>NOT(ISERROR(SEARCH("N/A",P335)))</formula>
    </cfRule>
    <cfRule type="containsText" dxfId="3108" priority="65" operator="containsText" text="Pendente">
      <formula>NOT(ISERROR(SEARCH("Pendente",P335)))</formula>
    </cfRule>
  </conditionalFormatting>
  <conditionalFormatting sqref="P336:P337 P342 P350 P352 P354">
    <cfRule type="containsText" dxfId="3107" priority="12200" operator="containsText" text="Lançado">
      <formula>NOT(ISERROR(SEARCH("Lançado",P336)))</formula>
    </cfRule>
    <cfRule type="containsText" dxfId="3106" priority="12201" operator="containsText" text="N/A">
      <formula>NOT(ISERROR(SEARCH("N/A",P336)))</formula>
    </cfRule>
    <cfRule type="containsText" dxfId="3105" priority="12202" operator="containsText" text="Pendente">
      <formula>NOT(ISERROR(SEARCH("Pendente",P336)))</formula>
    </cfRule>
    <cfRule type="containsText" dxfId="3104" priority="12204" operator="containsText" text="em andamento">
      <formula>NOT(ISERROR(SEARCH("em andamento",P336)))</formula>
    </cfRule>
    <cfRule type="containsText" dxfId="3103" priority="12203" operator="containsText" text="Finalizado">
      <formula>NOT(ISERROR(SEARCH("Finalizado",P336)))</formula>
    </cfRule>
  </conditionalFormatting>
  <conditionalFormatting sqref="P338:P340">
    <cfRule type="containsText" dxfId="3102" priority="12195" operator="containsText" text="Finalizado">
      <formula>NOT(ISERROR(SEARCH("Finalizado",P338)))</formula>
    </cfRule>
    <cfRule type="containsText" dxfId="3101" priority="12196" operator="containsText" text="em andamento">
      <formula>NOT(ISERROR(SEARCH("em andamento",P338)))</formula>
    </cfRule>
    <cfRule type="containsText" dxfId="3100" priority="12194" operator="containsText" text="Pendente">
      <formula>NOT(ISERROR(SEARCH("Pendente",P338)))</formula>
    </cfRule>
  </conditionalFormatting>
  <conditionalFormatting sqref="P338:P341">
    <cfRule type="containsText" dxfId="3099" priority="5263" operator="containsText" text="Lançado">
      <formula>NOT(ISERROR(SEARCH("Lançado",P338)))</formula>
    </cfRule>
    <cfRule type="containsText" dxfId="3098" priority="5264" operator="containsText" text="N/A">
      <formula>NOT(ISERROR(SEARCH("N/A",P338)))</formula>
    </cfRule>
  </conditionalFormatting>
  <conditionalFormatting sqref="P341">
    <cfRule type="containsText" dxfId="3097" priority="5267" operator="containsText" text="em andamento">
      <formula>NOT(ISERROR(SEARCH("em andamento",P341)))</formula>
    </cfRule>
    <cfRule type="containsText" dxfId="3096" priority="5266" operator="containsText" text="Finalizado">
      <formula>NOT(ISERROR(SEARCH("Finalizado",P341)))</formula>
    </cfRule>
    <cfRule type="containsText" dxfId="3095" priority="5265" operator="containsText" text="Pendente">
      <formula>NOT(ISERROR(SEARCH("Pendente",P341)))</formula>
    </cfRule>
  </conditionalFormatting>
  <conditionalFormatting sqref="P343:P348">
    <cfRule type="containsText" dxfId="3094" priority="12188" operator="containsText" text="em andamento">
      <formula>NOT(ISERROR(SEARCH("em andamento",P343)))</formula>
    </cfRule>
    <cfRule type="containsText" dxfId="3093" priority="12187" operator="containsText" text="Finalizado">
      <formula>NOT(ISERROR(SEARCH("Finalizado",P343)))</formula>
    </cfRule>
    <cfRule type="containsText" dxfId="3092" priority="12186" operator="containsText" text="Pendente">
      <formula>NOT(ISERROR(SEARCH("Pendente",P343)))</formula>
    </cfRule>
    <cfRule type="containsText" dxfId="3091" priority="12185" operator="containsText" text="N/A">
      <formula>NOT(ISERROR(SEARCH("N/A",P343)))</formula>
    </cfRule>
    <cfRule type="containsText" dxfId="3090" priority="12184" operator="containsText" text="Lançado">
      <formula>NOT(ISERROR(SEARCH("Lançado",P343)))</formula>
    </cfRule>
    <cfRule type="expression" dxfId="3089" priority="12183">
      <formula>$H343="ETAPA"</formula>
    </cfRule>
    <cfRule type="expression" dxfId="3088" priority="12182">
      <formula>$H343="CÉLULA CONSTRUTIVA"</formula>
    </cfRule>
  </conditionalFormatting>
  <conditionalFormatting sqref="P349">
    <cfRule type="containsText" dxfId="3087" priority="5290" operator="containsText" text="Lançado">
      <formula>NOT(ISERROR(SEARCH("Lançado",P349)))</formula>
    </cfRule>
    <cfRule type="containsText" dxfId="3086" priority="5294" operator="containsText" text="em andamento">
      <formula>NOT(ISERROR(SEARCH("em andamento",P349)))</formula>
    </cfRule>
    <cfRule type="containsText" dxfId="3085" priority="5293" operator="containsText" text="Finalizado">
      <formula>NOT(ISERROR(SEARCH("Finalizado",P349)))</formula>
    </cfRule>
    <cfRule type="containsText" dxfId="3084" priority="5292" operator="containsText" text="Pendente">
      <formula>NOT(ISERROR(SEARCH("Pendente",P349)))</formula>
    </cfRule>
    <cfRule type="containsText" dxfId="3083" priority="5291" operator="containsText" text="N/A">
      <formula>NOT(ISERROR(SEARCH("N/A",P349)))</formula>
    </cfRule>
  </conditionalFormatting>
  <conditionalFormatting sqref="P351">
    <cfRule type="containsText" dxfId="3082" priority="12180" operator="containsText" text="em andamento">
      <formula>NOT(ISERROR(SEARCH("em andamento",P351)))</formula>
    </cfRule>
    <cfRule type="containsText" dxfId="3081" priority="12179" operator="containsText" text="Finalizado">
      <formula>NOT(ISERROR(SEARCH("Finalizado",P351)))</formula>
    </cfRule>
    <cfRule type="containsText" dxfId="3080" priority="12178" operator="containsText" text="Pendente">
      <formula>NOT(ISERROR(SEARCH("Pendente",P351)))</formula>
    </cfRule>
    <cfRule type="containsText" dxfId="3079" priority="12177" operator="containsText" text="N/A">
      <formula>NOT(ISERROR(SEARCH("N/A",P351)))</formula>
    </cfRule>
    <cfRule type="containsText" dxfId="3078" priority="12176" operator="containsText" text="Lançado">
      <formula>NOT(ISERROR(SEARCH("Lançado",P351)))</formula>
    </cfRule>
    <cfRule type="expression" dxfId="3077" priority="12175">
      <formula>$H351="ETAPA"</formula>
    </cfRule>
    <cfRule type="expression" dxfId="3076" priority="12174">
      <formula>$H351="CÉLULA CONSTRUTIVA"</formula>
    </cfRule>
    <cfRule type="expression" dxfId="3075" priority="12173">
      <formula>$H351="SUBETAPA"</formula>
    </cfRule>
  </conditionalFormatting>
  <conditionalFormatting sqref="P353">
    <cfRule type="containsText" dxfId="3074" priority="5371" operator="containsText" text="em andamento">
      <formula>NOT(ISERROR(SEARCH("em andamento",P353)))</formula>
    </cfRule>
    <cfRule type="containsText" dxfId="3073" priority="5370" operator="containsText" text="Finalizado">
      <formula>NOT(ISERROR(SEARCH("Finalizado",P353)))</formula>
    </cfRule>
    <cfRule type="containsText" dxfId="3072" priority="5369" operator="containsText" text="Pendente">
      <formula>NOT(ISERROR(SEARCH("Pendente",P353)))</formula>
    </cfRule>
    <cfRule type="containsText" dxfId="3071" priority="5368" operator="containsText" text="N/A">
      <formula>NOT(ISERROR(SEARCH("N/A",P353)))</formula>
    </cfRule>
    <cfRule type="containsText" dxfId="3070" priority="5367" operator="containsText" text="Lançado">
      <formula>NOT(ISERROR(SEARCH("Lançado",P353)))</formula>
    </cfRule>
  </conditionalFormatting>
  <conditionalFormatting sqref="P355">
    <cfRule type="containsText" dxfId="3069" priority="11" operator="containsText" text="N/A">
      <formula>NOT(ISERROR(SEARCH("N/A",P355)))</formula>
    </cfRule>
    <cfRule type="containsText" dxfId="3068" priority="12" operator="containsText" text="Pendente">
      <formula>NOT(ISERROR(SEARCH("Pendente",P355)))</formula>
    </cfRule>
    <cfRule type="containsText" dxfId="3067" priority="13" operator="containsText" text="Finalizado">
      <formula>NOT(ISERROR(SEARCH("Finalizado",P355)))</formula>
    </cfRule>
    <cfRule type="containsText" dxfId="3066" priority="14" operator="containsText" text="em andamento">
      <formula>NOT(ISERROR(SEARCH("em andamento",P355)))</formula>
    </cfRule>
    <cfRule type="containsText" dxfId="3065" priority="15" operator="containsText" text="Lançado">
      <formula>NOT(ISERROR(SEARCH("Lançado",P355)))</formula>
    </cfRule>
    <cfRule type="containsText" dxfId="3064" priority="16" operator="containsText" text="N/A">
      <formula>NOT(ISERROR(SEARCH("N/A",P355)))</formula>
    </cfRule>
    <cfRule type="containsText" dxfId="3063" priority="17" operator="containsText" text="Pendente">
      <formula>NOT(ISERROR(SEARCH("Pendente",P355)))</formula>
    </cfRule>
    <cfRule type="containsText" dxfId="3062" priority="18" operator="containsText" text="Finalizado">
      <formula>NOT(ISERROR(SEARCH("Finalizado",P355)))</formula>
    </cfRule>
    <cfRule type="containsText" dxfId="3061" priority="19" operator="containsText" text="em andamento">
      <formula>NOT(ISERROR(SEARCH("em andamento",P355)))</formula>
    </cfRule>
    <cfRule type="containsText" dxfId="3060" priority="20" operator="containsText" text="Lançado">
      <formula>NOT(ISERROR(SEARCH("Lançado",P355)))</formula>
    </cfRule>
    <cfRule type="containsText" dxfId="3059" priority="21" operator="containsText" text="N/A">
      <formula>NOT(ISERROR(SEARCH("N/A",P355)))</formula>
    </cfRule>
    <cfRule type="containsText" dxfId="3058" priority="22" operator="containsText" text="Pendente">
      <formula>NOT(ISERROR(SEARCH("Pendente",P355)))</formula>
    </cfRule>
    <cfRule type="containsText" dxfId="3057" priority="23" operator="containsText" text="Finalizado">
      <formula>NOT(ISERROR(SEARCH("Finalizado",P355)))</formula>
    </cfRule>
    <cfRule type="containsText" dxfId="3056" priority="24" operator="containsText" text="em andamento">
      <formula>NOT(ISERROR(SEARCH("em andamento",P355)))</formula>
    </cfRule>
    <cfRule type="containsText" dxfId="3055" priority="25" operator="containsText" text="Lançado">
      <formula>NOT(ISERROR(SEARCH("Lançado",P355)))</formula>
    </cfRule>
    <cfRule type="containsText" dxfId="3054" priority="26" operator="containsText" text="N/A">
      <formula>NOT(ISERROR(SEARCH("N/A",P355)))</formula>
    </cfRule>
    <cfRule type="containsText" dxfId="3053" priority="27" operator="containsText" text="Pendente">
      <formula>NOT(ISERROR(SEARCH("Pendente",P355)))</formula>
    </cfRule>
    <cfRule type="containsText" dxfId="3052" priority="28" operator="containsText" text="Finalizado">
      <formula>NOT(ISERROR(SEARCH("Finalizado",P355)))</formula>
    </cfRule>
    <cfRule type="containsText" dxfId="3051" priority="29" operator="containsText" text="em andamento">
      <formula>NOT(ISERROR(SEARCH("em andamento",P355)))</formula>
    </cfRule>
    <cfRule type="containsText" dxfId="3050" priority="30" operator="containsText" text="Lançado">
      <formula>NOT(ISERROR(SEARCH("Lançado",P355)))</formula>
    </cfRule>
    <cfRule type="containsText" dxfId="3049" priority="31" operator="containsText" text="N/A">
      <formula>NOT(ISERROR(SEARCH("N/A",P355)))</formula>
    </cfRule>
    <cfRule type="containsText" dxfId="3048" priority="32" operator="containsText" text="Pendente">
      <formula>NOT(ISERROR(SEARCH("Pendente",P355)))</formula>
    </cfRule>
    <cfRule type="containsText" dxfId="3047" priority="33" operator="containsText" text="Finalizado">
      <formula>NOT(ISERROR(SEARCH("Finalizado",P355)))</formula>
    </cfRule>
    <cfRule type="containsText" dxfId="3046" priority="34" operator="containsText" text="em andamento">
      <formula>NOT(ISERROR(SEARCH("em andamento",P355)))</formula>
    </cfRule>
    <cfRule type="containsText" dxfId="3045" priority="12161" operator="containsText" text="N/A">
      <formula>NOT(ISERROR(SEARCH("N/A",P355)))</formula>
    </cfRule>
    <cfRule type="containsText" dxfId="3044" priority="12162" operator="containsText" text="Pendente">
      <formula>NOT(ISERROR(SEARCH("Pendente",P355)))</formula>
    </cfRule>
    <cfRule type="containsText" dxfId="3043" priority="12163" operator="containsText" text="Finalizado">
      <formula>NOT(ISERROR(SEARCH("Finalizado",P355)))</formula>
    </cfRule>
    <cfRule type="containsText" dxfId="3042" priority="12164" operator="containsText" text="em andamento">
      <formula>NOT(ISERROR(SEARCH("em andamento",P355)))</formula>
    </cfRule>
    <cfRule type="containsText" dxfId="3041" priority="10" operator="containsText" text="Lançado">
      <formula>NOT(ISERROR(SEARCH("Lançado",P355)))</formula>
    </cfRule>
    <cfRule type="containsText" dxfId="3040" priority="12160" operator="containsText" text="Lançado">
      <formula>NOT(ISERROR(SEARCH("Lançado",P355)))</formula>
    </cfRule>
  </conditionalFormatting>
  <conditionalFormatting sqref="P356:P357 P362 P369 P371 P373">
    <cfRule type="containsText" dxfId="3039" priority="12791" operator="containsText" text="Lançado">
      <formula>NOT(ISERROR(SEARCH("Lançado",P356)))</formula>
    </cfRule>
    <cfRule type="containsText" dxfId="3038" priority="12792" operator="containsText" text="N/A">
      <formula>NOT(ISERROR(SEARCH("N/A",P356)))</formula>
    </cfRule>
    <cfRule type="containsText" dxfId="3037" priority="12794" operator="containsText" text="Finalizado">
      <formula>NOT(ISERROR(SEARCH("Finalizado",P356)))</formula>
    </cfRule>
    <cfRule type="containsText" dxfId="3036" priority="12795" operator="containsText" text="em andamento">
      <formula>NOT(ISERROR(SEARCH("em andamento",P356)))</formula>
    </cfRule>
    <cfRule type="containsText" dxfId="3035" priority="12793" operator="containsText" text="Pendente">
      <formula>NOT(ISERROR(SEARCH("Pendente",P356)))</formula>
    </cfRule>
  </conditionalFormatting>
  <conditionalFormatting sqref="P358:P360">
    <cfRule type="containsText" dxfId="3034" priority="12446" operator="containsText" text="em andamento">
      <formula>NOT(ISERROR(SEARCH("em andamento",P358)))</formula>
    </cfRule>
    <cfRule type="containsText" dxfId="3033" priority="12445" operator="containsText" text="Finalizado">
      <formula>NOT(ISERROR(SEARCH("Finalizado",P358)))</formula>
    </cfRule>
    <cfRule type="containsText" dxfId="3032" priority="12444" operator="containsText" text="Pendente">
      <formula>NOT(ISERROR(SEARCH("Pendente",P358)))</formula>
    </cfRule>
  </conditionalFormatting>
  <conditionalFormatting sqref="P358:P361">
    <cfRule type="containsText" dxfId="3031" priority="5253" operator="containsText" text="N/A">
      <formula>NOT(ISERROR(SEARCH("N/A",P358)))</formula>
    </cfRule>
    <cfRule type="containsText" dxfId="3030" priority="5252" operator="containsText" text="Lançado">
      <formula>NOT(ISERROR(SEARCH("Lançado",P358)))</formula>
    </cfRule>
  </conditionalFormatting>
  <conditionalFormatting sqref="P361">
    <cfRule type="containsText" dxfId="3029" priority="5255" operator="containsText" text="Finalizado">
      <formula>NOT(ISERROR(SEARCH("Finalizado",P361)))</formula>
    </cfRule>
    <cfRule type="containsText" dxfId="3028" priority="5254" operator="containsText" text="Pendente">
      <formula>NOT(ISERROR(SEARCH("Pendente",P361)))</formula>
    </cfRule>
    <cfRule type="containsText" dxfId="3027" priority="5256" operator="containsText" text="em andamento">
      <formula>NOT(ISERROR(SEARCH("em andamento",P361)))</formula>
    </cfRule>
  </conditionalFormatting>
  <conditionalFormatting sqref="P363:P367">
    <cfRule type="containsText" dxfId="3026" priority="12419" operator="containsText" text="Finalizado">
      <formula>NOT(ISERROR(SEARCH("Finalizado",P363)))</formula>
    </cfRule>
    <cfRule type="containsText" dxfId="3025" priority="12418" operator="containsText" text="Pendente">
      <formula>NOT(ISERROR(SEARCH("Pendente",P363)))</formula>
    </cfRule>
    <cfRule type="containsText" dxfId="3024" priority="12420" operator="containsText" text="em andamento">
      <formula>NOT(ISERROR(SEARCH("em andamento",P363)))</formula>
    </cfRule>
  </conditionalFormatting>
  <conditionalFormatting sqref="P363:P368">
    <cfRule type="containsText" dxfId="3023" priority="5283" operator="containsText" text="N/A">
      <formula>NOT(ISERROR(SEARCH("N/A",P363)))</formula>
    </cfRule>
    <cfRule type="containsText" dxfId="3022" priority="5282" operator="containsText" text="Lançado">
      <formula>NOT(ISERROR(SEARCH("Lançado",P363)))</formula>
    </cfRule>
  </conditionalFormatting>
  <conditionalFormatting sqref="P368">
    <cfRule type="containsText" dxfId="3021" priority="5286" operator="containsText" text="em andamento">
      <formula>NOT(ISERROR(SEARCH("em andamento",P368)))</formula>
    </cfRule>
    <cfRule type="containsText" dxfId="3020" priority="5285" operator="containsText" text="Finalizado">
      <formula>NOT(ISERROR(SEARCH("Finalizado",P368)))</formula>
    </cfRule>
    <cfRule type="containsText" dxfId="3019" priority="5284" operator="containsText" text="Pendente">
      <formula>NOT(ISERROR(SEARCH("Pendente",P368)))</formula>
    </cfRule>
  </conditionalFormatting>
  <conditionalFormatting sqref="P370">
    <cfRule type="expression" dxfId="3018" priority="12383">
      <formula>$H370="ETAPA"</formula>
    </cfRule>
    <cfRule type="containsText" dxfId="3017" priority="12384" operator="containsText" text="Lançado">
      <formula>NOT(ISERROR(SEARCH("Lançado",P370)))</formula>
    </cfRule>
    <cfRule type="containsText" dxfId="3016" priority="12388" operator="containsText" text="em andamento">
      <formula>NOT(ISERROR(SEARCH("em andamento",P370)))</formula>
    </cfRule>
    <cfRule type="containsText" dxfId="3015" priority="12387" operator="containsText" text="Finalizado">
      <formula>NOT(ISERROR(SEARCH("Finalizado",P370)))</formula>
    </cfRule>
    <cfRule type="containsText" dxfId="3014" priority="12386" operator="containsText" text="Pendente">
      <formula>NOT(ISERROR(SEARCH("Pendente",P370)))</formula>
    </cfRule>
    <cfRule type="containsText" dxfId="3013" priority="12385" operator="containsText" text="N/A">
      <formula>NOT(ISERROR(SEARCH("N/A",P370)))</formula>
    </cfRule>
    <cfRule type="expression" dxfId="3012" priority="12381">
      <formula>$H370="SUBETAPA"</formula>
    </cfRule>
    <cfRule type="expression" dxfId="3011" priority="12382">
      <formula>$H370="CÉLULA CONSTRUTIVA"</formula>
    </cfRule>
  </conditionalFormatting>
  <conditionalFormatting sqref="P372">
    <cfRule type="containsText" dxfId="3010" priority="5359" operator="containsText" text="Finalizado">
      <formula>NOT(ISERROR(SEARCH("Finalizado",P372)))</formula>
    </cfRule>
    <cfRule type="containsText" dxfId="3009" priority="5358" operator="containsText" text="Pendente">
      <formula>NOT(ISERROR(SEARCH("Pendente",P372)))</formula>
    </cfRule>
    <cfRule type="containsText" dxfId="3008" priority="5357" operator="containsText" text="N/A">
      <formula>NOT(ISERROR(SEARCH("N/A",P372)))</formula>
    </cfRule>
    <cfRule type="containsText" dxfId="3007" priority="5356" operator="containsText" text="Lançado">
      <formula>NOT(ISERROR(SEARCH("Lançado",P372)))</formula>
    </cfRule>
    <cfRule type="containsText" dxfId="3006" priority="5360" operator="containsText" text="em andamento">
      <formula>NOT(ISERROR(SEARCH("em andamento",P372)))</formula>
    </cfRule>
  </conditionalFormatting>
  <conditionalFormatting sqref="P374">
    <cfRule type="containsText" dxfId="3005" priority="12291" operator="containsText" text="Finalizado">
      <formula>NOT(ISERROR(SEARCH("Finalizado",P374)))</formula>
    </cfRule>
    <cfRule type="containsText" dxfId="3004" priority="12290" operator="containsText" text="Pendente">
      <formula>NOT(ISERROR(SEARCH("Pendente",P374)))</formula>
    </cfRule>
    <cfRule type="containsText" dxfId="3003" priority="12292" operator="containsText" text="em andamento">
      <formula>NOT(ISERROR(SEARCH("em andamento",P374)))</formula>
    </cfRule>
  </conditionalFormatting>
  <conditionalFormatting sqref="P374:P376 P380 P386">
    <cfRule type="containsText" dxfId="3002" priority="12264" operator="containsText" text="Lançado">
      <formula>NOT(ISERROR(SEARCH("Lançado",P374)))</formula>
    </cfRule>
    <cfRule type="containsText" dxfId="3001" priority="12265" operator="containsText" text="N/A">
      <formula>NOT(ISERROR(SEARCH("N/A",P374)))</formula>
    </cfRule>
  </conditionalFormatting>
  <conditionalFormatting sqref="P375:P376 P380 P386">
    <cfRule type="containsText" dxfId="3000" priority="12266" operator="containsText" text="Pendente">
      <formula>NOT(ISERROR(SEARCH("Pendente",P375)))</formula>
    </cfRule>
    <cfRule type="containsText" dxfId="2999" priority="12268" operator="containsText" text="em andamento">
      <formula>NOT(ISERROR(SEARCH("em andamento",P375)))</formula>
    </cfRule>
    <cfRule type="containsText" dxfId="2998" priority="12267" operator="containsText" text="Finalizado">
      <formula>NOT(ISERROR(SEARCH("Finalizado",P375)))</formula>
    </cfRule>
  </conditionalFormatting>
  <conditionalFormatting sqref="P377:P379">
    <cfRule type="containsText" dxfId="2997" priority="12260" operator="containsText" text="em andamento">
      <formula>NOT(ISERROR(SEARCH("em andamento",P377)))</formula>
    </cfRule>
    <cfRule type="containsText" dxfId="2996" priority="12259" operator="containsText" text="Finalizado">
      <formula>NOT(ISERROR(SEARCH("Finalizado",P377)))</formula>
    </cfRule>
    <cfRule type="containsText" dxfId="2995" priority="12258" operator="containsText" text="Pendente">
      <formula>NOT(ISERROR(SEARCH("Pendente",P377)))</formula>
    </cfRule>
    <cfRule type="containsText" dxfId="2994" priority="12257" operator="containsText" text="N/A">
      <formula>NOT(ISERROR(SEARCH("N/A",P377)))</formula>
    </cfRule>
    <cfRule type="containsText" dxfId="2993" priority="12256" operator="containsText" text="Lançado">
      <formula>NOT(ISERROR(SEARCH("Lançado",P377)))</formula>
    </cfRule>
  </conditionalFormatting>
  <conditionalFormatting sqref="P381:P385">
    <cfRule type="containsText" dxfId="2992" priority="12251" operator="containsText" text="Finalizado">
      <formula>NOT(ISERROR(SEARCH("Finalizado",P381)))</formula>
    </cfRule>
    <cfRule type="containsText" dxfId="2991" priority="12250" operator="containsText" text="Pendente">
      <formula>NOT(ISERROR(SEARCH("Pendente",P381)))</formula>
    </cfRule>
    <cfRule type="containsText" dxfId="2990" priority="12249" operator="containsText" text="N/A">
      <formula>NOT(ISERROR(SEARCH("N/A",P381)))</formula>
    </cfRule>
    <cfRule type="containsText" dxfId="2989" priority="12252" operator="containsText" text="em andamento">
      <formula>NOT(ISERROR(SEARCH("em andamento",P381)))</formula>
    </cfRule>
    <cfRule type="containsText" dxfId="2988" priority="12248" operator="containsText" text="Lançado">
      <formula>NOT(ISERROR(SEARCH("Lançado",P381)))</formula>
    </cfRule>
  </conditionalFormatting>
  <conditionalFormatting sqref="P387">
    <cfRule type="containsText" dxfId="2987" priority="12243" operator="containsText" text="Finalizado">
      <formula>NOT(ISERROR(SEARCH("Finalizado",P387)))</formula>
    </cfRule>
    <cfRule type="containsText" dxfId="2986" priority="12244" operator="containsText" text="em andamento">
      <formula>NOT(ISERROR(SEARCH("em andamento",P387)))</formula>
    </cfRule>
    <cfRule type="containsText" dxfId="2985" priority="12241" operator="containsText" text="N/A">
      <formula>NOT(ISERROR(SEARCH("N/A",P387)))</formula>
    </cfRule>
    <cfRule type="expression" dxfId="2984" priority="12239">
      <formula>$H387="ETAPA"</formula>
    </cfRule>
    <cfRule type="containsText" dxfId="2983" priority="12240" operator="containsText" text="Lançado">
      <formula>NOT(ISERROR(SEARCH("Lançado",P387)))</formula>
    </cfRule>
    <cfRule type="containsText" dxfId="2982" priority="12242" operator="containsText" text="Pendente">
      <formula>NOT(ISERROR(SEARCH("Pendente",P387)))</formula>
    </cfRule>
    <cfRule type="expression" dxfId="2981" priority="12238">
      <formula>$H387="CÉLULA CONSTRUTIVA"</formula>
    </cfRule>
  </conditionalFormatting>
  <conditionalFormatting sqref="P389">
    <cfRule type="containsText" dxfId="2980" priority="12228" operator="containsText" text="em andamento">
      <formula>NOT(ISERROR(SEARCH("em andamento",P389)))</formula>
    </cfRule>
    <cfRule type="containsText" dxfId="2979" priority="12224" operator="containsText" text="Lançado">
      <formula>NOT(ISERROR(SEARCH("Lançado",P389)))</formula>
    </cfRule>
    <cfRule type="containsText" dxfId="2978" priority="12225" operator="containsText" text="N/A">
      <formula>NOT(ISERROR(SEARCH("N/A",P389)))</formula>
    </cfRule>
    <cfRule type="containsText" dxfId="2977" priority="12227" operator="containsText" text="Finalizado">
      <formula>NOT(ISERROR(SEARCH("Finalizado",P389)))</formula>
    </cfRule>
    <cfRule type="containsText" dxfId="2976" priority="12226" operator="containsText" text="Pendente">
      <formula>NOT(ISERROR(SEARCH("Pendente",P389)))</formula>
    </cfRule>
  </conditionalFormatting>
  <conditionalFormatting sqref="P393:P394">
    <cfRule type="containsText" dxfId="2975" priority="6873" operator="containsText" text="Pendente">
      <formula>NOT(ISERROR(SEARCH("Pendente",P393)))</formula>
    </cfRule>
    <cfRule type="containsText" dxfId="2974" priority="6875" operator="containsText" text="em andamento">
      <formula>NOT(ISERROR(SEARCH("em andamento",P393)))</formula>
    </cfRule>
    <cfRule type="containsText" dxfId="2973" priority="6874" operator="containsText" text="Finalizado">
      <formula>NOT(ISERROR(SEARCH("Finalizado",P393)))</formula>
    </cfRule>
    <cfRule type="expression" dxfId="2972" priority="6868">
      <formula>$H393="SUBETAPA"</formula>
    </cfRule>
    <cfRule type="containsText" dxfId="2971" priority="6872" operator="containsText" text="N/A">
      <formula>NOT(ISERROR(SEARCH("N/A",P393)))</formula>
    </cfRule>
    <cfRule type="containsText" dxfId="2970" priority="6871" operator="containsText" text="Lançado">
      <formula>NOT(ISERROR(SEARCH("Lançado",P393)))</formula>
    </cfRule>
    <cfRule type="expression" dxfId="2969" priority="6870">
      <formula>$H393="ETAPA"</formula>
    </cfRule>
    <cfRule type="expression" dxfId="2968" priority="6869">
      <formula>$H393="CÉLULA CONSTRUTIVA"</formula>
    </cfRule>
  </conditionalFormatting>
  <conditionalFormatting sqref="P396">
    <cfRule type="containsText" dxfId="2967" priority="6867" operator="containsText" text="em andamento">
      <formula>NOT(ISERROR(SEARCH("em andamento",P396)))</formula>
    </cfRule>
    <cfRule type="containsText" dxfId="2966" priority="6866" operator="containsText" text="Finalizado">
      <formula>NOT(ISERROR(SEARCH("Finalizado",P396)))</formula>
    </cfRule>
    <cfRule type="containsText" dxfId="2965" priority="6865" operator="containsText" text="Pendente">
      <formula>NOT(ISERROR(SEARCH("Pendente",P396)))</formula>
    </cfRule>
    <cfRule type="containsText" dxfId="2964" priority="6864" operator="containsText" text="N/A">
      <formula>NOT(ISERROR(SEARCH("N/A",P396)))</formula>
    </cfRule>
    <cfRule type="containsText" dxfId="2963" priority="6863" operator="containsText" text="Lançado">
      <formula>NOT(ISERROR(SEARCH("Lançado",P396)))</formula>
    </cfRule>
    <cfRule type="expression" dxfId="2962" priority="6862">
      <formula>$H396="ETAPA"</formula>
    </cfRule>
    <cfRule type="expression" dxfId="2961" priority="6861">
      <formula>$H396="CÉLULA CONSTRUTIVA"</formula>
    </cfRule>
    <cfRule type="expression" dxfId="2960" priority="6860">
      <formula>$H396="SUBETAPA"</formula>
    </cfRule>
  </conditionalFormatting>
  <conditionalFormatting sqref="P398:P400">
    <cfRule type="expression" dxfId="2959" priority="6852">
      <formula>$H398="SUBETAPA"</formula>
    </cfRule>
    <cfRule type="expression" dxfId="2958" priority="6853">
      <formula>$H398="CÉLULA CONSTRUTIVA"</formula>
    </cfRule>
    <cfRule type="expression" dxfId="2957" priority="6854">
      <formula>$H398="ETAPA"</formula>
    </cfRule>
    <cfRule type="containsText" dxfId="2956" priority="6855" operator="containsText" text="Lançado">
      <formula>NOT(ISERROR(SEARCH("Lançado",P398)))</formula>
    </cfRule>
    <cfRule type="containsText" dxfId="2955" priority="6856" operator="containsText" text="N/A">
      <formula>NOT(ISERROR(SEARCH("N/A",P398)))</formula>
    </cfRule>
    <cfRule type="containsText" dxfId="2954" priority="6859" operator="containsText" text="em andamento">
      <formula>NOT(ISERROR(SEARCH("em andamento",P398)))</formula>
    </cfRule>
    <cfRule type="containsText" dxfId="2953" priority="6858" operator="containsText" text="Finalizado">
      <formula>NOT(ISERROR(SEARCH("Finalizado",P398)))</formula>
    </cfRule>
    <cfRule type="containsText" dxfId="2952" priority="6857" operator="containsText" text="Pendente">
      <formula>NOT(ISERROR(SEARCH("Pendente",P398)))</formula>
    </cfRule>
  </conditionalFormatting>
  <conditionalFormatting sqref="P402:P403">
    <cfRule type="containsText" dxfId="2951" priority="6849" operator="containsText" text="Pendente">
      <formula>NOT(ISERROR(SEARCH("Pendente",P402)))</formula>
    </cfRule>
    <cfRule type="containsText" dxfId="2950" priority="6848" operator="containsText" text="N/A">
      <formula>NOT(ISERROR(SEARCH("N/A",P402)))</formula>
    </cfRule>
    <cfRule type="containsText" dxfId="2949" priority="6847" operator="containsText" text="Lançado">
      <formula>NOT(ISERROR(SEARCH("Lançado",P402)))</formula>
    </cfRule>
    <cfRule type="expression" dxfId="2948" priority="6846">
      <formula>$H402="ETAPA"</formula>
    </cfRule>
    <cfRule type="expression" dxfId="2947" priority="6845">
      <formula>$H402="CÉLULA CONSTRUTIVA"</formula>
    </cfRule>
    <cfRule type="expression" dxfId="2946" priority="6844">
      <formula>$H402="SUBETAPA"</formula>
    </cfRule>
    <cfRule type="containsText" dxfId="2945" priority="6851" operator="containsText" text="em andamento">
      <formula>NOT(ISERROR(SEARCH("em andamento",P402)))</formula>
    </cfRule>
    <cfRule type="containsText" dxfId="2944" priority="6850" operator="containsText" text="Finalizado">
      <formula>NOT(ISERROR(SEARCH("Finalizado",P402)))</formula>
    </cfRule>
  </conditionalFormatting>
  <conditionalFormatting sqref="P406:P408">
    <cfRule type="expression" dxfId="2943" priority="6837">
      <formula>$H406="CÉLULA CONSTRUTIVA"</formula>
    </cfRule>
    <cfRule type="containsText" dxfId="2942" priority="6841" operator="containsText" text="Pendente">
      <formula>NOT(ISERROR(SEARCH("Pendente",P406)))</formula>
    </cfRule>
    <cfRule type="containsText" dxfId="2941" priority="6840" operator="containsText" text="N/A">
      <formula>NOT(ISERROR(SEARCH("N/A",P406)))</formula>
    </cfRule>
    <cfRule type="expression" dxfId="2940" priority="6838">
      <formula>$H406="ETAPA"</formula>
    </cfRule>
    <cfRule type="expression" dxfId="2939" priority="6836">
      <formula>$H406="SUBETAPA"</formula>
    </cfRule>
    <cfRule type="containsText" dxfId="2938" priority="6839" operator="containsText" text="Lançado">
      <formula>NOT(ISERROR(SEARCH("Lançado",P406)))</formula>
    </cfRule>
    <cfRule type="containsText" dxfId="2937" priority="6843" operator="containsText" text="em andamento">
      <formula>NOT(ISERROR(SEARCH("em andamento",P406)))</formula>
    </cfRule>
    <cfRule type="containsText" dxfId="2936" priority="6842" operator="containsText" text="Finalizado">
      <formula>NOT(ISERROR(SEARCH("Finalizado",P406)))</formula>
    </cfRule>
  </conditionalFormatting>
  <conditionalFormatting sqref="P410">
    <cfRule type="containsText" dxfId="2935" priority="6833" operator="containsText" text="Pendente">
      <formula>NOT(ISERROR(SEARCH("Pendente",P410)))</formula>
    </cfRule>
    <cfRule type="containsText" dxfId="2934" priority="6832" operator="containsText" text="N/A">
      <formula>NOT(ISERROR(SEARCH("N/A",P410)))</formula>
    </cfRule>
    <cfRule type="containsText" dxfId="2933" priority="6831" operator="containsText" text="Lançado">
      <formula>NOT(ISERROR(SEARCH("Lançado",P410)))</formula>
    </cfRule>
    <cfRule type="expression" dxfId="2932" priority="6830">
      <formula>$H410="ETAPA"</formula>
    </cfRule>
    <cfRule type="containsText" dxfId="2931" priority="6835" operator="containsText" text="em andamento">
      <formula>NOT(ISERROR(SEARCH("em andamento",P410)))</formula>
    </cfRule>
    <cfRule type="expression" dxfId="2930" priority="6829">
      <formula>$H410="CÉLULA CONSTRUTIVA"</formula>
    </cfRule>
    <cfRule type="expression" dxfId="2929" priority="6828">
      <formula>$H410="SUBETAPA"</formula>
    </cfRule>
    <cfRule type="containsText" dxfId="2928" priority="6834" operator="containsText" text="Finalizado">
      <formula>NOT(ISERROR(SEARCH("Finalizado",P410)))</formula>
    </cfRule>
  </conditionalFormatting>
  <conditionalFormatting sqref="P412:P414">
    <cfRule type="expression" dxfId="2927" priority="6822">
      <formula>$H412="ETAPA"</formula>
    </cfRule>
    <cfRule type="containsText" dxfId="2926" priority="6825" operator="containsText" text="Pendente">
      <formula>NOT(ISERROR(SEARCH("Pendente",P412)))</formula>
    </cfRule>
    <cfRule type="containsText" dxfId="2925" priority="6827" operator="containsText" text="em andamento">
      <formula>NOT(ISERROR(SEARCH("em andamento",P412)))</formula>
    </cfRule>
    <cfRule type="containsText" dxfId="2924" priority="6826" operator="containsText" text="Finalizado">
      <formula>NOT(ISERROR(SEARCH("Finalizado",P412)))</formula>
    </cfRule>
    <cfRule type="containsText" dxfId="2923" priority="6824" operator="containsText" text="N/A">
      <formula>NOT(ISERROR(SEARCH("N/A",P412)))</formula>
    </cfRule>
    <cfRule type="containsText" dxfId="2922" priority="6823" operator="containsText" text="Lançado">
      <formula>NOT(ISERROR(SEARCH("Lançado",P412)))</formula>
    </cfRule>
    <cfRule type="expression" dxfId="2921" priority="6821">
      <formula>$H412="CÉLULA CONSTRUTIVA"</formula>
    </cfRule>
    <cfRule type="expression" dxfId="2920" priority="6820">
      <formula>$H412="SUBETAPA"</formula>
    </cfRule>
  </conditionalFormatting>
  <conditionalFormatting sqref="P416:P417">
    <cfRule type="containsText" dxfId="2919" priority="6819" operator="containsText" text="em andamento">
      <formula>NOT(ISERROR(SEARCH("em andamento",P416)))</formula>
    </cfRule>
    <cfRule type="containsText" dxfId="2918" priority="6818" operator="containsText" text="Finalizado">
      <formula>NOT(ISERROR(SEARCH("Finalizado",P416)))</formula>
    </cfRule>
    <cfRule type="containsText" dxfId="2917" priority="6817" operator="containsText" text="Pendente">
      <formula>NOT(ISERROR(SEARCH("Pendente",P416)))</formula>
    </cfRule>
    <cfRule type="containsText" dxfId="2916" priority="6816" operator="containsText" text="N/A">
      <formula>NOT(ISERROR(SEARCH("N/A",P416)))</formula>
    </cfRule>
    <cfRule type="containsText" dxfId="2915" priority="6815" operator="containsText" text="Lançado">
      <formula>NOT(ISERROR(SEARCH("Lançado",P416)))</formula>
    </cfRule>
    <cfRule type="expression" dxfId="2914" priority="6814">
      <formula>$H416="ETAPA"</formula>
    </cfRule>
    <cfRule type="expression" dxfId="2913" priority="6813">
      <formula>$H416="CÉLULA CONSTRUTIVA"</formula>
    </cfRule>
    <cfRule type="expression" dxfId="2912" priority="6812">
      <formula>$H416="SUBETAPA"</formula>
    </cfRule>
  </conditionalFormatting>
  <conditionalFormatting sqref="P420:P422">
    <cfRule type="expression" dxfId="2911" priority="6805">
      <formula>$H420="CÉLULA CONSTRUTIVA"</formula>
    </cfRule>
    <cfRule type="expression" dxfId="2910" priority="6806">
      <formula>$H420="ETAPA"</formula>
    </cfRule>
    <cfRule type="containsText" dxfId="2909" priority="6807" operator="containsText" text="Lançado">
      <formula>NOT(ISERROR(SEARCH("Lançado",P420)))</formula>
    </cfRule>
    <cfRule type="containsText" dxfId="2908" priority="6808" operator="containsText" text="N/A">
      <formula>NOT(ISERROR(SEARCH("N/A",P420)))</formula>
    </cfRule>
    <cfRule type="expression" dxfId="2907" priority="6804">
      <formula>$H420="SUBETAPA"</formula>
    </cfRule>
    <cfRule type="containsText" dxfId="2906" priority="6811" operator="containsText" text="em andamento">
      <formula>NOT(ISERROR(SEARCH("em andamento",P420)))</formula>
    </cfRule>
    <cfRule type="containsText" dxfId="2905" priority="6810" operator="containsText" text="Finalizado">
      <formula>NOT(ISERROR(SEARCH("Finalizado",P420)))</formula>
    </cfRule>
    <cfRule type="containsText" dxfId="2904" priority="6809" operator="containsText" text="Pendente">
      <formula>NOT(ISERROR(SEARCH("Pendente",P420)))</formula>
    </cfRule>
  </conditionalFormatting>
  <conditionalFormatting sqref="P424">
    <cfRule type="containsText" dxfId="2903" priority="6803" operator="containsText" text="em andamento">
      <formula>NOT(ISERROR(SEARCH("em andamento",P424)))</formula>
    </cfRule>
    <cfRule type="containsText" dxfId="2902" priority="6802" operator="containsText" text="Finalizado">
      <formula>NOT(ISERROR(SEARCH("Finalizado",P424)))</formula>
    </cfRule>
    <cfRule type="expression" dxfId="2901" priority="6796">
      <formula>$H424="SUBETAPA"</formula>
    </cfRule>
    <cfRule type="expression" dxfId="2900" priority="6797">
      <formula>$H424="CÉLULA CONSTRUTIVA"</formula>
    </cfRule>
    <cfRule type="expression" dxfId="2899" priority="6798">
      <formula>$H424="ETAPA"</formula>
    </cfRule>
    <cfRule type="containsText" dxfId="2898" priority="6799" operator="containsText" text="Lançado">
      <formula>NOT(ISERROR(SEARCH("Lançado",P424)))</formula>
    </cfRule>
    <cfRule type="containsText" dxfId="2897" priority="6800" operator="containsText" text="N/A">
      <formula>NOT(ISERROR(SEARCH("N/A",P424)))</formula>
    </cfRule>
    <cfRule type="containsText" dxfId="2896" priority="6801" operator="containsText" text="Pendente">
      <formula>NOT(ISERROR(SEARCH("Pendente",P424)))</formula>
    </cfRule>
  </conditionalFormatting>
  <conditionalFormatting sqref="P426:P428">
    <cfRule type="containsText" dxfId="2895" priority="6794" operator="containsText" text="Finalizado">
      <formula>NOT(ISERROR(SEARCH("Finalizado",P426)))</formula>
    </cfRule>
    <cfRule type="containsText" dxfId="2894" priority="6795" operator="containsText" text="em andamento">
      <formula>NOT(ISERROR(SEARCH("em andamento",P426)))</formula>
    </cfRule>
    <cfRule type="expression" dxfId="2893" priority="6789">
      <formula>$H426="CÉLULA CONSTRUTIVA"</formula>
    </cfRule>
    <cfRule type="containsText" dxfId="2892" priority="6792" operator="containsText" text="N/A">
      <formula>NOT(ISERROR(SEARCH("N/A",P426)))</formula>
    </cfRule>
    <cfRule type="containsText" dxfId="2891" priority="6793" operator="containsText" text="Pendente">
      <formula>NOT(ISERROR(SEARCH("Pendente",P426)))</formula>
    </cfRule>
    <cfRule type="expression" dxfId="2890" priority="6788">
      <formula>$H426="SUBETAPA"</formula>
    </cfRule>
    <cfRule type="containsText" dxfId="2889" priority="6791" operator="containsText" text="Lançado">
      <formula>NOT(ISERROR(SEARCH("Lançado",P426)))</formula>
    </cfRule>
    <cfRule type="expression" dxfId="2888" priority="6790">
      <formula>$H426="ETAPA"</formula>
    </cfRule>
  </conditionalFormatting>
  <conditionalFormatting sqref="P430:P431">
    <cfRule type="containsText" dxfId="2887" priority="6787" operator="containsText" text="em andamento">
      <formula>NOT(ISERROR(SEARCH("em andamento",P430)))</formula>
    </cfRule>
    <cfRule type="containsText" dxfId="2886" priority="6786" operator="containsText" text="Finalizado">
      <formula>NOT(ISERROR(SEARCH("Finalizado",P430)))</formula>
    </cfRule>
    <cfRule type="containsText" dxfId="2885" priority="6784" operator="containsText" text="N/A">
      <formula>NOT(ISERROR(SEARCH("N/A",P430)))</formula>
    </cfRule>
    <cfRule type="containsText" dxfId="2884" priority="6783" operator="containsText" text="Lançado">
      <formula>NOT(ISERROR(SEARCH("Lançado",P430)))</formula>
    </cfRule>
    <cfRule type="expression" dxfId="2883" priority="6782">
      <formula>$H430="ETAPA"</formula>
    </cfRule>
    <cfRule type="expression" dxfId="2882" priority="6781">
      <formula>$H430="CÉLULA CONSTRUTIVA"</formula>
    </cfRule>
    <cfRule type="expression" dxfId="2881" priority="6780">
      <formula>$H430="SUBETAPA"</formula>
    </cfRule>
    <cfRule type="containsText" dxfId="2880" priority="6785" operator="containsText" text="Pendente">
      <formula>NOT(ISERROR(SEARCH("Pendente",P430)))</formula>
    </cfRule>
  </conditionalFormatting>
  <conditionalFormatting sqref="P434:P436">
    <cfRule type="containsText" dxfId="2879" priority="6779" operator="containsText" text="em andamento">
      <formula>NOT(ISERROR(SEARCH("em andamento",P434)))</formula>
    </cfRule>
    <cfRule type="containsText" dxfId="2878" priority="6778" operator="containsText" text="Finalizado">
      <formula>NOT(ISERROR(SEARCH("Finalizado",P434)))</formula>
    </cfRule>
    <cfRule type="containsText" dxfId="2877" priority="6777" operator="containsText" text="Pendente">
      <formula>NOT(ISERROR(SEARCH("Pendente",P434)))</formula>
    </cfRule>
    <cfRule type="containsText" dxfId="2876" priority="6776" operator="containsText" text="N/A">
      <formula>NOT(ISERROR(SEARCH("N/A",P434)))</formula>
    </cfRule>
    <cfRule type="containsText" dxfId="2875" priority="6775" operator="containsText" text="Lançado">
      <formula>NOT(ISERROR(SEARCH("Lançado",P434)))</formula>
    </cfRule>
    <cfRule type="expression" dxfId="2874" priority="6774">
      <formula>$H434="ETAPA"</formula>
    </cfRule>
    <cfRule type="expression" dxfId="2873" priority="6773">
      <formula>$H434="CÉLULA CONSTRUTIVA"</formula>
    </cfRule>
    <cfRule type="expression" dxfId="2872" priority="6772">
      <formula>$H434="SUBETAPA"</formula>
    </cfRule>
  </conditionalFormatting>
  <conditionalFormatting sqref="P438">
    <cfRule type="containsText" dxfId="2871" priority="6770" operator="containsText" text="Finalizado">
      <formula>NOT(ISERROR(SEARCH("Finalizado",P438)))</formula>
    </cfRule>
    <cfRule type="containsText" dxfId="2870" priority="6769" operator="containsText" text="Pendente">
      <formula>NOT(ISERROR(SEARCH("Pendente",P438)))</formula>
    </cfRule>
    <cfRule type="containsText" dxfId="2869" priority="6768" operator="containsText" text="N/A">
      <formula>NOT(ISERROR(SEARCH("N/A",P438)))</formula>
    </cfRule>
    <cfRule type="containsText" dxfId="2868" priority="6767" operator="containsText" text="Lançado">
      <formula>NOT(ISERROR(SEARCH("Lançado",P438)))</formula>
    </cfRule>
    <cfRule type="expression" dxfId="2867" priority="6766">
      <formula>$H438="ETAPA"</formula>
    </cfRule>
    <cfRule type="expression" dxfId="2866" priority="6765">
      <formula>$H438="CÉLULA CONSTRUTIVA"</formula>
    </cfRule>
    <cfRule type="expression" dxfId="2865" priority="6764">
      <formula>$H438="SUBETAPA"</formula>
    </cfRule>
    <cfRule type="containsText" dxfId="2864" priority="6771" operator="containsText" text="em andamento">
      <formula>NOT(ISERROR(SEARCH("em andamento",P438)))</formula>
    </cfRule>
  </conditionalFormatting>
  <conditionalFormatting sqref="P440:P442">
    <cfRule type="containsText" dxfId="2863" priority="6762" operator="containsText" text="Finalizado">
      <formula>NOT(ISERROR(SEARCH("Finalizado",P440)))</formula>
    </cfRule>
    <cfRule type="containsText" dxfId="2862" priority="6761" operator="containsText" text="Pendente">
      <formula>NOT(ISERROR(SEARCH("Pendente",P440)))</formula>
    </cfRule>
    <cfRule type="containsText" dxfId="2861" priority="6760" operator="containsText" text="N/A">
      <formula>NOT(ISERROR(SEARCH("N/A",P440)))</formula>
    </cfRule>
    <cfRule type="containsText" dxfId="2860" priority="6759" operator="containsText" text="Lançado">
      <formula>NOT(ISERROR(SEARCH("Lançado",P440)))</formula>
    </cfRule>
    <cfRule type="expression" dxfId="2859" priority="6758">
      <formula>$H440="ETAPA"</formula>
    </cfRule>
    <cfRule type="expression" dxfId="2858" priority="6757">
      <formula>$H440="CÉLULA CONSTRUTIVA"</formula>
    </cfRule>
    <cfRule type="expression" dxfId="2857" priority="6756">
      <formula>$H440="SUBETAPA"</formula>
    </cfRule>
    <cfRule type="containsText" dxfId="2856" priority="6763" operator="containsText" text="em andamento">
      <formula>NOT(ISERROR(SEARCH("em andamento",P440)))</formula>
    </cfRule>
  </conditionalFormatting>
  <conditionalFormatting sqref="P444:P445">
    <cfRule type="containsText" dxfId="2855" priority="6755" operator="containsText" text="em andamento">
      <formula>NOT(ISERROR(SEARCH("em andamento",P444)))</formula>
    </cfRule>
    <cfRule type="containsText" dxfId="2854" priority="6754" operator="containsText" text="Finalizado">
      <formula>NOT(ISERROR(SEARCH("Finalizado",P444)))</formula>
    </cfRule>
    <cfRule type="containsText" dxfId="2853" priority="6753" operator="containsText" text="Pendente">
      <formula>NOT(ISERROR(SEARCH("Pendente",P444)))</formula>
    </cfRule>
    <cfRule type="containsText" dxfId="2852" priority="6752" operator="containsText" text="N/A">
      <formula>NOT(ISERROR(SEARCH("N/A",P444)))</formula>
    </cfRule>
    <cfRule type="expression" dxfId="2851" priority="6750">
      <formula>$H444="ETAPA"</formula>
    </cfRule>
    <cfRule type="expression" dxfId="2850" priority="6749">
      <formula>$H444="CÉLULA CONSTRUTIVA"</formula>
    </cfRule>
    <cfRule type="expression" dxfId="2849" priority="6748">
      <formula>$H444="SUBETAPA"</formula>
    </cfRule>
    <cfRule type="containsText" dxfId="2848" priority="6751" operator="containsText" text="Lançado">
      <formula>NOT(ISERROR(SEARCH("Lançado",P444)))</formula>
    </cfRule>
  </conditionalFormatting>
  <conditionalFormatting sqref="P448:P449">
    <cfRule type="containsText" dxfId="2847" priority="6747" operator="containsText" text="em andamento">
      <formula>NOT(ISERROR(SEARCH("em andamento",P448)))</formula>
    </cfRule>
    <cfRule type="containsText" dxfId="2846" priority="6746" operator="containsText" text="Finalizado">
      <formula>NOT(ISERROR(SEARCH("Finalizado",P448)))</formula>
    </cfRule>
    <cfRule type="containsText" dxfId="2845" priority="6745" operator="containsText" text="Pendente">
      <formula>NOT(ISERROR(SEARCH("Pendente",P448)))</formula>
    </cfRule>
    <cfRule type="containsText" dxfId="2844" priority="6744" operator="containsText" text="N/A">
      <formula>NOT(ISERROR(SEARCH("N/A",P448)))</formula>
    </cfRule>
    <cfRule type="containsText" dxfId="2843" priority="6743" operator="containsText" text="Lançado">
      <formula>NOT(ISERROR(SEARCH("Lançado",P448)))</formula>
    </cfRule>
    <cfRule type="expression" dxfId="2842" priority="6742">
      <formula>$H448="ETAPA"</formula>
    </cfRule>
    <cfRule type="expression" dxfId="2841" priority="6741">
      <formula>$H448="CÉLULA CONSTRUTIVA"</formula>
    </cfRule>
    <cfRule type="expression" dxfId="2840" priority="6740">
      <formula>$H448="SUBETAPA"</formula>
    </cfRule>
  </conditionalFormatting>
  <conditionalFormatting sqref="P451">
    <cfRule type="containsText" dxfId="2839" priority="6739" operator="containsText" text="em andamento">
      <formula>NOT(ISERROR(SEARCH("em andamento",P451)))</formula>
    </cfRule>
    <cfRule type="containsText" dxfId="2838" priority="6735" operator="containsText" text="Lançado">
      <formula>NOT(ISERROR(SEARCH("Lançado",P451)))</formula>
    </cfRule>
    <cfRule type="containsText" dxfId="2837" priority="6737" operator="containsText" text="Pendente">
      <formula>NOT(ISERROR(SEARCH("Pendente",P451)))</formula>
    </cfRule>
    <cfRule type="containsText" dxfId="2836" priority="6738" operator="containsText" text="Finalizado">
      <formula>NOT(ISERROR(SEARCH("Finalizado",P451)))</formula>
    </cfRule>
    <cfRule type="containsText" dxfId="2835" priority="6736" operator="containsText" text="N/A">
      <formula>NOT(ISERROR(SEARCH("N/A",P451)))</formula>
    </cfRule>
    <cfRule type="expression" dxfId="2834" priority="6732">
      <formula>$H451="SUBETAPA"</formula>
    </cfRule>
    <cfRule type="expression" dxfId="2833" priority="6733">
      <formula>$H451="CÉLULA CONSTRUTIVA"</formula>
    </cfRule>
    <cfRule type="expression" dxfId="2832" priority="6734">
      <formula>$H451="ETAPA"</formula>
    </cfRule>
  </conditionalFormatting>
  <conditionalFormatting sqref="P453:P455">
    <cfRule type="expression" dxfId="2831" priority="6724">
      <formula>$H453="SUBETAPA"</formula>
    </cfRule>
    <cfRule type="containsText" dxfId="2830" priority="6730" operator="containsText" text="Finalizado">
      <formula>NOT(ISERROR(SEARCH("Finalizado",P453)))</formula>
    </cfRule>
    <cfRule type="expression" dxfId="2829" priority="6725">
      <formula>$H453="CÉLULA CONSTRUTIVA"</formula>
    </cfRule>
    <cfRule type="expression" dxfId="2828" priority="6726">
      <formula>$H453="ETAPA"</formula>
    </cfRule>
    <cfRule type="containsText" dxfId="2827" priority="6727" operator="containsText" text="Lançado">
      <formula>NOT(ISERROR(SEARCH("Lançado",P453)))</formula>
    </cfRule>
    <cfRule type="containsText" dxfId="2826" priority="6728" operator="containsText" text="N/A">
      <formula>NOT(ISERROR(SEARCH("N/A",P453)))</formula>
    </cfRule>
    <cfRule type="containsText" dxfId="2825" priority="6729" operator="containsText" text="Pendente">
      <formula>NOT(ISERROR(SEARCH("Pendente",P453)))</formula>
    </cfRule>
    <cfRule type="containsText" dxfId="2824" priority="6731" operator="containsText" text="em andamento">
      <formula>NOT(ISERROR(SEARCH("em andamento",P453)))</formula>
    </cfRule>
  </conditionalFormatting>
  <conditionalFormatting sqref="P457:P458">
    <cfRule type="containsText" dxfId="2823" priority="6720" operator="containsText" text="N/A">
      <formula>NOT(ISERROR(SEARCH("N/A",P457)))</formula>
    </cfRule>
    <cfRule type="containsText" dxfId="2822" priority="6723" operator="containsText" text="em andamento">
      <formula>NOT(ISERROR(SEARCH("em andamento",P457)))</formula>
    </cfRule>
    <cfRule type="containsText" dxfId="2821" priority="6722" operator="containsText" text="Finalizado">
      <formula>NOT(ISERROR(SEARCH("Finalizado",P457)))</formula>
    </cfRule>
    <cfRule type="containsText" dxfId="2820" priority="6721" operator="containsText" text="Pendente">
      <formula>NOT(ISERROR(SEARCH("Pendente",P457)))</formula>
    </cfRule>
    <cfRule type="expression" dxfId="2819" priority="6716">
      <formula>$H457="SUBETAPA"</formula>
    </cfRule>
    <cfRule type="containsText" dxfId="2818" priority="6719" operator="containsText" text="Lançado">
      <formula>NOT(ISERROR(SEARCH("Lançado",P457)))</formula>
    </cfRule>
    <cfRule type="expression" dxfId="2817" priority="6717">
      <formula>$H457="CÉLULA CONSTRUTIVA"</formula>
    </cfRule>
    <cfRule type="expression" dxfId="2816" priority="6718">
      <formula>$H457="ETAPA"</formula>
    </cfRule>
  </conditionalFormatting>
  <conditionalFormatting sqref="P459:P460 P464 P467 P471">
    <cfRule type="containsText" dxfId="2815" priority="11550" operator="containsText" text="em andamento">
      <formula>NOT(ISERROR(SEARCH("em andamento",P459)))</formula>
    </cfRule>
    <cfRule type="containsText" dxfId="2814" priority="11548" operator="containsText" text="Pendente">
      <formula>NOT(ISERROR(SEARCH("Pendente",P459)))</formula>
    </cfRule>
    <cfRule type="containsText" dxfId="2813" priority="11549" operator="containsText" text="Finalizado">
      <formula>NOT(ISERROR(SEARCH("Finalizado",P459)))</formula>
    </cfRule>
  </conditionalFormatting>
  <conditionalFormatting sqref="P461:P463">
    <cfRule type="containsText" dxfId="2812" priority="6711" operator="containsText" text="Lançado">
      <formula>NOT(ISERROR(SEARCH("Lançado",P461)))</formula>
    </cfRule>
    <cfRule type="expression" dxfId="2811" priority="6709">
      <formula>$H461="CÉLULA CONSTRUTIVA"</formula>
    </cfRule>
    <cfRule type="containsText" dxfId="2810" priority="6715" operator="containsText" text="em andamento">
      <formula>NOT(ISERROR(SEARCH("em andamento",P461)))</formula>
    </cfRule>
    <cfRule type="containsText" dxfId="2809" priority="6714" operator="containsText" text="Finalizado">
      <formula>NOT(ISERROR(SEARCH("Finalizado",P461)))</formula>
    </cfRule>
    <cfRule type="containsText" dxfId="2808" priority="6713" operator="containsText" text="Pendente">
      <formula>NOT(ISERROR(SEARCH("Pendente",P461)))</formula>
    </cfRule>
    <cfRule type="containsText" dxfId="2807" priority="6712" operator="containsText" text="N/A">
      <formula>NOT(ISERROR(SEARCH("N/A",P461)))</formula>
    </cfRule>
    <cfRule type="expression" dxfId="2806" priority="6708">
      <formula>$H461="SUBETAPA"</formula>
    </cfRule>
    <cfRule type="expression" dxfId="2805" priority="6710">
      <formula>$H461="ETAPA"</formula>
    </cfRule>
  </conditionalFormatting>
  <conditionalFormatting sqref="P465:P466">
    <cfRule type="containsText" dxfId="2804" priority="6707" operator="containsText" text="em andamento">
      <formula>NOT(ISERROR(SEARCH("em andamento",P465)))</formula>
    </cfRule>
    <cfRule type="containsText" dxfId="2803" priority="6706" operator="containsText" text="Finalizado">
      <formula>NOT(ISERROR(SEARCH("Finalizado",P465)))</formula>
    </cfRule>
    <cfRule type="containsText" dxfId="2802" priority="6705" operator="containsText" text="Pendente">
      <formula>NOT(ISERROR(SEARCH("Pendente",P465)))</formula>
    </cfRule>
    <cfRule type="expression" dxfId="2801" priority="6700">
      <formula>$H465="SUBETAPA"</formula>
    </cfRule>
    <cfRule type="containsText" dxfId="2800" priority="6704" operator="containsText" text="N/A">
      <formula>NOT(ISERROR(SEARCH("N/A",P465)))</formula>
    </cfRule>
    <cfRule type="containsText" dxfId="2799" priority="6703" operator="containsText" text="Lançado">
      <formula>NOT(ISERROR(SEARCH("Lançado",P465)))</formula>
    </cfRule>
    <cfRule type="expression" dxfId="2798" priority="6702">
      <formula>$H465="ETAPA"</formula>
    </cfRule>
    <cfRule type="expression" dxfId="2797" priority="6701">
      <formula>$H465="CÉLULA CONSTRUTIVA"</formula>
    </cfRule>
  </conditionalFormatting>
  <conditionalFormatting sqref="P468:P470">
    <cfRule type="expression" dxfId="2796" priority="6694">
      <formula>$H468="ETAPA"</formula>
    </cfRule>
    <cfRule type="expression" dxfId="2795" priority="6693">
      <formula>$H468="CÉLULA CONSTRUTIVA"</formula>
    </cfRule>
    <cfRule type="expression" dxfId="2794" priority="6692">
      <formula>$H468="SUBETAPA"</formula>
    </cfRule>
    <cfRule type="containsText" dxfId="2793" priority="6698" operator="containsText" text="Finalizado">
      <formula>NOT(ISERROR(SEARCH("Finalizado",P468)))</formula>
    </cfRule>
    <cfRule type="containsText" dxfId="2792" priority="6699" operator="containsText" text="em andamento">
      <formula>NOT(ISERROR(SEARCH("em andamento",P468)))</formula>
    </cfRule>
    <cfRule type="containsText" dxfId="2791" priority="6697" operator="containsText" text="Pendente">
      <formula>NOT(ISERROR(SEARCH("Pendente",P468)))</formula>
    </cfRule>
    <cfRule type="containsText" dxfId="2790" priority="6696" operator="containsText" text="N/A">
      <formula>NOT(ISERROR(SEARCH("N/A",P468)))</formula>
    </cfRule>
    <cfRule type="containsText" dxfId="2789" priority="6695" operator="containsText" text="Lançado">
      <formula>NOT(ISERROR(SEARCH("Lançado",P468)))</formula>
    </cfRule>
  </conditionalFormatting>
  <conditionalFormatting sqref="P471 P459:P460 P464 P467">
    <cfRule type="containsText" dxfId="2788" priority="11547" operator="containsText" text="N/A">
      <formula>NOT(ISERROR(SEARCH("N/A",P459)))</formula>
    </cfRule>
    <cfRule type="containsText" dxfId="2787" priority="11546" operator="containsText" text="Lançado">
      <formula>NOT(ISERROR(SEARCH("Lançado",P459)))</formula>
    </cfRule>
  </conditionalFormatting>
  <conditionalFormatting sqref="P472:P473">
    <cfRule type="containsText" dxfId="2786" priority="6687" operator="containsText" text="Lançado">
      <formula>NOT(ISERROR(SEARCH("Lançado",P472)))</formula>
    </cfRule>
    <cfRule type="containsText" dxfId="2785" priority="6688" operator="containsText" text="N/A">
      <formula>NOT(ISERROR(SEARCH("N/A",P472)))</formula>
    </cfRule>
    <cfRule type="containsText" dxfId="2784" priority="6689" operator="containsText" text="Pendente">
      <formula>NOT(ISERROR(SEARCH("Pendente",P472)))</formula>
    </cfRule>
    <cfRule type="containsText" dxfId="2783" priority="6690" operator="containsText" text="Finalizado">
      <formula>NOT(ISERROR(SEARCH("Finalizado",P472)))</formula>
    </cfRule>
    <cfRule type="containsText" dxfId="2782" priority="6691" operator="containsText" text="em andamento">
      <formula>NOT(ISERROR(SEARCH("em andamento",P472)))</formula>
    </cfRule>
    <cfRule type="expression" dxfId="2781" priority="6684">
      <formula>$H472="SUBETAPA"</formula>
    </cfRule>
    <cfRule type="expression" dxfId="2780" priority="6685">
      <formula>$H472="CÉLULA CONSTRUTIVA"</formula>
    </cfRule>
    <cfRule type="expression" dxfId="2779" priority="6686">
      <formula>$H472="ETAPA"</formula>
    </cfRule>
  </conditionalFormatting>
  <conditionalFormatting sqref="P476:P477">
    <cfRule type="containsText" dxfId="2778" priority="6679" operator="containsText" text="Lançado">
      <formula>NOT(ISERROR(SEARCH("Lançado",P476)))</formula>
    </cfRule>
    <cfRule type="expression" dxfId="2777" priority="6678">
      <formula>$H476="ETAPA"</formula>
    </cfRule>
    <cfRule type="expression" dxfId="2776" priority="6677">
      <formula>$H476="CÉLULA CONSTRUTIVA"</formula>
    </cfRule>
    <cfRule type="expression" dxfId="2775" priority="6676">
      <formula>$H476="SUBETAPA"</formula>
    </cfRule>
    <cfRule type="containsText" dxfId="2774" priority="6683" operator="containsText" text="em andamento">
      <formula>NOT(ISERROR(SEARCH("em andamento",P476)))</formula>
    </cfRule>
    <cfRule type="containsText" dxfId="2773" priority="6681" operator="containsText" text="Pendente">
      <formula>NOT(ISERROR(SEARCH("Pendente",P476)))</formula>
    </cfRule>
    <cfRule type="containsText" dxfId="2772" priority="6682" operator="containsText" text="Finalizado">
      <formula>NOT(ISERROR(SEARCH("Finalizado",P476)))</formula>
    </cfRule>
    <cfRule type="containsText" dxfId="2771" priority="6680" operator="containsText" text="N/A">
      <formula>NOT(ISERROR(SEARCH("N/A",P476)))</formula>
    </cfRule>
  </conditionalFormatting>
  <conditionalFormatting sqref="P479">
    <cfRule type="expression" dxfId="2770" priority="6670">
      <formula>$H479="ETAPA"</formula>
    </cfRule>
    <cfRule type="containsText" dxfId="2769" priority="6671" operator="containsText" text="Lançado">
      <formula>NOT(ISERROR(SEARCH("Lançado",P479)))</formula>
    </cfRule>
    <cfRule type="containsText" dxfId="2768" priority="6675" operator="containsText" text="em andamento">
      <formula>NOT(ISERROR(SEARCH("em andamento",P479)))</formula>
    </cfRule>
    <cfRule type="containsText" dxfId="2767" priority="6672" operator="containsText" text="N/A">
      <formula>NOT(ISERROR(SEARCH("N/A",P479)))</formula>
    </cfRule>
    <cfRule type="containsText" dxfId="2766" priority="6673" operator="containsText" text="Pendente">
      <formula>NOT(ISERROR(SEARCH("Pendente",P479)))</formula>
    </cfRule>
    <cfRule type="expression" dxfId="2765" priority="6668">
      <formula>$H479="SUBETAPA"</formula>
    </cfRule>
    <cfRule type="expression" dxfId="2764" priority="6669">
      <formula>$H479="CÉLULA CONSTRUTIVA"</formula>
    </cfRule>
    <cfRule type="containsText" dxfId="2763" priority="6674" operator="containsText" text="Finalizado">
      <formula>NOT(ISERROR(SEARCH("Finalizado",P479)))</formula>
    </cfRule>
  </conditionalFormatting>
  <conditionalFormatting sqref="P481:P483">
    <cfRule type="expression" dxfId="2762" priority="6660">
      <formula>$H481="SUBETAPA"</formula>
    </cfRule>
    <cfRule type="containsText" dxfId="2761" priority="6663" operator="containsText" text="Lançado">
      <formula>NOT(ISERROR(SEARCH("Lançado",P481)))</formula>
    </cfRule>
    <cfRule type="containsText" dxfId="2760" priority="6664" operator="containsText" text="N/A">
      <formula>NOT(ISERROR(SEARCH("N/A",P481)))</formula>
    </cfRule>
    <cfRule type="containsText" dxfId="2759" priority="6665" operator="containsText" text="Pendente">
      <formula>NOT(ISERROR(SEARCH("Pendente",P481)))</formula>
    </cfRule>
    <cfRule type="containsText" dxfId="2758" priority="6666" operator="containsText" text="Finalizado">
      <formula>NOT(ISERROR(SEARCH("Finalizado",P481)))</formula>
    </cfRule>
    <cfRule type="expression" dxfId="2757" priority="6662">
      <formula>$H481="ETAPA"</formula>
    </cfRule>
    <cfRule type="containsText" dxfId="2756" priority="6667" operator="containsText" text="em andamento">
      <formula>NOT(ISERROR(SEARCH("em andamento",P481)))</formula>
    </cfRule>
    <cfRule type="expression" dxfId="2755" priority="6661">
      <formula>$H481="CÉLULA CONSTRUTIVA"</formula>
    </cfRule>
  </conditionalFormatting>
  <conditionalFormatting sqref="P485:P486">
    <cfRule type="containsText" dxfId="2754" priority="6655" operator="containsText" text="Lançado">
      <formula>NOT(ISERROR(SEARCH("Lançado",P485)))</formula>
    </cfRule>
    <cfRule type="expression" dxfId="2753" priority="6654">
      <formula>$H485="ETAPA"</formula>
    </cfRule>
    <cfRule type="containsText" dxfId="2752" priority="6658" operator="containsText" text="Finalizado">
      <formula>NOT(ISERROR(SEARCH("Finalizado",P485)))</formula>
    </cfRule>
    <cfRule type="containsText" dxfId="2751" priority="6657" operator="containsText" text="Pendente">
      <formula>NOT(ISERROR(SEARCH("Pendente",P485)))</formula>
    </cfRule>
    <cfRule type="containsText" dxfId="2750" priority="6656" operator="containsText" text="N/A">
      <formula>NOT(ISERROR(SEARCH("N/A",P485)))</formula>
    </cfRule>
    <cfRule type="containsText" dxfId="2749" priority="6659" operator="containsText" text="em andamento">
      <formula>NOT(ISERROR(SEARCH("em andamento",P485)))</formula>
    </cfRule>
    <cfRule type="expression" dxfId="2748" priority="6652">
      <formula>$H485="SUBETAPA"</formula>
    </cfRule>
    <cfRule type="expression" dxfId="2747" priority="6653">
      <formula>$H485="CÉLULA CONSTRUTIVA"</formula>
    </cfRule>
  </conditionalFormatting>
  <conditionalFormatting sqref="P489:P490">
    <cfRule type="containsText" dxfId="2746" priority="6650" operator="containsText" text="Finalizado">
      <formula>NOT(ISERROR(SEARCH("Finalizado",P489)))</formula>
    </cfRule>
    <cfRule type="containsText" dxfId="2745" priority="6651" operator="containsText" text="em andamento">
      <formula>NOT(ISERROR(SEARCH("em andamento",P489)))</formula>
    </cfRule>
    <cfRule type="expression" dxfId="2744" priority="6644">
      <formula>$H489="SUBETAPA"</formula>
    </cfRule>
    <cfRule type="expression" dxfId="2743" priority="6645">
      <formula>$H489="CÉLULA CONSTRUTIVA"</formula>
    </cfRule>
    <cfRule type="expression" dxfId="2742" priority="6646">
      <formula>$H489="ETAPA"</formula>
    </cfRule>
    <cfRule type="containsText" dxfId="2741" priority="6647" operator="containsText" text="Lançado">
      <formula>NOT(ISERROR(SEARCH("Lançado",P489)))</formula>
    </cfRule>
    <cfRule type="containsText" dxfId="2740" priority="6648" operator="containsText" text="N/A">
      <formula>NOT(ISERROR(SEARCH("N/A",P489)))</formula>
    </cfRule>
    <cfRule type="containsText" dxfId="2739" priority="6649" operator="containsText" text="Pendente">
      <formula>NOT(ISERROR(SEARCH("Pendente",P489)))</formula>
    </cfRule>
  </conditionalFormatting>
  <conditionalFormatting sqref="P492:P493">
    <cfRule type="containsText" dxfId="2738" priority="6642" operator="containsText" text="Finalizado">
      <formula>NOT(ISERROR(SEARCH("Finalizado",P492)))</formula>
    </cfRule>
    <cfRule type="containsText" dxfId="2737" priority="6639" operator="containsText" text="Lançado">
      <formula>NOT(ISERROR(SEARCH("Lançado",P492)))</formula>
    </cfRule>
    <cfRule type="expression" dxfId="2736" priority="6638">
      <formula>$H492="ETAPA"</formula>
    </cfRule>
    <cfRule type="expression" dxfId="2735" priority="6637">
      <formula>$H492="CÉLULA CONSTRUTIVA"</formula>
    </cfRule>
    <cfRule type="containsText" dxfId="2734" priority="6643" operator="containsText" text="em andamento">
      <formula>NOT(ISERROR(SEARCH("em andamento",P492)))</formula>
    </cfRule>
    <cfRule type="expression" dxfId="2733" priority="6636">
      <formula>$H492="SUBETAPA"</formula>
    </cfRule>
    <cfRule type="containsText" dxfId="2732" priority="6641" operator="containsText" text="Pendente">
      <formula>NOT(ISERROR(SEARCH("Pendente",P492)))</formula>
    </cfRule>
    <cfRule type="containsText" dxfId="2731" priority="6640" operator="containsText" text="N/A">
      <formula>NOT(ISERROR(SEARCH("N/A",P492)))</formula>
    </cfRule>
  </conditionalFormatting>
  <conditionalFormatting sqref="P494">
    <cfRule type="containsText" dxfId="2730" priority="6632" operator="containsText" text="N/A">
      <formula>NOT(ISERROR(SEARCH("N/A",P494)))</formula>
    </cfRule>
    <cfRule type="containsText" dxfId="2729" priority="6631" operator="containsText" text="Lançado">
      <formula>NOT(ISERROR(SEARCH("Lançado",P494)))</formula>
    </cfRule>
    <cfRule type="expression" dxfId="2728" priority="6630">
      <formula>$H494="ETAPA"</formula>
    </cfRule>
    <cfRule type="containsText" dxfId="2727" priority="6635" operator="containsText" text="em andamento">
      <formula>NOT(ISERROR(SEARCH("em andamento",P494)))</formula>
    </cfRule>
    <cfRule type="expression" dxfId="2726" priority="6629">
      <formula>$H494="CÉLULA CONSTRUTIVA"</formula>
    </cfRule>
    <cfRule type="containsText" dxfId="2725" priority="6633" operator="containsText" text="Pendente">
      <formula>NOT(ISERROR(SEARCH("Pendente",P494)))</formula>
    </cfRule>
    <cfRule type="containsText" dxfId="2724" priority="6634" operator="containsText" text="Finalizado">
      <formula>NOT(ISERROR(SEARCH("Finalizado",P494)))</formula>
    </cfRule>
    <cfRule type="expression" dxfId="2723" priority="6628">
      <formula>$H494="SUBETAPA"</formula>
    </cfRule>
  </conditionalFormatting>
  <conditionalFormatting sqref="P496">
    <cfRule type="expression" dxfId="2722" priority="6621">
      <formula>$H496="CÉLULA CONSTRUTIVA"</formula>
    </cfRule>
    <cfRule type="expression" dxfId="2721" priority="6620">
      <formula>$H496="SUBETAPA"</formula>
    </cfRule>
    <cfRule type="containsText" dxfId="2720" priority="6627" operator="containsText" text="em andamento">
      <formula>NOT(ISERROR(SEARCH("em andamento",P496)))</formula>
    </cfRule>
    <cfRule type="containsText" dxfId="2719" priority="6626" operator="containsText" text="Finalizado">
      <formula>NOT(ISERROR(SEARCH("Finalizado",P496)))</formula>
    </cfRule>
    <cfRule type="containsText" dxfId="2718" priority="6625" operator="containsText" text="Pendente">
      <formula>NOT(ISERROR(SEARCH("Pendente",P496)))</formula>
    </cfRule>
    <cfRule type="containsText" dxfId="2717" priority="6624" operator="containsText" text="N/A">
      <formula>NOT(ISERROR(SEARCH("N/A",P496)))</formula>
    </cfRule>
    <cfRule type="containsText" dxfId="2716" priority="6623" operator="containsText" text="Lançado">
      <formula>NOT(ISERROR(SEARCH("Lançado",P496)))</formula>
    </cfRule>
    <cfRule type="expression" dxfId="2715" priority="6622">
      <formula>$H496="ETAPA"</formula>
    </cfRule>
  </conditionalFormatting>
  <conditionalFormatting sqref="P500">
    <cfRule type="expression" dxfId="2714" priority="5181">
      <formula>$H500="ETAPA"</formula>
    </cfRule>
    <cfRule type="containsText" dxfId="2713" priority="5182" operator="containsText" text="Lançado">
      <formula>NOT(ISERROR(SEARCH("Lançado",P500)))</formula>
    </cfRule>
    <cfRule type="containsText" dxfId="2712" priority="5183" operator="containsText" text="N/A">
      <formula>NOT(ISERROR(SEARCH("N/A",P500)))</formula>
    </cfRule>
    <cfRule type="containsText" dxfId="2711" priority="5184" operator="containsText" text="Pendente">
      <formula>NOT(ISERROR(SEARCH("Pendente",P500)))</formula>
    </cfRule>
    <cfRule type="containsText" dxfId="2710" priority="5185" operator="containsText" text="Finalizado">
      <formula>NOT(ISERROR(SEARCH("Finalizado",P500)))</formula>
    </cfRule>
    <cfRule type="containsText" dxfId="2709" priority="5186" operator="containsText" text="em andamento">
      <formula>NOT(ISERROR(SEARCH("em andamento",P500)))</formula>
    </cfRule>
    <cfRule type="expression" dxfId="2708" priority="5180">
      <formula>$H500="CÉLULA CONSTRUTIVA"</formula>
    </cfRule>
    <cfRule type="expression" dxfId="2707" priority="5179">
      <formula>$H500="SUBETAPA"</formula>
    </cfRule>
  </conditionalFormatting>
  <conditionalFormatting sqref="P502">
    <cfRule type="expression" dxfId="2706" priority="1045">
      <formula>$H502="SUBETAPA"</formula>
    </cfRule>
    <cfRule type="expression" dxfId="2705" priority="1046">
      <formula>$H502="CÉLULA CONSTRUTIVA"</formula>
    </cfRule>
    <cfRule type="expression" dxfId="2704" priority="1047">
      <formula>$H502="ETAPA"</formula>
    </cfRule>
    <cfRule type="containsText" dxfId="2703" priority="1051" operator="containsText" text="Finalizado">
      <formula>NOT(ISERROR(SEARCH("Finalizado",P502)))</formula>
    </cfRule>
    <cfRule type="containsText" dxfId="2702" priority="1048" operator="containsText" text="Lançado">
      <formula>NOT(ISERROR(SEARCH("Lançado",P502)))</formula>
    </cfRule>
    <cfRule type="containsText" dxfId="2701" priority="1050" operator="containsText" text="Pendente">
      <formula>NOT(ISERROR(SEARCH("Pendente",P502)))</formula>
    </cfRule>
    <cfRule type="containsText" dxfId="2700" priority="1049" operator="containsText" text="N/A">
      <formula>NOT(ISERROR(SEARCH("N/A",P502)))</formula>
    </cfRule>
    <cfRule type="containsText" dxfId="2699" priority="1052" operator="containsText" text="em andamento">
      <formula>NOT(ISERROR(SEARCH("em andamento",P502)))</formula>
    </cfRule>
  </conditionalFormatting>
  <conditionalFormatting sqref="P504">
    <cfRule type="expression" dxfId="2698" priority="1038">
      <formula>$H504="CÉLULA CONSTRUTIVA"</formula>
    </cfRule>
    <cfRule type="expression" dxfId="2697" priority="1039">
      <formula>$H504="ETAPA"</formula>
    </cfRule>
    <cfRule type="containsText" dxfId="2696" priority="1040" operator="containsText" text="Lançado">
      <formula>NOT(ISERROR(SEARCH("Lançado",P504)))</formula>
    </cfRule>
    <cfRule type="containsText" dxfId="2695" priority="1042" operator="containsText" text="Pendente">
      <formula>NOT(ISERROR(SEARCH("Pendente",P504)))</formula>
    </cfRule>
    <cfRule type="containsText" dxfId="2694" priority="1044" operator="containsText" text="em andamento">
      <formula>NOT(ISERROR(SEARCH("em andamento",P504)))</formula>
    </cfRule>
    <cfRule type="containsText" dxfId="2693" priority="1043" operator="containsText" text="Finalizado">
      <formula>NOT(ISERROR(SEARCH("Finalizado",P504)))</formula>
    </cfRule>
    <cfRule type="containsText" dxfId="2692" priority="1041" operator="containsText" text="N/A">
      <formula>NOT(ISERROR(SEARCH("N/A",P504)))</formula>
    </cfRule>
    <cfRule type="expression" dxfId="2691" priority="1037">
      <formula>$H504="SUBETAPA"</formula>
    </cfRule>
  </conditionalFormatting>
  <conditionalFormatting sqref="P506">
    <cfRule type="expression" dxfId="2690" priority="1030">
      <formula>$H506="CÉLULA CONSTRUTIVA"</formula>
    </cfRule>
    <cfRule type="expression" dxfId="2689" priority="1029">
      <formula>$H506="SUBETAPA"</formula>
    </cfRule>
    <cfRule type="expression" dxfId="2688" priority="1031">
      <formula>$H506="ETAPA"</formula>
    </cfRule>
    <cfRule type="containsText" dxfId="2687" priority="1032" operator="containsText" text="Lançado">
      <formula>NOT(ISERROR(SEARCH("Lançado",P506)))</formula>
    </cfRule>
    <cfRule type="containsText" dxfId="2686" priority="1033" operator="containsText" text="N/A">
      <formula>NOT(ISERROR(SEARCH("N/A",P506)))</formula>
    </cfRule>
    <cfRule type="containsText" dxfId="2685" priority="1034" operator="containsText" text="Pendente">
      <formula>NOT(ISERROR(SEARCH("Pendente",P506)))</formula>
    </cfRule>
    <cfRule type="containsText" dxfId="2684" priority="1035" operator="containsText" text="Finalizado">
      <formula>NOT(ISERROR(SEARCH("Finalizado",P506)))</formula>
    </cfRule>
    <cfRule type="containsText" dxfId="2683" priority="1036" operator="containsText" text="em andamento">
      <formula>NOT(ISERROR(SEARCH("em andamento",P506)))</formula>
    </cfRule>
  </conditionalFormatting>
  <conditionalFormatting sqref="P508">
    <cfRule type="expression" dxfId="2682" priority="1021">
      <formula>$H508="SUBETAPA"</formula>
    </cfRule>
    <cfRule type="expression" dxfId="2681" priority="1022">
      <formula>$H508="CÉLULA CONSTRUTIVA"</formula>
    </cfRule>
    <cfRule type="expression" dxfId="2680" priority="1023">
      <formula>$H508="ETAPA"</formula>
    </cfRule>
    <cfRule type="containsText" dxfId="2679" priority="1025" operator="containsText" text="N/A">
      <formula>NOT(ISERROR(SEARCH("N/A",P508)))</formula>
    </cfRule>
    <cfRule type="containsText" dxfId="2678" priority="1026" operator="containsText" text="Pendente">
      <formula>NOT(ISERROR(SEARCH("Pendente",P508)))</formula>
    </cfRule>
    <cfRule type="containsText" dxfId="2677" priority="1027" operator="containsText" text="Finalizado">
      <formula>NOT(ISERROR(SEARCH("Finalizado",P508)))</formula>
    </cfRule>
    <cfRule type="containsText" dxfId="2676" priority="1028" operator="containsText" text="em andamento">
      <formula>NOT(ISERROR(SEARCH("em andamento",P508)))</formula>
    </cfRule>
    <cfRule type="containsText" dxfId="2675" priority="1024" operator="containsText" text="Lançado">
      <formula>NOT(ISERROR(SEARCH("Lançado",P508)))</formula>
    </cfRule>
  </conditionalFormatting>
  <conditionalFormatting sqref="P510">
    <cfRule type="containsText" dxfId="2674" priority="1020" operator="containsText" text="em andamento">
      <formula>NOT(ISERROR(SEARCH("em andamento",P510)))</formula>
    </cfRule>
    <cfRule type="containsText" dxfId="2673" priority="1017" operator="containsText" text="N/A">
      <formula>NOT(ISERROR(SEARCH("N/A",P510)))</formula>
    </cfRule>
    <cfRule type="expression" dxfId="2672" priority="1013">
      <formula>$H510="SUBETAPA"</formula>
    </cfRule>
    <cfRule type="expression" dxfId="2671" priority="1014">
      <formula>$H510="CÉLULA CONSTRUTIVA"</formula>
    </cfRule>
    <cfRule type="expression" dxfId="2670" priority="1015">
      <formula>$H510="ETAPA"</formula>
    </cfRule>
    <cfRule type="containsText" dxfId="2669" priority="1016" operator="containsText" text="Lançado">
      <formula>NOT(ISERROR(SEARCH("Lançado",P510)))</formula>
    </cfRule>
    <cfRule type="containsText" dxfId="2668" priority="1019" operator="containsText" text="Finalizado">
      <formula>NOT(ISERROR(SEARCH("Finalizado",P510)))</formula>
    </cfRule>
    <cfRule type="containsText" dxfId="2667" priority="1018" operator="containsText" text="Pendente">
      <formula>NOT(ISERROR(SEARCH("Pendente",P510)))</formula>
    </cfRule>
  </conditionalFormatting>
  <conditionalFormatting sqref="P512">
    <cfRule type="expression" dxfId="2666" priority="1007">
      <formula>$H512="ETAPA"</formula>
    </cfRule>
    <cfRule type="expression" dxfId="2665" priority="1005">
      <formula>$H512="SUBETAPA"</formula>
    </cfRule>
    <cfRule type="expression" dxfId="2664" priority="1006">
      <formula>$H512="CÉLULA CONSTRUTIVA"</formula>
    </cfRule>
    <cfRule type="containsText" dxfId="2663" priority="1008" operator="containsText" text="Lançado">
      <formula>NOT(ISERROR(SEARCH("Lançado",P512)))</formula>
    </cfRule>
    <cfRule type="containsText" dxfId="2662" priority="1009" operator="containsText" text="N/A">
      <formula>NOT(ISERROR(SEARCH("N/A",P512)))</formula>
    </cfRule>
    <cfRule type="containsText" dxfId="2661" priority="1011" operator="containsText" text="Finalizado">
      <formula>NOT(ISERROR(SEARCH("Finalizado",P512)))</formula>
    </cfRule>
    <cfRule type="containsText" dxfId="2660" priority="1012" operator="containsText" text="em andamento">
      <formula>NOT(ISERROR(SEARCH("em andamento",P512)))</formula>
    </cfRule>
    <cfRule type="containsText" dxfId="2659" priority="1010" operator="containsText" text="Pendente">
      <formula>NOT(ISERROR(SEARCH("Pendente",P512)))</formula>
    </cfRule>
  </conditionalFormatting>
  <conditionalFormatting sqref="P516">
    <cfRule type="containsText" dxfId="2658" priority="5129" operator="containsText" text="Finalizado">
      <formula>NOT(ISERROR(SEARCH("Finalizado",P516)))</formula>
    </cfRule>
    <cfRule type="expression" dxfId="2657" priority="5123">
      <formula>$H516="SUBETAPA"</formula>
    </cfRule>
    <cfRule type="expression" dxfId="2656" priority="5125">
      <formula>$H516="ETAPA"</formula>
    </cfRule>
    <cfRule type="containsText" dxfId="2655" priority="5126" operator="containsText" text="Lançado">
      <formula>NOT(ISERROR(SEARCH("Lançado",P516)))</formula>
    </cfRule>
    <cfRule type="containsText" dxfId="2654" priority="5130" operator="containsText" text="em andamento">
      <formula>NOT(ISERROR(SEARCH("em andamento",P516)))</formula>
    </cfRule>
    <cfRule type="containsText" dxfId="2653" priority="5128" operator="containsText" text="Pendente">
      <formula>NOT(ISERROR(SEARCH("Pendente",P516)))</formula>
    </cfRule>
    <cfRule type="containsText" dxfId="2652" priority="5127" operator="containsText" text="N/A">
      <formula>NOT(ISERROR(SEARCH("N/A",P516)))</formula>
    </cfRule>
    <cfRule type="expression" dxfId="2651" priority="5124">
      <formula>$H516="CÉLULA CONSTRUTIVA"</formula>
    </cfRule>
  </conditionalFormatting>
  <conditionalFormatting sqref="P519">
    <cfRule type="containsText" dxfId="2650" priority="1001" operator="containsText" text="em andamento">
      <formula>NOT(ISERROR(SEARCH("em andamento",P519)))</formula>
    </cfRule>
    <cfRule type="containsText" dxfId="2649" priority="999" operator="containsText" text="Pendente">
      <formula>NOT(ISERROR(SEARCH("Pendente",P519)))</formula>
    </cfRule>
    <cfRule type="containsText" dxfId="2648" priority="1000" operator="containsText" text="Finalizado">
      <formula>NOT(ISERROR(SEARCH("Finalizado",P519)))</formula>
    </cfRule>
  </conditionalFormatting>
  <conditionalFormatting sqref="P519:P520">
    <cfRule type="containsText" dxfId="2647" priority="987" operator="containsText" text="N/A">
      <formula>NOT(ISERROR(SEARCH("N/A",P519)))</formula>
    </cfRule>
    <cfRule type="containsText" dxfId="2646" priority="986" operator="containsText" text="Lançado">
      <formula>NOT(ISERROR(SEARCH("Lançado",P519)))</formula>
    </cfRule>
  </conditionalFormatting>
  <conditionalFormatting sqref="P520">
    <cfRule type="containsText" dxfId="2645" priority="988" operator="containsText" text="Pendente">
      <formula>NOT(ISERROR(SEARCH("Pendente",P520)))</formula>
    </cfRule>
    <cfRule type="containsText" dxfId="2644" priority="990" operator="containsText" text="em andamento">
      <formula>NOT(ISERROR(SEARCH("em andamento",P520)))</formula>
    </cfRule>
    <cfRule type="containsText" dxfId="2643" priority="989" operator="containsText" text="Finalizado">
      <formula>NOT(ISERROR(SEARCH("Finalizado",P520)))</formula>
    </cfRule>
    <cfRule type="expression" dxfId="2642" priority="985">
      <formula>$H520="ETAPA"</formula>
    </cfRule>
    <cfRule type="expression" dxfId="2641" priority="984">
      <formula>$H520="CÉLULA CONSTRUTIVA"</formula>
    </cfRule>
    <cfRule type="expression" dxfId="2640" priority="983">
      <formula>$H520="SUBETAPA"</formula>
    </cfRule>
  </conditionalFormatting>
  <conditionalFormatting sqref="P522">
    <cfRule type="containsText" dxfId="2639" priority="5111" operator="containsText" text="N/A">
      <formula>NOT(ISERROR(SEARCH("N/A",P522)))</formula>
    </cfRule>
    <cfRule type="expression" dxfId="2638" priority="5107">
      <formula>$H522="SUBETAPA"</formula>
    </cfRule>
    <cfRule type="expression" dxfId="2637" priority="5108">
      <formula>$H522="CÉLULA CONSTRUTIVA"</formula>
    </cfRule>
    <cfRule type="expression" dxfId="2636" priority="5109">
      <formula>$H522="ETAPA"</formula>
    </cfRule>
    <cfRule type="containsText" dxfId="2635" priority="5110" operator="containsText" text="Lançado">
      <formula>NOT(ISERROR(SEARCH("Lançado",P522)))</formula>
    </cfRule>
    <cfRule type="containsText" dxfId="2634" priority="5114" operator="containsText" text="em andamento">
      <formula>NOT(ISERROR(SEARCH("em andamento",P522)))</formula>
    </cfRule>
    <cfRule type="containsText" dxfId="2633" priority="5113" operator="containsText" text="Finalizado">
      <formula>NOT(ISERROR(SEARCH("Finalizado",P522)))</formula>
    </cfRule>
    <cfRule type="containsText" dxfId="2632" priority="5112" operator="containsText" text="Pendente">
      <formula>NOT(ISERROR(SEARCH("Pendente",P522)))</formula>
    </cfRule>
  </conditionalFormatting>
  <conditionalFormatting sqref="P524">
    <cfRule type="containsText" dxfId="2631" priority="5102" operator="containsText" text="Lançado">
      <formula>NOT(ISERROR(SEARCH("Lançado",P524)))</formula>
    </cfRule>
    <cfRule type="containsText" dxfId="2630" priority="5103" operator="containsText" text="N/A">
      <formula>NOT(ISERROR(SEARCH("N/A",P524)))</formula>
    </cfRule>
    <cfRule type="containsText" dxfId="2629" priority="5104" operator="containsText" text="Pendente">
      <formula>NOT(ISERROR(SEARCH("Pendente",P524)))</formula>
    </cfRule>
    <cfRule type="containsText" dxfId="2628" priority="5106" operator="containsText" text="em andamento">
      <formula>NOT(ISERROR(SEARCH("em andamento",P524)))</formula>
    </cfRule>
    <cfRule type="containsText" dxfId="2627" priority="5105" operator="containsText" text="Finalizado">
      <formula>NOT(ISERROR(SEARCH("Finalizado",P524)))</formula>
    </cfRule>
    <cfRule type="expression" dxfId="2626" priority="5099">
      <formula>$H524="SUBETAPA"</formula>
    </cfRule>
    <cfRule type="expression" dxfId="2625" priority="5100">
      <formula>$H524="CÉLULA CONSTRUTIVA"</formula>
    </cfRule>
    <cfRule type="expression" dxfId="2624" priority="5101">
      <formula>$H524="ETAPA"</formula>
    </cfRule>
  </conditionalFormatting>
  <conditionalFormatting sqref="P526">
    <cfRule type="containsText" dxfId="2623" priority="5098" operator="containsText" text="em andamento">
      <formula>NOT(ISERROR(SEARCH("em andamento",P526)))</formula>
    </cfRule>
    <cfRule type="expression" dxfId="2622" priority="5091">
      <formula>$H526="SUBETAPA"</formula>
    </cfRule>
    <cfRule type="containsText" dxfId="2621" priority="5097" operator="containsText" text="Finalizado">
      <formula>NOT(ISERROR(SEARCH("Finalizado",P526)))</formula>
    </cfRule>
    <cfRule type="containsText" dxfId="2620" priority="5096" operator="containsText" text="Pendente">
      <formula>NOT(ISERROR(SEARCH("Pendente",P526)))</formula>
    </cfRule>
    <cfRule type="expression" dxfId="2619" priority="5092">
      <formula>$H526="CÉLULA CONSTRUTIVA"</formula>
    </cfRule>
    <cfRule type="expression" dxfId="2618" priority="5093">
      <formula>$H526="ETAPA"</formula>
    </cfRule>
  </conditionalFormatting>
  <conditionalFormatting sqref="P526:P527">
    <cfRule type="containsText" dxfId="2617" priority="5095" operator="containsText" text="N/A">
      <formula>NOT(ISERROR(SEARCH("N/A",P526)))</formula>
    </cfRule>
    <cfRule type="containsText" dxfId="2616" priority="5094" operator="containsText" text="Lançado">
      <formula>NOT(ISERROR(SEARCH("Lançado",P526)))</formula>
    </cfRule>
  </conditionalFormatting>
  <conditionalFormatting sqref="P527">
    <cfRule type="containsText" dxfId="2615" priority="11416" operator="containsText" text="Finalizado">
      <formula>NOT(ISERROR(SEARCH("Finalizado",P527)))</formula>
    </cfRule>
    <cfRule type="containsText" dxfId="2614" priority="11417" operator="containsText" text="em andamento">
      <formula>NOT(ISERROR(SEARCH("em andamento",P527)))</formula>
    </cfRule>
    <cfRule type="containsText" dxfId="2613" priority="11415" operator="containsText" text="Pendente">
      <formula>NOT(ISERROR(SEARCH("Pendente",P527)))</formula>
    </cfRule>
  </conditionalFormatting>
  <conditionalFormatting sqref="P528">
    <cfRule type="expression" dxfId="2612" priority="5077">
      <formula>$H528="ETAPA"</formula>
    </cfRule>
    <cfRule type="containsText" dxfId="2611" priority="5082" operator="containsText" text="em andamento">
      <formula>NOT(ISERROR(SEARCH("em andamento",P528)))</formula>
    </cfRule>
    <cfRule type="containsText" dxfId="2610" priority="5078" operator="containsText" text="Lançado">
      <formula>NOT(ISERROR(SEARCH("Lançado",P528)))</formula>
    </cfRule>
    <cfRule type="containsText" dxfId="2609" priority="5079" operator="containsText" text="N/A">
      <formula>NOT(ISERROR(SEARCH("N/A",P528)))</formula>
    </cfRule>
    <cfRule type="containsText" dxfId="2608" priority="5080" operator="containsText" text="Pendente">
      <formula>NOT(ISERROR(SEARCH("Pendente",P528)))</formula>
    </cfRule>
    <cfRule type="containsText" dxfId="2607" priority="5081" operator="containsText" text="Finalizado">
      <formula>NOT(ISERROR(SEARCH("Finalizado",P528)))</formula>
    </cfRule>
    <cfRule type="expression" dxfId="2606" priority="5075">
      <formula>$H528="SUBETAPA"</formula>
    </cfRule>
    <cfRule type="expression" dxfId="2605" priority="5076">
      <formula>$H528="CÉLULA CONSTRUTIVA"</formula>
    </cfRule>
  </conditionalFormatting>
  <conditionalFormatting sqref="P530">
    <cfRule type="containsText" dxfId="2604" priority="5070" operator="containsText" text="Lançado">
      <formula>NOT(ISERROR(SEARCH("Lançado",P530)))</formula>
    </cfRule>
    <cfRule type="expression" dxfId="2603" priority="5069">
      <formula>$H530="ETAPA"</formula>
    </cfRule>
    <cfRule type="expression" dxfId="2602" priority="5068">
      <formula>$H530="CÉLULA CONSTRUTIVA"</formula>
    </cfRule>
    <cfRule type="expression" dxfId="2601" priority="5067">
      <formula>$H530="SUBETAPA"</formula>
    </cfRule>
    <cfRule type="containsText" dxfId="2600" priority="5072" operator="containsText" text="Pendente">
      <formula>NOT(ISERROR(SEARCH("Pendente",P530)))</formula>
    </cfRule>
    <cfRule type="containsText" dxfId="2599" priority="5073" operator="containsText" text="Finalizado">
      <formula>NOT(ISERROR(SEARCH("Finalizado",P530)))</formula>
    </cfRule>
    <cfRule type="containsText" dxfId="2598" priority="5071" operator="containsText" text="N/A">
      <formula>NOT(ISERROR(SEARCH("N/A",P530)))</formula>
    </cfRule>
    <cfRule type="containsText" dxfId="2597" priority="5074" operator="containsText" text="em andamento">
      <formula>NOT(ISERROR(SEARCH("em andamento",P530)))</formula>
    </cfRule>
  </conditionalFormatting>
  <conditionalFormatting sqref="P531:P532 P534 P536">
    <cfRule type="containsText" dxfId="2596" priority="2363" operator="containsText" text="N/A">
      <formula>NOT(ISERROR(SEARCH("N/A",P531)))</formula>
    </cfRule>
    <cfRule type="containsText" dxfId="2595" priority="2362" operator="containsText" text="Lançado">
      <formula>NOT(ISERROR(SEARCH("Lançado",P531)))</formula>
    </cfRule>
  </conditionalFormatting>
  <conditionalFormatting sqref="P533">
    <cfRule type="containsText" dxfId="2594" priority="2353" operator="containsText" text="em andamento">
      <formula>NOT(ISERROR(SEARCH("em andamento",P533)))</formula>
    </cfRule>
    <cfRule type="containsText" dxfId="2593" priority="2349" operator="containsText" text="Lançado">
      <formula>NOT(ISERROR(SEARCH("Lançado",P533)))</formula>
    </cfRule>
    <cfRule type="expression" dxfId="2592" priority="2346">
      <formula>$H533="SUBETAPA"</formula>
    </cfRule>
    <cfRule type="expression" dxfId="2591" priority="2347">
      <formula>$H533="CÉLULA CONSTRUTIVA"</formula>
    </cfRule>
    <cfRule type="expression" dxfId="2590" priority="2348">
      <formula>$H533="ETAPA"</formula>
    </cfRule>
    <cfRule type="containsText" dxfId="2589" priority="2352" operator="containsText" text="Finalizado">
      <formula>NOT(ISERROR(SEARCH("Finalizado",P533)))</formula>
    </cfRule>
    <cfRule type="containsText" dxfId="2588" priority="2351" operator="containsText" text="Pendente">
      <formula>NOT(ISERROR(SEARCH("Pendente",P533)))</formula>
    </cfRule>
    <cfRule type="containsText" dxfId="2587" priority="2350" operator="containsText" text="N/A">
      <formula>NOT(ISERROR(SEARCH("N/A",P533)))</formula>
    </cfRule>
  </conditionalFormatting>
  <conditionalFormatting sqref="P535">
    <cfRule type="containsText" dxfId="2586" priority="2335" operator="containsText" text="Pendente">
      <formula>NOT(ISERROR(SEARCH("Pendente",P535)))</formula>
    </cfRule>
    <cfRule type="containsText" dxfId="2585" priority="2336" operator="containsText" text="Finalizado">
      <formula>NOT(ISERROR(SEARCH("Finalizado",P535)))</formula>
    </cfRule>
    <cfRule type="containsText" dxfId="2584" priority="2337" operator="containsText" text="em andamento">
      <formula>NOT(ISERROR(SEARCH("em andamento",P535)))</formula>
    </cfRule>
    <cfRule type="expression" dxfId="2583" priority="2331">
      <formula>$H535="CÉLULA CONSTRUTIVA"</formula>
    </cfRule>
    <cfRule type="expression" dxfId="2582" priority="2332">
      <formula>$H535="ETAPA"</formula>
    </cfRule>
    <cfRule type="containsText" dxfId="2581" priority="2333" operator="containsText" text="Lançado">
      <formula>NOT(ISERROR(SEARCH("Lançado",P535)))</formula>
    </cfRule>
    <cfRule type="containsText" dxfId="2580" priority="2334" operator="containsText" text="N/A">
      <formula>NOT(ISERROR(SEARCH("N/A",P535)))</formula>
    </cfRule>
    <cfRule type="expression" dxfId="2579" priority="2330">
      <formula>$H535="SUBETAPA"</formula>
    </cfRule>
  </conditionalFormatting>
  <conditionalFormatting sqref="P536 P531:P532 P534">
    <cfRule type="containsText" dxfId="2578" priority="2366" operator="containsText" text="em andamento">
      <formula>NOT(ISERROR(SEARCH("em andamento",P531)))</formula>
    </cfRule>
    <cfRule type="containsText" dxfId="2577" priority="2364" operator="containsText" text="Pendente">
      <formula>NOT(ISERROR(SEARCH("Pendente",P531)))</formula>
    </cfRule>
    <cfRule type="containsText" dxfId="2576" priority="2365" operator="containsText" text="Finalizado">
      <formula>NOT(ISERROR(SEARCH("Finalizado",P531)))</formula>
    </cfRule>
  </conditionalFormatting>
  <conditionalFormatting sqref="P537">
    <cfRule type="containsText" dxfId="2575" priority="2310" operator="containsText" text="N/A">
      <formula>NOT(ISERROR(SEARCH("N/A",P537)))</formula>
    </cfRule>
    <cfRule type="containsText" dxfId="2574" priority="2309" operator="containsText" text="Lançado">
      <formula>NOT(ISERROR(SEARCH("Lançado",P537)))</formula>
    </cfRule>
    <cfRule type="expression" dxfId="2573" priority="2308">
      <formula>$H537="ETAPA"</formula>
    </cfRule>
    <cfRule type="expression" dxfId="2572" priority="2307">
      <formula>$H537="CÉLULA CONSTRUTIVA"</formula>
    </cfRule>
    <cfRule type="expression" dxfId="2571" priority="2306">
      <formula>$H537="SUBETAPA"</formula>
    </cfRule>
    <cfRule type="containsText" dxfId="2570" priority="2312" operator="containsText" text="Finalizado">
      <formula>NOT(ISERROR(SEARCH("Finalizado",P537)))</formula>
    </cfRule>
    <cfRule type="containsText" dxfId="2569" priority="2311" operator="containsText" text="Pendente">
      <formula>NOT(ISERROR(SEARCH("Pendente",P537)))</formula>
    </cfRule>
    <cfRule type="containsText" dxfId="2568" priority="2313" operator="containsText" text="em andamento">
      <formula>NOT(ISERROR(SEARCH("em andamento",P537)))</formula>
    </cfRule>
  </conditionalFormatting>
  <conditionalFormatting sqref="P538:P539 P541 P543">
    <cfRule type="containsText" dxfId="2567" priority="2046" operator="containsText" text="Lançado">
      <formula>NOT(ISERROR(SEARCH("Lançado",P538)))</formula>
    </cfRule>
    <cfRule type="containsText" dxfId="2566" priority="2047" operator="containsText" text="N/A">
      <formula>NOT(ISERROR(SEARCH("N/A",P538)))</formula>
    </cfRule>
  </conditionalFormatting>
  <conditionalFormatting sqref="P540">
    <cfRule type="expression" dxfId="2565" priority="2031">
      <formula>$H540="CÉLULA CONSTRUTIVA"</formula>
    </cfRule>
    <cfRule type="containsText" dxfId="2564" priority="2034" operator="containsText" text="N/A">
      <formula>NOT(ISERROR(SEARCH("N/A",P540)))</formula>
    </cfRule>
    <cfRule type="containsText" dxfId="2563" priority="2033" operator="containsText" text="Lançado">
      <formula>NOT(ISERROR(SEARCH("Lançado",P540)))</formula>
    </cfRule>
    <cfRule type="expression" dxfId="2562" priority="2030">
      <formula>$H540="SUBETAPA"</formula>
    </cfRule>
    <cfRule type="expression" dxfId="2561" priority="2032">
      <formula>$H540="ETAPA"</formula>
    </cfRule>
    <cfRule type="containsText" dxfId="2560" priority="2035" operator="containsText" text="Pendente">
      <formula>NOT(ISERROR(SEARCH("Pendente",P540)))</formula>
    </cfRule>
    <cfRule type="containsText" dxfId="2559" priority="2036" operator="containsText" text="Finalizado">
      <formula>NOT(ISERROR(SEARCH("Finalizado",P540)))</formula>
    </cfRule>
    <cfRule type="containsText" dxfId="2558" priority="2037" operator="containsText" text="em andamento">
      <formula>NOT(ISERROR(SEARCH("em andamento",P540)))</formula>
    </cfRule>
  </conditionalFormatting>
  <conditionalFormatting sqref="P542">
    <cfRule type="containsText" dxfId="2557" priority="2017" operator="containsText" text="Lançado">
      <formula>NOT(ISERROR(SEARCH("Lançado",P542)))</formula>
    </cfRule>
    <cfRule type="expression" dxfId="2556" priority="2016">
      <formula>$H542="ETAPA"</formula>
    </cfRule>
    <cfRule type="containsText" dxfId="2555" priority="2020" operator="containsText" text="Finalizado">
      <formula>NOT(ISERROR(SEARCH("Finalizado",P542)))</formula>
    </cfRule>
    <cfRule type="expression" dxfId="2554" priority="2014">
      <formula>$H542="SUBETAPA"</formula>
    </cfRule>
    <cfRule type="expression" dxfId="2553" priority="2015">
      <formula>$H542="CÉLULA CONSTRUTIVA"</formula>
    </cfRule>
    <cfRule type="containsText" dxfId="2552" priority="2018" operator="containsText" text="N/A">
      <formula>NOT(ISERROR(SEARCH("N/A",P542)))</formula>
    </cfRule>
    <cfRule type="containsText" dxfId="2551" priority="2019" operator="containsText" text="Pendente">
      <formula>NOT(ISERROR(SEARCH("Pendente",P542)))</formula>
    </cfRule>
    <cfRule type="containsText" dxfId="2550" priority="2021" operator="containsText" text="em andamento">
      <formula>NOT(ISERROR(SEARCH("em andamento",P542)))</formula>
    </cfRule>
  </conditionalFormatting>
  <conditionalFormatting sqref="P543 P538:P539 P541">
    <cfRule type="containsText" dxfId="2549" priority="2049" operator="containsText" text="Finalizado">
      <formula>NOT(ISERROR(SEARCH("Finalizado",P538)))</formula>
    </cfRule>
    <cfRule type="containsText" dxfId="2548" priority="2048" operator="containsText" text="Pendente">
      <formula>NOT(ISERROR(SEARCH("Pendente",P538)))</formula>
    </cfRule>
    <cfRule type="containsText" dxfId="2547" priority="2050" operator="containsText" text="em andamento">
      <formula>NOT(ISERROR(SEARCH("em andamento",P538)))</formula>
    </cfRule>
  </conditionalFormatting>
  <conditionalFormatting sqref="P544">
    <cfRule type="expression" dxfId="2546" priority="1992">
      <formula>$H544="ETAPA"</formula>
    </cfRule>
    <cfRule type="containsText" dxfId="2545" priority="1993" operator="containsText" text="Lançado">
      <formula>NOT(ISERROR(SEARCH("Lançado",P544)))</formula>
    </cfRule>
    <cfRule type="containsText" dxfId="2544" priority="1994" operator="containsText" text="N/A">
      <formula>NOT(ISERROR(SEARCH("N/A",P544)))</formula>
    </cfRule>
    <cfRule type="containsText" dxfId="2543" priority="1995" operator="containsText" text="Pendente">
      <formula>NOT(ISERROR(SEARCH("Pendente",P544)))</formula>
    </cfRule>
    <cfRule type="containsText" dxfId="2542" priority="1996" operator="containsText" text="Finalizado">
      <formula>NOT(ISERROR(SEARCH("Finalizado",P544)))</formula>
    </cfRule>
    <cfRule type="containsText" dxfId="2541" priority="1997" operator="containsText" text="em andamento">
      <formula>NOT(ISERROR(SEARCH("em andamento",P544)))</formula>
    </cfRule>
    <cfRule type="expression" dxfId="2540" priority="1991">
      <formula>$H544="CÉLULA CONSTRUTIVA"</formula>
    </cfRule>
    <cfRule type="expression" dxfId="2539" priority="1990">
      <formula>$H544="SUBETAPA"</formula>
    </cfRule>
  </conditionalFormatting>
  <conditionalFormatting sqref="P545:P546 P548 P550">
    <cfRule type="containsText" dxfId="2538" priority="2126" operator="containsText" text="N/A">
      <formula>NOT(ISERROR(SEARCH("N/A",P545)))</formula>
    </cfRule>
    <cfRule type="containsText" dxfId="2537" priority="2125" operator="containsText" text="Lançado">
      <formula>NOT(ISERROR(SEARCH("Lançado",P545)))</formula>
    </cfRule>
  </conditionalFormatting>
  <conditionalFormatting sqref="P547">
    <cfRule type="expression" dxfId="2536" priority="2109">
      <formula>$H547="SUBETAPA"</formula>
    </cfRule>
    <cfRule type="containsText" dxfId="2535" priority="2112" operator="containsText" text="Lançado">
      <formula>NOT(ISERROR(SEARCH("Lançado",P547)))</formula>
    </cfRule>
    <cfRule type="expression" dxfId="2534" priority="2111">
      <formula>$H547="ETAPA"</formula>
    </cfRule>
    <cfRule type="containsText" dxfId="2533" priority="2115" operator="containsText" text="Finalizado">
      <formula>NOT(ISERROR(SEARCH("Finalizado",P547)))</formula>
    </cfRule>
    <cfRule type="containsText" dxfId="2532" priority="2114" operator="containsText" text="Pendente">
      <formula>NOT(ISERROR(SEARCH("Pendente",P547)))</formula>
    </cfRule>
    <cfRule type="containsText" dxfId="2531" priority="2113" operator="containsText" text="N/A">
      <formula>NOT(ISERROR(SEARCH("N/A",P547)))</formula>
    </cfRule>
    <cfRule type="expression" dxfId="2530" priority="2110">
      <formula>$H547="CÉLULA CONSTRUTIVA"</formula>
    </cfRule>
    <cfRule type="containsText" dxfId="2529" priority="2116" operator="containsText" text="em andamento">
      <formula>NOT(ISERROR(SEARCH("em andamento",P547)))</formula>
    </cfRule>
  </conditionalFormatting>
  <conditionalFormatting sqref="P549">
    <cfRule type="containsText" dxfId="2528" priority="2089" operator="containsText" text="N/A">
      <formula>NOT(ISERROR(SEARCH("N/A",P549)))</formula>
    </cfRule>
    <cfRule type="containsText" dxfId="2527" priority="2088" operator="containsText" text="Lançado">
      <formula>NOT(ISERROR(SEARCH("Lançado",P549)))</formula>
    </cfRule>
    <cfRule type="expression" dxfId="2526" priority="2087">
      <formula>$H549="ETAPA"</formula>
    </cfRule>
    <cfRule type="expression" dxfId="2525" priority="2086">
      <formula>$H549="CÉLULA CONSTRUTIVA"</formula>
    </cfRule>
    <cfRule type="containsText" dxfId="2524" priority="2092" operator="containsText" text="em andamento">
      <formula>NOT(ISERROR(SEARCH("em andamento",P549)))</formula>
    </cfRule>
    <cfRule type="containsText" dxfId="2523" priority="2091" operator="containsText" text="Finalizado">
      <formula>NOT(ISERROR(SEARCH("Finalizado",P549)))</formula>
    </cfRule>
    <cfRule type="containsText" dxfId="2522" priority="2090" operator="containsText" text="Pendente">
      <formula>NOT(ISERROR(SEARCH("Pendente",P549)))</formula>
    </cfRule>
    <cfRule type="expression" dxfId="2521" priority="2085">
      <formula>$H549="SUBETAPA"</formula>
    </cfRule>
  </conditionalFormatting>
  <conditionalFormatting sqref="P550 P545:P546 P548">
    <cfRule type="containsText" dxfId="2520" priority="2129" operator="containsText" text="em andamento">
      <formula>NOT(ISERROR(SEARCH("em andamento",P545)))</formula>
    </cfRule>
    <cfRule type="containsText" dxfId="2519" priority="2128" operator="containsText" text="Finalizado">
      <formula>NOT(ISERROR(SEARCH("Finalizado",P545)))</formula>
    </cfRule>
    <cfRule type="containsText" dxfId="2518" priority="2127" operator="containsText" text="Pendente">
      <formula>NOT(ISERROR(SEARCH("Pendente",P545)))</formula>
    </cfRule>
  </conditionalFormatting>
  <conditionalFormatting sqref="P551">
    <cfRule type="containsText" dxfId="2517" priority="2074" operator="containsText" text="Pendente">
      <formula>NOT(ISERROR(SEARCH("Pendente",P551)))</formula>
    </cfRule>
    <cfRule type="containsText" dxfId="2516" priority="2073" operator="containsText" text="N/A">
      <formula>NOT(ISERROR(SEARCH("N/A",P551)))</formula>
    </cfRule>
    <cfRule type="containsText" dxfId="2515" priority="2072" operator="containsText" text="Lançado">
      <formula>NOT(ISERROR(SEARCH("Lançado",P551)))</formula>
    </cfRule>
    <cfRule type="expression" dxfId="2514" priority="2071">
      <formula>$H551="ETAPA"</formula>
    </cfRule>
    <cfRule type="expression" dxfId="2513" priority="2070">
      <formula>$H551="CÉLULA CONSTRUTIVA"</formula>
    </cfRule>
    <cfRule type="expression" dxfId="2512" priority="2069">
      <formula>$H551="SUBETAPA"</formula>
    </cfRule>
    <cfRule type="containsText" dxfId="2511" priority="2076" operator="containsText" text="em andamento">
      <formula>NOT(ISERROR(SEARCH("em andamento",P551)))</formula>
    </cfRule>
    <cfRule type="containsText" dxfId="2510" priority="2075" operator="containsText" text="Finalizado">
      <formula>NOT(ISERROR(SEARCH("Finalizado",P551)))</formula>
    </cfRule>
  </conditionalFormatting>
  <conditionalFormatting sqref="P552:P553 P555 P557 P559">
    <cfRule type="containsText" dxfId="2509" priority="2205" operator="containsText" text="N/A">
      <formula>NOT(ISERROR(SEARCH("N/A",P552)))</formula>
    </cfRule>
    <cfRule type="containsText" dxfId="2508" priority="2204" operator="containsText" text="Lançado">
      <formula>NOT(ISERROR(SEARCH("Lançado",P552)))</formula>
    </cfRule>
  </conditionalFormatting>
  <conditionalFormatting sqref="P554">
    <cfRule type="containsText" dxfId="2507" priority="2195" operator="containsText" text="em andamento">
      <formula>NOT(ISERROR(SEARCH("em andamento",P554)))</formula>
    </cfRule>
    <cfRule type="containsText" dxfId="2506" priority="2193" operator="containsText" text="Pendente">
      <formula>NOT(ISERROR(SEARCH("Pendente",P554)))</formula>
    </cfRule>
    <cfRule type="expression" dxfId="2505" priority="2188">
      <formula>$H554="SUBETAPA"</formula>
    </cfRule>
    <cfRule type="expression" dxfId="2504" priority="2189">
      <formula>$H554="CÉLULA CONSTRUTIVA"</formula>
    </cfRule>
    <cfRule type="expression" dxfId="2503" priority="2190">
      <formula>$H554="ETAPA"</formula>
    </cfRule>
    <cfRule type="containsText" dxfId="2502" priority="2191" operator="containsText" text="Lançado">
      <formula>NOT(ISERROR(SEARCH("Lançado",P554)))</formula>
    </cfRule>
    <cfRule type="containsText" dxfId="2501" priority="2194" operator="containsText" text="Finalizado">
      <formula>NOT(ISERROR(SEARCH("Finalizado",P554)))</formula>
    </cfRule>
    <cfRule type="containsText" dxfId="2500" priority="2192" operator="containsText" text="N/A">
      <formula>NOT(ISERROR(SEARCH("N/A",P554)))</formula>
    </cfRule>
  </conditionalFormatting>
  <conditionalFormatting sqref="P556">
    <cfRule type="expression" dxfId="2499" priority="2180">
      <formula>$H556="SUBETAPA"</formula>
    </cfRule>
    <cfRule type="containsText" dxfId="2498" priority="2184" operator="containsText" text="N/A">
      <formula>NOT(ISERROR(SEARCH("N/A",P556)))</formula>
    </cfRule>
    <cfRule type="containsText" dxfId="2497" priority="2187" operator="containsText" text="em andamento">
      <formula>NOT(ISERROR(SEARCH("em andamento",P556)))</formula>
    </cfRule>
    <cfRule type="containsText" dxfId="2496" priority="2186" operator="containsText" text="Finalizado">
      <formula>NOT(ISERROR(SEARCH("Finalizado",P556)))</formula>
    </cfRule>
    <cfRule type="containsText" dxfId="2495" priority="2185" operator="containsText" text="Pendente">
      <formula>NOT(ISERROR(SEARCH("Pendente",P556)))</formula>
    </cfRule>
    <cfRule type="expression" dxfId="2494" priority="2181">
      <formula>$H556="CÉLULA CONSTRUTIVA"</formula>
    </cfRule>
    <cfRule type="expression" dxfId="2493" priority="2182">
      <formula>$H556="ETAPA"</formula>
    </cfRule>
    <cfRule type="containsText" dxfId="2492" priority="2183" operator="containsText" text="Lançado">
      <formula>NOT(ISERROR(SEARCH("Lançado",P556)))</formula>
    </cfRule>
  </conditionalFormatting>
  <conditionalFormatting sqref="P558">
    <cfRule type="containsText" dxfId="2491" priority="2169" operator="containsText" text="Pendente">
      <formula>NOT(ISERROR(SEARCH("Pendente",P558)))</formula>
    </cfRule>
    <cfRule type="containsText" dxfId="2490" priority="2170" operator="containsText" text="Finalizado">
      <formula>NOT(ISERROR(SEARCH("Finalizado",P558)))</formula>
    </cfRule>
    <cfRule type="containsText" dxfId="2489" priority="2171" operator="containsText" text="em andamento">
      <formula>NOT(ISERROR(SEARCH("em andamento",P558)))</formula>
    </cfRule>
    <cfRule type="expression" dxfId="2488" priority="2166">
      <formula>$H558="ETAPA"</formula>
    </cfRule>
    <cfRule type="containsText" dxfId="2487" priority="2167" operator="containsText" text="Lançado">
      <formula>NOT(ISERROR(SEARCH("Lançado",P558)))</formula>
    </cfRule>
    <cfRule type="containsText" dxfId="2486" priority="2168" operator="containsText" text="N/A">
      <formula>NOT(ISERROR(SEARCH("N/A",P558)))</formula>
    </cfRule>
    <cfRule type="expression" dxfId="2485" priority="2164">
      <formula>$H558="SUBETAPA"</formula>
    </cfRule>
    <cfRule type="expression" dxfId="2484" priority="2165">
      <formula>$H558="CÉLULA CONSTRUTIVA"</formula>
    </cfRule>
  </conditionalFormatting>
  <conditionalFormatting sqref="P559 P552:P553 P555 P557">
    <cfRule type="containsText" dxfId="2483" priority="2207" operator="containsText" text="Finalizado">
      <formula>NOT(ISERROR(SEARCH("Finalizado",P552)))</formula>
    </cfRule>
    <cfRule type="containsText" dxfId="2482" priority="2208" operator="containsText" text="em andamento">
      <formula>NOT(ISERROR(SEARCH("em andamento",P552)))</formula>
    </cfRule>
    <cfRule type="containsText" dxfId="2481" priority="2206" operator="containsText" text="Pendente">
      <formula>NOT(ISERROR(SEARCH("Pendente",P552)))</formula>
    </cfRule>
  </conditionalFormatting>
  <conditionalFormatting sqref="P560">
    <cfRule type="expression" dxfId="2480" priority="2148">
      <formula>$H560="SUBETAPA"</formula>
    </cfRule>
    <cfRule type="containsText" dxfId="2479" priority="2155" operator="containsText" text="em andamento">
      <formula>NOT(ISERROR(SEARCH("em andamento",P560)))</formula>
    </cfRule>
    <cfRule type="expression" dxfId="2478" priority="2149">
      <formula>$H560="CÉLULA CONSTRUTIVA"</formula>
    </cfRule>
    <cfRule type="containsText" dxfId="2477" priority="2152" operator="containsText" text="N/A">
      <formula>NOT(ISERROR(SEARCH("N/A",P560)))</formula>
    </cfRule>
    <cfRule type="containsText" dxfId="2476" priority="2153" operator="containsText" text="Pendente">
      <formula>NOT(ISERROR(SEARCH("Pendente",P560)))</formula>
    </cfRule>
    <cfRule type="containsText" dxfId="2475" priority="2154" operator="containsText" text="Finalizado">
      <formula>NOT(ISERROR(SEARCH("Finalizado",P560)))</formula>
    </cfRule>
    <cfRule type="expression" dxfId="2474" priority="2150">
      <formula>$H560="ETAPA"</formula>
    </cfRule>
    <cfRule type="containsText" dxfId="2473" priority="2151" operator="containsText" text="Lançado">
      <formula>NOT(ISERROR(SEARCH("Lançado",P560)))</formula>
    </cfRule>
  </conditionalFormatting>
  <conditionalFormatting sqref="P561:P562 P564 P566 P568">
    <cfRule type="containsText" dxfId="2472" priority="2283" operator="containsText" text="Lançado">
      <formula>NOT(ISERROR(SEARCH("Lançado",P561)))</formula>
    </cfRule>
    <cfRule type="containsText" dxfId="2471" priority="2284" operator="containsText" text="N/A">
      <formula>NOT(ISERROR(SEARCH("N/A",P561)))</formula>
    </cfRule>
  </conditionalFormatting>
  <conditionalFormatting sqref="P563">
    <cfRule type="expression" dxfId="2470" priority="2267">
      <formula>$H563="SUBETAPA"</formula>
    </cfRule>
    <cfRule type="expression" dxfId="2469" priority="2268">
      <formula>$H563="CÉLULA CONSTRUTIVA"</formula>
    </cfRule>
    <cfRule type="expression" dxfId="2468" priority="2269">
      <formula>$H563="ETAPA"</formula>
    </cfRule>
    <cfRule type="containsText" dxfId="2467" priority="2270" operator="containsText" text="Lançado">
      <formula>NOT(ISERROR(SEARCH("Lançado",P563)))</formula>
    </cfRule>
    <cfRule type="containsText" dxfId="2466" priority="2271" operator="containsText" text="N/A">
      <formula>NOT(ISERROR(SEARCH("N/A",P563)))</formula>
    </cfRule>
    <cfRule type="containsText" dxfId="2465" priority="2272" operator="containsText" text="Pendente">
      <formula>NOT(ISERROR(SEARCH("Pendente",P563)))</formula>
    </cfRule>
    <cfRule type="containsText" dxfId="2464" priority="2274" operator="containsText" text="em andamento">
      <formula>NOT(ISERROR(SEARCH("em andamento",P563)))</formula>
    </cfRule>
    <cfRule type="containsText" dxfId="2463" priority="2273" operator="containsText" text="Finalizado">
      <formula>NOT(ISERROR(SEARCH("Finalizado",P563)))</formula>
    </cfRule>
  </conditionalFormatting>
  <conditionalFormatting sqref="P565">
    <cfRule type="containsText" dxfId="2462" priority="2262" operator="containsText" text="Lançado">
      <formula>NOT(ISERROR(SEARCH("Lançado",P565)))</formula>
    </cfRule>
    <cfRule type="containsText" dxfId="2461" priority="2266" operator="containsText" text="em andamento">
      <formula>NOT(ISERROR(SEARCH("em andamento",P565)))</formula>
    </cfRule>
    <cfRule type="containsText" dxfId="2460" priority="2265" operator="containsText" text="Finalizado">
      <formula>NOT(ISERROR(SEARCH("Finalizado",P565)))</formula>
    </cfRule>
    <cfRule type="containsText" dxfId="2459" priority="2264" operator="containsText" text="Pendente">
      <formula>NOT(ISERROR(SEARCH("Pendente",P565)))</formula>
    </cfRule>
    <cfRule type="containsText" dxfId="2458" priority="2263" operator="containsText" text="N/A">
      <formula>NOT(ISERROR(SEARCH("N/A",P565)))</formula>
    </cfRule>
    <cfRule type="expression" dxfId="2457" priority="2261">
      <formula>$H565="ETAPA"</formula>
    </cfRule>
    <cfRule type="expression" dxfId="2456" priority="2260">
      <formula>$H565="CÉLULA CONSTRUTIVA"</formula>
    </cfRule>
    <cfRule type="expression" dxfId="2455" priority="2259">
      <formula>$H565="SUBETAPA"</formula>
    </cfRule>
  </conditionalFormatting>
  <conditionalFormatting sqref="P567">
    <cfRule type="expression" dxfId="2454" priority="2244">
      <formula>$H567="CÉLULA CONSTRUTIVA"</formula>
    </cfRule>
    <cfRule type="expression" dxfId="2453" priority="2245">
      <formula>$H567="ETAPA"</formula>
    </cfRule>
    <cfRule type="expression" dxfId="2452" priority="2243">
      <formula>$H567="SUBETAPA"</formula>
    </cfRule>
    <cfRule type="containsText" dxfId="2451" priority="2246" operator="containsText" text="Lançado">
      <formula>NOT(ISERROR(SEARCH("Lançado",P567)))</formula>
    </cfRule>
    <cfRule type="containsText" dxfId="2450" priority="2247" operator="containsText" text="N/A">
      <formula>NOT(ISERROR(SEARCH("N/A",P567)))</formula>
    </cfRule>
    <cfRule type="containsText" dxfId="2449" priority="2248" operator="containsText" text="Pendente">
      <formula>NOT(ISERROR(SEARCH("Pendente",P567)))</formula>
    </cfRule>
    <cfRule type="containsText" dxfId="2448" priority="2249" operator="containsText" text="Finalizado">
      <formula>NOT(ISERROR(SEARCH("Finalizado",P567)))</formula>
    </cfRule>
    <cfRule type="containsText" dxfId="2447" priority="2250" operator="containsText" text="em andamento">
      <formula>NOT(ISERROR(SEARCH("em andamento",P567)))</formula>
    </cfRule>
  </conditionalFormatting>
  <conditionalFormatting sqref="P568 P561:P562 P564 P566">
    <cfRule type="containsText" dxfId="2446" priority="2286" operator="containsText" text="Finalizado">
      <formula>NOT(ISERROR(SEARCH("Finalizado",P561)))</formula>
    </cfRule>
    <cfRule type="containsText" dxfId="2445" priority="2285" operator="containsText" text="Pendente">
      <formula>NOT(ISERROR(SEARCH("Pendente",P561)))</formula>
    </cfRule>
    <cfRule type="containsText" dxfId="2444" priority="2287" operator="containsText" text="em andamento">
      <formula>NOT(ISERROR(SEARCH("em andamento",P561)))</formula>
    </cfRule>
  </conditionalFormatting>
  <conditionalFormatting sqref="P569">
    <cfRule type="expression" dxfId="2443" priority="2227">
      <formula>$H569="SUBETAPA"</formula>
    </cfRule>
    <cfRule type="expression" dxfId="2442" priority="2228">
      <formula>$H569="CÉLULA CONSTRUTIVA"</formula>
    </cfRule>
    <cfRule type="expression" dxfId="2441" priority="2229">
      <formula>$H569="ETAPA"</formula>
    </cfRule>
    <cfRule type="containsText" dxfId="2440" priority="2230" operator="containsText" text="Lançado">
      <formula>NOT(ISERROR(SEARCH("Lançado",P569)))</formula>
    </cfRule>
    <cfRule type="containsText" dxfId="2439" priority="2231" operator="containsText" text="N/A">
      <formula>NOT(ISERROR(SEARCH("N/A",P569)))</formula>
    </cfRule>
    <cfRule type="containsText" dxfId="2438" priority="2233" operator="containsText" text="Finalizado">
      <formula>NOT(ISERROR(SEARCH("Finalizado",P569)))</formula>
    </cfRule>
    <cfRule type="containsText" dxfId="2437" priority="2234" operator="containsText" text="em andamento">
      <formula>NOT(ISERROR(SEARCH("em andamento",P569)))</formula>
    </cfRule>
    <cfRule type="containsText" dxfId="2436" priority="2232" operator="containsText" text="Pendente">
      <formula>NOT(ISERROR(SEARCH("Pendente",P569)))</formula>
    </cfRule>
  </conditionalFormatting>
  <conditionalFormatting sqref="P570:P571 P573 P575 P577">
    <cfRule type="containsText" dxfId="2435" priority="1967" operator="containsText" text="Lançado">
      <formula>NOT(ISERROR(SEARCH("Lançado",P570)))</formula>
    </cfRule>
    <cfRule type="containsText" dxfId="2434" priority="1968" operator="containsText" text="N/A">
      <formula>NOT(ISERROR(SEARCH("N/A",P570)))</formula>
    </cfRule>
  </conditionalFormatting>
  <conditionalFormatting sqref="P572">
    <cfRule type="containsText" dxfId="2433" priority="1956" operator="containsText" text="Pendente">
      <formula>NOT(ISERROR(SEARCH("Pendente",P572)))</formula>
    </cfRule>
    <cfRule type="containsText" dxfId="2432" priority="1957" operator="containsText" text="Finalizado">
      <formula>NOT(ISERROR(SEARCH("Finalizado",P572)))</formula>
    </cfRule>
    <cfRule type="expression" dxfId="2431" priority="1951">
      <formula>$H572="SUBETAPA"</formula>
    </cfRule>
    <cfRule type="expression" dxfId="2430" priority="1952">
      <formula>$H572="CÉLULA CONSTRUTIVA"</formula>
    </cfRule>
    <cfRule type="expression" dxfId="2429" priority="1953">
      <formula>$H572="ETAPA"</formula>
    </cfRule>
    <cfRule type="containsText" dxfId="2428" priority="1958" operator="containsText" text="em andamento">
      <formula>NOT(ISERROR(SEARCH("em andamento",P572)))</formula>
    </cfRule>
    <cfRule type="containsText" dxfId="2427" priority="1955" operator="containsText" text="N/A">
      <formula>NOT(ISERROR(SEARCH("N/A",P572)))</formula>
    </cfRule>
    <cfRule type="containsText" dxfId="2426" priority="1954" operator="containsText" text="Lançado">
      <formula>NOT(ISERROR(SEARCH("Lançado",P572)))</formula>
    </cfRule>
  </conditionalFormatting>
  <conditionalFormatting sqref="P574">
    <cfRule type="expression" dxfId="2425" priority="1945">
      <formula>$H574="ETAPA"</formula>
    </cfRule>
    <cfRule type="containsText" dxfId="2424" priority="1949" operator="containsText" text="Finalizado">
      <formula>NOT(ISERROR(SEARCH("Finalizado",P574)))</formula>
    </cfRule>
    <cfRule type="containsText" dxfId="2423" priority="1946" operator="containsText" text="Lançado">
      <formula>NOT(ISERROR(SEARCH("Lançado",P574)))</formula>
    </cfRule>
    <cfRule type="containsText" dxfId="2422" priority="1947" operator="containsText" text="N/A">
      <formula>NOT(ISERROR(SEARCH("N/A",P574)))</formula>
    </cfRule>
    <cfRule type="expression" dxfId="2421" priority="1944">
      <formula>$H574="CÉLULA CONSTRUTIVA"</formula>
    </cfRule>
    <cfRule type="containsText" dxfId="2420" priority="1950" operator="containsText" text="em andamento">
      <formula>NOT(ISERROR(SEARCH("em andamento",P574)))</formula>
    </cfRule>
    <cfRule type="expression" dxfId="2419" priority="1943">
      <formula>$H574="SUBETAPA"</formula>
    </cfRule>
    <cfRule type="containsText" dxfId="2418" priority="1948" operator="containsText" text="Pendente">
      <formula>NOT(ISERROR(SEARCH("Pendente",P574)))</formula>
    </cfRule>
  </conditionalFormatting>
  <conditionalFormatting sqref="P576">
    <cfRule type="expression" dxfId="2417" priority="1928">
      <formula>$H576="CÉLULA CONSTRUTIVA"</formula>
    </cfRule>
    <cfRule type="expression" dxfId="2416" priority="1929">
      <formula>$H576="ETAPA"</formula>
    </cfRule>
    <cfRule type="containsText" dxfId="2415" priority="1931" operator="containsText" text="N/A">
      <formula>NOT(ISERROR(SEARCH("N/A",P576)))</formula>
    </cfRule>
    <cfRule type="containsText" dxfId="2414" priority="1932" operator="containsText" text="Pendente">
      <formula>NOT(ISERROR(SEARCH("Pendente",P576)))</formula>
    </cfRule>
    <cfRule type="containsText" dxfId="2413" priority="1933" operator="containsText" text="Finalizado">
      <formula>NOT(ISERROR(SEARCH("Finalizado",P576)))</formula>
    </cfRule>
    <cfRule type="containsText" dxfId="2412" priority="1934" operator="containsText" text="em andamento">
      <formula>NOT(ISERROR(SEARCH("em andamento",P576)))</formula>
    </cfRule>
    <cfRule type="containsText" dxfId="2411" priority="1930" operator="containsText" text="Lançado">
      <formula>NOT(ISERROR(SEARCH("Lançado",P576)))</formula>
    </cfRule>
    <cfRule type="expression" dxfId="2410" priority="1927">
      <formula>$H576="SUBETAPA"</formula>
    </cfRule>
  </conditionalFormatting>
  <conditionalFormatting sqref="P577 P570:P571 P573 P575">
    <cfRule type="containsText" dxfId="2409" priority="1969" operator="containsText" text="Pendente">
      <formula>NOT(ISERROR(SEARCH("Pendente",P570)))</formula>
    </cfRule>
    <cfRule type="containsText" dxfId="2408" priority="1971" operator="containsText" text="em andamento">
      <formula>NOT(ISERROR(SEARCH("em andamento",P570)))</formula>
    </cfRule>
    <cfRule type="containsText" dxfId="2407" priority="1970" operator="containsText" text="Finalizado">
      <formula>NOT(ISERROR(SEARCH("Finalizado",P570)))</formula>
    </cfRule>
  </conditionalFormatting>
  <conditionalFormatting sqref="P578">
    <cfRule type="expression" dxfId="2406" priority="1912">
      <formula>$H578="CÉLULA CONSTRUTIVA"</formula>
    </cfRule>
    <cfRule type="containsText" dxfId="2405" priority="1916" operator="containsText" text="Pendente">
      <formula>NOT(ISERROR(SEARCH("Pendente",P578)))</formula>
    </cfRule>
    <cfRule type="containsText" dxfId="2404" priority="1915" operator="containsText" text="N/A">
      <formula>NOT(ISERROR(SEARCH("N/A",P578)))</formula>
    </cfRule>
    <cfRule type="containsText" dxfId="2403" priority="1917" operator="containsText" text="Finalizado">
      <formula>NOT(ISERROR(SEARCH("Finalizado",P578)))</formula>
    </cfRule>
    <cfRule type="containsText" dxfId="2402" priority="1918" operator="containsText" text="em andamento">
      <formula>NOT(ISERROR(SEARCH("em andamento",P578)))</formula>
    </cfRule>
    <cfRule type="containsText" dxfId="2401" priority="1914" operator="containsText" text="Lançado">
      <formula>NOT(ISERROR(SEARCH("Lançado",P578)))</formula>
    </cfRule>
    <cfRule type="expression" dxfId="2400" priority="1913">
      <formula>$H578="ETAPA"</formula>
    </cfRule>
    <cfRule type="expression" dxfId="2399" priority="1911">
      <formula>$H578="SUBETAPA"</formula>
    </cfRule>
  </conditionalFormatting>
  <conditionalFormatting sqref="P581">
    <cfRule type="containsText" dxfId="2398" priority="1867" operator="containsText" text="Lançado">
      <formula>NOT(ISERROR(SEARCH("Lançado",P581)))</formula>
    </cfRule>
    <cfRule type="containsText" dxfId="2397" priority="1869" operator="containsText" text="Pendente">
      <formula>NOT(ISERROR(SEARCH("Pendente",P581)))</formula>
    </cfRule>
    <cfRule type="containsText" dxfId="2396" priority="1868" operator="containsText" text="N/A">
      <formula>NOT(ISERROR(SEARCH("N/A",P581)))</formula>
    </cfRule>
    <cfRule type="containsText" dxfId="2395" priority="1870" operator="containsText" text="Finalizado">
      <formula>NOT(ISERROR(SEARCH("Finalizado",P581)))</formula>
    </cfRule>
    <cfRule type="containsText" dxfId="2394" priority="1871" operator="containsText" text="em andamento">
      <formula>NOT(ISERROR(SEARCH("em andamento",P581)))</formula>
    </cfRule>
  </conditionalFormatting>
  <conditionalFormatting sqref="P582">
    <cfRule type="containsText" dxfId="2393" priority="1860" operator="containsText" text="N/A">
      <formula>NOT(ISERROR(SEARCH("N/A",P582)))</formula>
    </cfRule>
    <cfRule type="expression" dxfId="2392" priority="1856">
      <formula>$H582="SUBETAPA"</formula>
    </cfRule>
    <cfRule type="containsText" dxfId="2391" priority="1862" operator="containsText" text="Finalizado">
      <formula>NOT(ISERROR(SEARCH("Finalizado",P582)))</formula>
    </cfRule>
    <cfRule type="expression" dxfId="2390" priority="1857">
      <formula>$H582="CÉLULA CONSTRUTIVA"</formula>
    </cfRule>
    <cfRule type="containsText" dxfId="2389" priority="1863" operator="containsText" text="em andamento">
      <formula>NOT(ISERROR(SEARCH("em andamento",P582)))</formula>
    </cfRule>
    <cfRule type="containsText" dxfId="2388" priority="1861" operator="containsText" text="Pendente">
      <formula>NOT(ISERROR(SEARCH("Pendente",P582)))</formula>
    </cfRule>
    <cfRule type="containsText" dxfId="2387" priority="1859" operator="containsText" text="Lançado">
      <formula>NOT(ISERROR(SEARCH("Lançado",P582)))</formula>
    </cfRule>
    <cfRule type="expression" dxfId="2386" priority="1858">
      <formula>$H582="ETAPA"</formula>
    </cfRule>
  </conditionalFormatting>
  <conditionalFormatting sqref="P584">
    <cfRule type="containsText" dxfId="2385" priority="5065" operator="containsText" text="Finalizado">
      <formula>NOT(ISERROR(SEARCH("Finalizado",P584)))</formula>
    </cfRule>
    <cfRule type="expression" dxfId="2384" priority="5060">
      <formula>$H584="CÉLULA CONSTRUTIVA"</formula>
    </cfRule>
    <cfRule type="expression" dxfId="2383" priority="5061">
      <formula>$H584="ETAPA"</formula>
    </cfRule>
    <cfRule type="expression" dxfId="2382" priority="5059">
      <formula>$H584="SUBETAPA"</formula>
    </cfRule>
    <cfRule type="containsText" dxfId="2381" priority="5066" operator="containsText" text="em andamento">
      <formula>NOT(ISERROR(SEARCH("em andamento",P584)))</formula>
    </cfRule>
    <cfRule type="containsText" dxfId="2380" priority="5064" operator="containsText" text="Pendente">
      <formula>NOT(ISERROR(SEARCH("Pendente",P584)))</formula>
    </cfRule>
    <cfRule type="containsText" dxfId="2379" priority="5063" operator="containsText" text="N/A">
      <formula>NOT(ISERROR(SEARCH("N/A",P584)))</formula>
    </cfRule>
    <cfRule type="containsText" dxfId="2378" priority="5062" operator="containsText" text="Lançado">
      <formula>NOT(ISERROR(SEARCH("Lançado",P584)))</formula>
    </cfRule>
  </conditionalFormatting>
  <conditionalFormatting sqref="P586">
    <cfRule type="containsText" dxfId="2377" priority="5058" operator="containsText" text="em andamento">
      <formula>NOT(ISERROR(SEARCH("em andamento",P586)))</formula>
    </cfRule>
    <cfRule type="containsText" dxfId="2376" priority="5057" operator="containsText" text="Finalizado">
      <formula>NOT(ISERROR(SEARCH("Finalizado",P586)))</formula>
    </cfRule>
    <cfRule type="expression" dxfId="2375" priority="5051">
      <formula>$H586="SUBETAPA"</formula>
    </cfRule>
    <cfRule type="expression" dxfId="2374" priority="5052">
      <formula>$H586="CÉLULA CONSTRUTIVA"</formula>
    </cfRule>
    <cfRule type="expression" dxfId="2373" priority="5053">
      <formula>$H586="ETAPA"</formula>
    </cfRule>
    <cfRule type="containsText" dxfId="2372" priority="5054" operator="containsText" text="Lançado">
      <formula>NOT(ISERROR(SEARCH("Lançado",P586)))</formula>
    </cfRule>
    <cfRule type="containsText" dxfId="2371" priority="5055" operator="containsText" text="N/A">
      <formula>NOT(ISERROR(SEARCH("N/A",P586)))</formula>
    </cfRule>
    <cfRule type="containsText" dxfId="2370" priority="5056" operator="containsText" text="Pendente">
      <formula>NOT(ISERROR(SEARCH("Pendente",P586)))</formula>
    </cfRule>
  </conditionalFormatting>
  <conditionalFormatting sqref="P588">
    <cfRule type="expression" dxfId="2369" priority="5035">
      <formula>$H588="SUBETAPA"</formula>
    </cfRule>
    <cfRule type="expression" dxfId="2368" priority="5036">
      <formula>$H588="CÉLULA CONSTRUTIVA"</formula>
    </cfRule>
    <cfRule type="expression" dxfId="2367" priority="5037">
      <formula>$H588="ETAPA"</formula>
    </cfRule>
    <cfRule type="containsText" dxfId="2366" priority="5038" operator="containsText" text="Lançado">
      <formula>NOT(ISERROR(SEARCH("Lançado",P588)))</formula>
    </cfRule>
    <cfRule type="containsText" dxfId="2365" priority="5039" operator="containsText" text="N/A">
      <formula>NOT(ISERROR(SEARCH("N/A",P588)))</formula>
    </cfRule>
    <cfRule type="containsText" dxfId="2364" priority="5040" operator="containsText" text="Pendente">
      <formula>NOT(ISERROR(SEARCH("Pendente",P588)))</formula>
    </cfRule>
    <cfRule type="containsText" dxfId="2363" priority="5041" operator="containsText" text="Finalizado">
      <formula>NOT(ISERROR(SEARCH("Finalizado",P588)))</formula>
    </cfRule>
    <cfRule type="containsText" dxfId="2362" priority="5042" operator="containsText" text="em andamento">
      <formula>NOT(ISERROR(SEARCH("em andamento",P588)))</formula>
    </cfRule>
  </conditionalFormatting>
  <conditionalFormatting sqref="P592">
    <cfRule type="containsText" dxfId="2361" priority="5034" operator="containsText" text="em andamento">
      <formula>NOT(ISERROR(SEARCH("em andamento",P592)))</formula>
    </cfRule>
    <cfRule type="expression" dxfId="2360" priority="5027">
      <formula>$H592="SUBETAPA"</formula>
    </cfRule>
    <cfRule type="expression" dxfId="2359" priority="5028">
      <formula>$H592="CÉLULA CONSTRUTIVA"</formula>
    </cfRule>
    <cfRule type="expression" dxfId="2358" priority="5029">
      <formula>$H592="ETAPA"</formula>
    </cfRule>
    <cfRule type="containsText" dxfId="2357" priority="5030" operator="containsText" text="Lançado">
      <formula>NOT(ISERROR(SEARCH("Lançado",P592)))</formula>
    </cfRule>
    <cfRule type="containsText" dxfId="2356" priority="5031" operator="containsText" text="N/A">
      <formula>NOT(ISERROR(SEARCH("N/A",P592)))</formula>
    </cfRule>
    <cfRule type="containsText" dxfId="2355" priority="5032" operator="containsText" text="Pendente">
      <formula>NOT(ISERROR(SEARCH("Pendente",P592)))</formula>
    </cfRule>
    <cfRule type="containsText" dxfId="2354" priority="5033" operator="containsText" text="Finalizado">
      <formula>NOT(ISERROR(SEARCH("Finalizado",P592)))</formula>
    </cfRule>
  </conditionalFormatting>
  <conditionalFormatting sqref="P593">
    <cfRule type="expression" dxfId="2353" priority="5019">
      <formula>$H593="SUBETAPA"</formula>
    </cfRule>
    <cfRule type="expression" dxfId="2352" priority="5021">
      <formula>$H593="ETAPA"</formula>
    </cfRule>
    <cfRule type="containsText" dxfId="2351" priority="5022" operator="containsText" text="Lançado">
      <formula>NOT(ISERROR(SEARCH("Lançado",P593)))</formula>
    </cfRule>
    <cfRule type="containsText" dxfId="2350" priority="5023" operator="containsText" text="N/A">
      <formula>NOT(ISERROR(SEARCH("N/A",P593)))</formula>
    </cfRule>
    <cfRule type="containsText" dxfId="2349" priority="5024" operator="containsText" text="Pendente">
      <formula>NOT(ISERROR(SEARCH("Pendente",P593)))</formula>
    </cfRule>
    <cfRule type="containsText" dxfId="2348" priority="5025" operator="containsText" text="Finalizado">
      <formula>NOT(ISERROR(SEARCH("Finalizado",P593)))</formula>
    </cfRule>
    <cfRule type="expression" dxfId="2347" priority="5020">
      <formula>$H593="CÉLULA CONSTRUTIVA"</formula>
    </cfRule>
    <cfRule type="containsText" dxfId="2346" priority="5026" operator="containsText" text="em andamento">
      <formula>NOT(ISERROR(SEARCH("em andamento",P593)))</formula>
    </cfRule>
  </conditionalFormatting>
  <conditionalFormatting sqref="P595">
    <cfRule type="expression" dxfId="2345" priority="1676">
      <formula>$H595="CÉLULA CONSTRUTIVA"</formula>
    </cfRule>
    <cfRule type="expression" dxfId="2344" priority="1677">
      <formula>$H595="ETAPA"</formula>
    </cfRule>
    <cfRule type="containsText" dxfId="2343" priority="1678" operator="containsText" text="Lançado">
      <formula>NOT(ISERROR(SEARCH("Lançado",P595)))</formula>
    </cfRule>
    <cfRule type="containsText" dxfId="2342" priority="1681" operator="containsText" text="Finalizado">
      <formula>NOT(ISERROR(SEARCH("Finalizado",P595)))</formula>
    </cfRule>
    <cfRule type="containsText" dxfId="2341" priority="1682" operator="containsText" text="em andamento">
      <formula>NOT(ISERROR(SEARCH("em andamento",P595)))</formula>
    </cfRule>
    <cfRule type="containsText" dxfId="2340" priority="1679" operator="containsText" text="N/A">
      <formula>NOT(ISERROR(SEARCH("N/A",P595)))</formula>
    </cfRule>
    <cfRule type="containsText" dxfId="2339" priority="1680" operator="containsText" text="Pendente">
      <formula>NOT(ISERROR(SEARCH("Pendente",P595)))</formula>
    </cfRule>
    <cfRule type="expression" dxfId="2338" priority="1675">
      <formula>$H595="SUBETAPA"</formula>
    </cfRule>
  </conditionalFormatting>
  <conditionalFormatting sqref="P596">
    <cfRule type="containsText" dxfId="2337" priority="5009" operator="containsText" text="Finalizado">
      <formula>NOT(ISERROR(SEARCH("Finalizado",P596)))</formula>
    </cfRule>
    <cfRule type="expression" dxfId="2336" priority="5003">
      <formula>$H596="SUBETAPA"</formula>
    </cfRule>
    <cfRule type="containsText" dxfId="2335" priority="5010" operator="containsText" text="em andamento">
      <formula>NOT(ISERROR(SEARCH("em andamento",P596)))</formula>
    </cfRule>
    <cfRule type="expression" dxfId="2334" priority="5004">
      <formula>$H596="CÉLULA CONSTRUTIVA"</formula>
    </cfRule>
    <cfRule type="expression" dxfId="2333" priority="5005">
      <formula>$H596="ETAPA"</formula>
    </cfRule>
    <cfRule type="containsText" dxfId="2332" priority="5006" operator="containsText" text="Lançado">
      <formula>NOT(ISERROR(SEARCH("Lançado",P596)))</formula>
    </cfRule>
    <cfRule type="containsText" dxfId="2331" priority="5007" operator="containsText" text="N/A">
      <formula>NOT(ISERROR(SEARCH("N/A",P596)))</formula>
    </cfRule>
    <cfRule type="containsText" dxfId="2330" priority="5008" operator="containsText" text="Pendente">
      <formula>NOT(ISERROR(SEARCH("Pendente",P596)))</formula>
    </cfRule>
  </conditionalFormatting>
  <conditionalFormatting sqref="P600">
    <cfRule type="containsText" dxfId="2329" priority="4984" operator="containsText" text="Pendente">
      <formula>NOT(ISERROR(SEARCH("Pendente",P600)))</formula>
    </cfRule>
    <cfRule type="containsText" dxfId="2328" priority="4986" operator="containsText" text="em andamento">
      <formula>NOT(ISERROR(SEARCH("em andamento",P600)))</formula>
    </cfRule>
    <cfRule type="containsText" dxfId="2327" priority="4985" operator="containsText" text="Finalizado">
      <formula>NOT(ISERROR(SEARCH("Finalizado",P600)))</formula>
    </cfRule>
    <cfRule type="containsText" dxfId="2326" priority="4983" operator="containsText" text="N/A">
      <formula>NOT(ISERROR(SEARCH("N/A",P600)))</formula>
    </cfRule>
    <cfRule type="containsText" dxfId="2325" priority="4982" operator="containsText" text="Lançado">
      <formula>NOT(ISERROR(SEARCH("Lançado",P600)))</formula>
    </cfRule>
  </conditionalFormatting>
  <conditionalFormatting sqref="P602:P603">
    <cfRule type="expression" dxfId="2324" priority="4988">
      <formula>$H602="CÉLULA CONSTRUTIVA"</formula>
    </cfRule>
    <cfRule type="containsText" dxfId="2323" priority="4994" operator="containsText" text="em andamento">
      <formula>NOT(ISERROR(SEARCH("em andamento",P602)))</formula>
    </cfRule>
    <cfRule type="containsText" dxfId="2322" priority="4993" operator="containsText" text="Finalizado">
      <formula>NOT(ISERROR(SEARCH("Finalizado",P602)))</formula>
    </cfRule>
    <cfRule type="containsText" dxfId="2321" priority="4992" operator="containsText" text="Pendente">
      <formula>NOT(ISERROR(SEARCH("Pendente",P602)))</formula>
    </cfRule>
    <cfRule type="expression" dxfId="2320" priority="4989">
      <formula>$H602="ETAPA"</formula>
    </cfRule>
    <cfRule type="containsText" dxfId="2319" priority="4990" operator="containsText" text="Lançado">
      <formula>NOT(ISERROR(SEARCH("Lançado",P602)))</formula>
    </cfRule>
    <cfRule type="containsText" dxfId="2318" priority="4991" operator="containsText" text="N/A">
      <formula>NOT(ISERROR(SEARCH("N/A",P602)))</formula>
    </cfRule>
    <cfRule type="expression" dxfId="2317" priority="4987">
      <formula>$H602="SUBETAPA"</formula>
    </cfRule>
  </conditionalFormatting>
  <conditionalFormatting sqref="P605">
    <cfRule type="containsText" dxfId="2316" priority="4974" operator="containsText" text="Lançado">
      <formula>NOT(ISERROR(SEARCH("Lançado",P605)))</formula>
    </cfRule>
    <cfRule type="expression" dxfId="2315" priority="4973">
      <formula>$H605="ETAPA"</formula>
    </cfRule>
    <cfRule type="expression" dxfId="2314" priority="4971">
      <formula>$H605="SUBETAPA"</formula>
    </cfRule>
    <cfRule type="expression" dxfId="2313" priority="4972">
      <formula>$H605="CÉLULA CONSTRUTIVA"</formula>
    </cfRule>
    <cfRule type="containsText" dxfId="2312" priority="4975" operator="containsText" text="N/A">
      <formula>NOT(ISERROR(SEARCH("N/A",P605)))</formula>
    </cfRule>
    <cfRule type="containsText" dxfId="2311" priority="4976" operator="containsText" text="Pendente">
      <formula>NOT(ISERROR(SEARCH("Pendente",P605)))</formula>
    </cfRule>
    <cfRule type="containsText" dxfId="2310" priority="4977" operator="containsText" text="Finalizado">
      <formula>NOT(ISERROR(SEARCH("Finalizado",P605)))</formula>
    </cfRule>
    <cfRule type="containsText" dxfId="2309" priority="4978" operator="containsText" text="em andamento">
      <formula>NOT(ISERROR(SEARCH("em andamento",P605)))</formula>
    </cfRule>
  </conditionalFormatting>
  <conditionalFormatting sqref="P606">
    <cfRule type="expression" dxfId="2308" priority="4964">
      <formula>$H606="CÉLULA CONSTRUTIVA"</formula>
    </cfRule>
    <cfRule type="expression" dxfId="2307" priority="4965">
      <formula>$H606="ETAPA"</formula>
    </cfRule>
    <cfRule type="containsText" dxfId="2306" priority="4966" operator="containsText" text="Lançado">
      <formula>NOT(ISERROR(SEARCH("Lançado",P606)))</formula>
    </cfRule>
    <cfRule type="containsText" dxfId="2305" priority="4967" operator="containsText" text="N/A">
      <formula>NOT(ISERROR(SEARCH("N/A",P606)))</formula>
    </cfRule>
    <cfRule type="containsText" dxfId="2304" priority="4968" operator="containsText" text="Pendente">
      <formula>NOT(ISERROR(SEARCH("Pendente",P606)))</formula>
    </cfRule>
    <cfRule type="containsText" dxfId="2303" priority="4969" operator="containsText" text="Finalizado">
      <formula>NOT(ISERROR(SEARCH("Finalizado",P606)))</formula>
    </cfRule>
    <cfRule type="containsText" dxfId="2302" priority="4970" operator="containsText" text="em andamento">
      <formula>NOT(ISERROR(SEARCH("em andamento",P606)))</formula>
    </cfRule>
    <cfRule type="expression" dxfId="2301" priority="4963">
      <formula>$H606="SUBETAPA"</formula>
    </cfRule>
  </conditionalFormatting>
  <conditionalFormatting sqref="P607">
    <cfRule type="containsText" dxfId="2300" priority="3143" operator="containsText" text="Pendente">
      <formula>NOT(ISERROR(SEARCH("Pendente",P607)))</formula>
    </cfRule>
    <cfRule type="expression" dxfId="2299" priority="3138">
      <formula>$H607="SUBETAPA"</formula>
    </cfRule>
    <cfRule type="expression" dxfId="2298" priority="3139">
      <formula>$H607="CÉLULA CONSTRUTIVA"</formula>
    </cfRule>
    <cfRule type="containsText" dxfId="2297" priority="3144" operator="containsText" text="Finalizado">
      <formula>NOT(ISERROR(SEARCH("Finalizado",P607)))</formula>
    </cfRule>
    <cfRule type="containsText" dxfId="2296" priority="3145" operator="containsText" text="em andamento">
      <formula>NOT(ISERROR(SEARCH("em andamento",P607)))</formula>
    </cfRule>
    <cfRule type="containsText" dxfId="2295" priority="3141" operator="containsText" text="Lançado">
      <formula>NOT(ISERROR(SEARCH("Lançado",P607)))</formula>
    </cfRule>
    <cfRule type="containsText" dxfId="2294" priority="3142" operator="containsText" text="N/A">
      <formula>NOT(ISERROR(SEARCH("N/A",P607)))</formula>
    </cfRule>
    <cfRule type="expression" dxfId="2293" priority="3140">
      <formula>$H607="ETAPA"</formula>
    </cfRule>
  </conditionalFormatting>
  <conditionalFormatting sqref="P608">
    <cfRule type="containsText" dxfId="2292" priority="5458" operator="containsText" text="Pendente">
      <formula>NOT(ISERROR(SEARCH("Pendente",P608)))</formula>
    </cfRule>
    <cfRule type="containsText" dxfId="2291" priority="5459" operator="containsText" text="Finalizado">
      <formula>NOT(ISERROR(SEARCH("Finalizado",P608)))</formula>
    </cfRule>
    <cfRule type="containsText" dxfId="2290" priority="5460" operator="containsText" text="em andamento">
      <formula>NOT(ISERROR(SEARCH("em andamento",P608)))</formula>
    </cfRule>
    <cfRule type="containsText" dxfId="2289" priority="5457" operator="containsText" text="N/A">
      <formula>NOT(ISERROR(SEARCH("N/A",P608)))</formula>
    </cfRule>
    <cfRule type="containsText" dxfId="2288" priority="5456" operator="containsText" text="Lançado">
      <formula>NOT(ISERROR(SEARCH("Lançado",P608)))</formula>
    </cfRule>
  </conditionalFormatting>
  <conditionalFormatting sqref="P609">
    <cfRule type="containsText" dxfId="2287" priority="4952" operator="containsText" text="Pendente">
      <formula>NOT(ISERROR(SEARCH("Pendente",P609)))</formula>
    </cfRule>
    <cfRule type="containsText" dxfId="2286" priority="4953" operator="containsText" text="Finalizado">
      <formula>NOT(ISERROR(SEARCH("Finalizado",P609)))</formula>
    </cfRule>
    <cfRule type="containsText" dxfId="2285" priority="4954" operator="containsText" text="em andamento">
      <formula>NOT(ISERROR(SEARCH("em andamento",P609)))</formula>
    </cfRule>
  </conditionalFormatting>
  <conditionalFormatting sqref="P609:P610">
    <cfRule type="containsText" dxfId="2284" priority="3172" operator="containsText" text="Lançado">
      <formula>NOT(ISERROR(SEARCH("Lançado",P609)))</formula>
    </cfRule>
    <cfRule type="containsText" dxfId="2283" priority="3173" operator="containsText" text="N/A">
      <formula>NOT(ISERROR(SEARCH("N/A",P609)))</formula>
    </cfRule>
  </conditionalFormatting>
  <conditionalFormatting sqref="P610">
    <cfRule type="containsText" dxfId="2282" priority="3176" operator="containsText" text="em andamento">
      <formula>NOT(ISERROR(SEARCH("em andamento",P610)))</formula>
    </cfRule>
    <cfRule type="containsText" dxfId="2281" priority="3175" operator="containsText" text="Finalizado">
      <formula>NOT(ISERROR(SEARCH("Finalizado",P610)))</formula>
    </cfRule>
    <cfRule type="containsText" dxfId="2280" priority="3174" operator="containsText" text="Pendente">
      <formula>NOT(ISERROR(SEARCH("Pendente",P610)))</formula>
    </cfRule>
  </conditionalFormatting>
  <conditionalFormatting sqref="P611">
    <cfRule type="expression" dxfId="2279" priority="3156">
      <formula>$H611="CÉLULA CONSTRUTIVA"</formula>
    </cfRule>
    <cfRule type="containsText" dxfId="2278" priority="3158" operator="containsText" text="Lançado">
      <formula>NOT(ISERROR(SEARCH("Lançado",P611)))</formula>
    </cfRule>
    <cfRule type="containsText" dxfId="2277" priority="3159" operator="containsText" text="N/A">
      <formula>NOT(ISERROR(SEARCH("N/A",P611)))</formula>
    </cfRule>
    <cfRule type="expression" dxfId="2276" priority="3155">
      <formula>$H611="SUBETAPA"</formula>
    </cfRule>
    <cfRule type="expression" dxfId="2275" priority="3157">
      <formula>$H611="ETAPA"</formula>
    </cfRule>
    <cfRule type="containsText" dxfId="2274" priority="3162" operator="containsText" text="em andamento">
      <formula>NOT(ISERROR(SEARCH("em andamento",P611)))</formula>
    </cfRule>
    <cfRule type="containsText" dxfId="2273" priority="3161" operator="containsText" text="Finalizado">
      <formula>NOT(ISERROR(SEARCH("Finalizado",P611)))</formula>
    </cfRule>
    <cfRule type="containsText" dxfId="2272" priority="3160" operator="containsText" text="Pendente">
      <formula>NOT(ISERROR(SEARCH("Pendente",P611)))</formula>
    </cfRule>
  </conditionalFormatting>
  <conditionalFormatting sqref="P613">
    <cfRule type="containsText" dxfId="2271" priority="4946" operator="containsText" text="em andamento">
      <formula>NOT(ISERROR(SEARCH("em andamento",P613)))</formula>
    </cfRule>
    <cfRule type="expression" dxfId="2270" priority="4939">
      <formula>$H613="SUBETAPA"</formula>
    </cfRule>
    <cfRule type="expression" dxfId="2269" priority="4940">
      <formula>$H613="CÉLULA CONSTRUTIVA"</formula>
    </cfRule>
    <cfRule type="expression" dxfId="2268" priority="4941">
      <formula>$H613="ETAPA"</formula>
    </cfRule>
    <cfRule type="containsText" dxfId="2267" priority="4942" operator="containsText" text="Lançado">
      <formula>NOT(ISERROR(SEARCH("Lançado",P613)))</formula>
    </cfRule>
    <cfRule type="containsText" dxfId="2266" priority="4943" operator="containsText" text="N/A">
      <formula>NOT(ISERROR(SEARCH("N/A",P613)))</formula>
    </cfRule>
    <cfRule type="containsText" dxfId="2265" priority="4944" operator="containsText" text="Pendente">
      <formula>NOT(ISERROR(SEARCH("Pendente",P613)))</formula>
    </cfRule>
    <cfRule type="containsText" dxfId="2264" priority="4945" operator="containsText" text="Finalizado">
      <formula>NOT(ISERROR(SEARCH("Finalizado",P613)))</formula>
    </cfRule>
  </conditionalFormatting>
  <conditionalFormatting sqref="P618">
    <cfRule type="containsText" dxfId="2263" priority="2802" operator="containsText" text="Finalizado">
      <formula>NOT(ISERROR(SEARCH("Finalizado",P618)))</formula>
    </cfRule>
    <cfRule type="containsText" dxfId="2262" priority="2800" operator="containsText" text="N/A">
      <formula>NOT(ISERROR(SEARCH("N/A",P618)))</formula>
    </cfRule>
    <cfRule type="containsText" dxfId="2261" priority="2799" operator="containsText" text="Lançado">
      <formula>NOT(ISERROR(SEARCH("Lançado",P618)))</formula>
    </cfRule>
    <cfRule type="containsText" dxfId="2260" priority="2803" operator="containsText" text="em andamento">
      <formula>NOT(ISERROR(SEARCH("em andamento",P618)))</formula>
    </cfRule>
    <cfRule type="containsText" dxfId="2259" priority="2801" operator="containsText" text="Pendente">
      <formula>NOT(ISERROR(SEARCH("Pendente",P618)))</formula>
    </cfRule>
  </conditionalFormatting>
  <conditionalFormatting sqref="P620">
    <cfRule type="containsText" dxfId="2258" priority="4007" operator="containsText" text="em andamento">
      <formula>NOT(ISERROR(SEARCH("em andamento",P620)))</formula>
    </cfRule>
    <cfRule type="containsText" dxfId="2257" priority="4006" operator="containsText" text="Finalizado">
      <formula>NOT(ISERROR(SEARCH("Finalizado",P620)))</formula>
    </cfRule>
    <cfRule type="containsText" dxfId="2256" priority="4005" operator="containsText" text="Pendente">
      <formula>NOT(ISERROR(SEARCH("Pendente",P620)))</formula>
    </cfRule>
  </conditionalFormatting>
  <conditionalFormatting sqref="P620:P621">
    <cfRule type="containsText" dxfId="2255" priority="3660" operator="containsText" text="Lançado">
      <formula>NOT(ISERROR(SEARCH("Lançado",P620)))</formula>
    </cfRule>
    <cfRule type="containsText" dxfId="2254" priority="3661" operator="containsText" text="N/A">
      <formula>NOT(ISERROR(SEARCH("N/A",P620)))</formula>
    </cfRule>
  </conditionalFormatting>
  <conditionalFormatting sqref="P621">
    <cfRule type="containsText" dxfId="2253" priority="3663" operator="containsText" text="Finalizado">
      <formula>NOT(ISERROR(SEARCH("Finalizado",P621)))</formula>
    </cfRule>
    <cfRule type="containsText" dxfId="2252" priority="3662" operator="containsText" text="Pendente">
      <formula>NOT(ISERROR(SEARCH("Pendente",P621)))</formula>
    </cfRule>
    <cfRule type="containsText" dxfId="2251" priority="3664" operator="containsText" text="em andamento">
      <formula>NOT(ISERROR(SEARCH("em andamento",P621)))</formula>
    </cfRule>
  </conditionalFormatting>
  <conditionalFormatting sqref="P622">
    <cfRule type="containsText" dxfId="2250" priority="3650" operator="containsText" text="em andamento">
      <formula>NOT(ISERROR(SEARCH("em andamento",P622)))</formula>
    </cfRule>
    <cfRule type="containsText" dxfId="2249" priority="3649" operator="containsText" text="Finalizado">
      <formula>NOT(ISERROR(SEARCH("Finalizado",P622)))</formula>
    </cfRule>
    <cfRule type="containsText" dxfId="2248" priority="3647" operator="containsText" text="N/A">
      <formula>NOT(ISERROR(SEARCH("N/A",P622)))</formula>
    </cfRule>
    <cfRule type="containsText" dxfId="2247" priority="3646" operator="containsText" text="Lançado">
      <formula>NOT(ISERROR(SEARCH("Lançado",P622)))</formula>
    </cfRule>
    <cfRule type="expression" dxfId="2246" priority="3645">
      <formula>$H622="ETAPA"</formula>
    </cfRule>
    <cfRule type="expression" dxfId="2245" priority="3644">
      <formula>$H622="CÉLULA CONSTRUTIVA"</formula>
    </cfRule>
    <cfRule type="containsText" dxfId="2244" priority="3648" operator="containsText" text="Pendente">
      <formula>NOT(ISERROR(SEARCH("Pendente",P622)))</formula>
    </cfRule>
    <cfRule type="expression" dxfId="2243" priority="3643">
      <formula>$H622="SUBETAPA"</formula>
    </cfRule>
  </conditionalFormatting>
  <conditionalFormatting sqref="P623">
    <cfRule type="containsText" dxfId="2242" priority="3686" operator="containsText" text="em andamento">
      <formula>NOT(ISERROR(SEARCH("em andamento",P623)))</formula>
    </cfRule>
    <cfRule type="containsText" dxfId="2241" priority="3685" operator="containsText" text="Finalizado">
      <formula>NOT(ISERROR(SEARCH("Finalizado",P623)))</formula>
    </cfRule>
    <cfRule type="containsText" dxfId="2240" priority="3684" operator="containsText" text="Pendente">
      <formula>NOT(ISERROR(SEARCH("Pendente",P623)))</formula>
    </cfRule>
    <cfRule type="containsText" dxfId="2239" priority="3683" operator="containsText" text="N/A">
      <formula>NOT(ISERROR(SEARCH("N/A",P623)))</formula>
    </cfRule>
    <cfRule type="containsText" dxfId="2238" priority="3682" operator="containsText" text="Lançado">
      <formula>NOT(ISERROR(SEARCH("Lançado",P623)))</formula>
    </cfRule>
  </conditionalFormatting>
  <conditionalFormatting sqref="P624">
    <cfRule type="containsText" dxfId="2237" priority="3675" operator="containsText" text="em andamento">
      <formula>NOT(ISERROR(SEARCH("em andamento",P624)))</formula>
    </cfRule>
    <cfRule type="containsText" dxfId="2236" priority="3673" operator="containsText" text="Pendente">
      <formula>NOT(ISERROR(SEARCH("Pendente",P624)))</formula>
    </cfRule>
    <cfRule type="containsText" dxfId="2235" priority="3672" operator="containsText" text="N/A">
      <formula>NOT(ISERROR(SEARCH("N/A",P624)))</formula>
    </cfRule>
    <cfRule type="containsText" dxfId="2234" priority="3674" operator="containsText" text="Finalizado">
      <formula>NOT(ISERROR(SEARCH("Finalizado",P624)))</formula>
    </cfRule>
    <cfRule type="expression" dxfId="2233" priority="3668">
      <formula>$H624="SUBETAPA"</formula>
    </cfRule>
    <cfRule type="expression" dxfId="2232" priority="3669">
      <formula>$H624="CÉLULA CONSTRUTIVA"</formula>
    </cfRule>
    <cfRule type="expression" dxfId="2231" priority="3670">
      <formula>$H624="ETAPA"</formula>
    </cfRule>
    <cfRule type="containsText" dxfId="2230" priority="3671" operator="containsText" text="Lançado">
      <formula>NOT(ISERROR(SEARCH("Lançado",P624)))</formula>
    </cfRule>
  </conditionalFormatting>
  <conditionalFormatting sqref="P625:P627">
    <cfRule type="containsText" dxfId="2229" priority="3692" operator="containsText" text="Pendente">
      <formula>NOT(ISERROR(SEARCH("Pendente",P625)))</formula>
    </cfRule>
    <cfRule type="containsText" dxfId="2228" priority="3693" operator="containsText" text="Finalizado">
      <formula>NOT(ISERROR(SEARCH("Finalizado",P625)))</formula>
    </cfRule>
    <cfRule type="containsText" dxfId="2227" priority="3694" operator="containsText" text="em andamento">
      <formula>NOT(ISERROR(SEARCH("em andamento",P625)))</formula>
    </cfRule>
    <cfRule type="containsText" dxfId="2226" priority="3691" operator="containsText" text="N/A">
      <formula>NOT(ISERROR(SEARCH("N/A",P625)))</formula>
    </cfRule>
    <cfRule type="containsText" dxfId="2225" priority="3690" operator="containsText" text="Lançado">
      <formula>NOT(ISERROR(SEARCH("Lançado",P625)))</formula>
    </cfRule>
  </conditionalFormatting>
  <conditionalFormatting sqref="P628">
    <cfRule type="containsText" dxfId="2224" priority="4105" operator="containsText" text="Pendente">
      <formula>NOT(ISERROR(SEARCH("Pendente",P628)))</formula>
    </cfRule>
    <cfRule type="containsText" dxfId="2223" priority="4106" operator="containsText" text="Finalizado">
      <formula>NOT(ISERROR(SEARCH("Finalizado",P628)))</formula>
    </cfRule>
    <cfRule type="containsText" dxfId="2222" priority="4107" operator="containsText" text="em andamento">
      <formula>NOT(ISERROR(SEARCH("em andamento",P628)))</formula>
    </cfRule>
  </conditionalFormatting>
  <conditionalFormatting sqref="P628:P629">
    <cfRule type="containsText" dxfId="2221" priority="3712" operator="containsText" text="Lançado">
      <formula>NOT(ISERROR(SEARCH("Lançado",P628)))</formula>
    </cfRule>
    <cfRule type="containsText" dxfId="2220" priority="3713" operator="containsText" text="N/A">
      <formula>NOT(ISERROR(SEARCH("N/A",P628)))</formula>
    </cfRule>
  </conditionalFormatting>
  <conditionalFormatting sqref="P629">
    <cfRule type="containsText" dxfId="2219" priority="3716" operator="containsText" text="em andamento">
      <formula>NOT(ISERROR(SEARCH("em andamento",P629)))</formula>
    </cfRule>
    <cfRule type="containsText" dxfId="2218" priority="3715" operator="containsText" text="Finalizado">
      <formula>NOT(ISERROR(SEARCH("Finalizado",P629)))</formula>
    </cfRule>
    <cfRule type="containsText" dxfId="2217" priority="3714" operator="containsText" text="Pendente">
      <formula>NOT(ISERROR(SEARCH("Pendente",P629)))</formula>
    </cfRule>
  </conditionalFormatting>
  <conditionalFormatting sqref="P630">
    <cfRule type="expression" dxfId="2216" priority="3697">
      <formula>$H630="ETAPA"</formula>
    </cfRule>
    <cfRule type="containsText" dxfId="2215" priority="3698" operator="containsText" text="Lançado">
      <formula>NOT(ISERROR(SEARCH("Lançado",P630)))</formula>
    </cfRule>
    <cfRule type="containsText" dxfId="2214" priority="3699" operator="containsText" text="N/A">
      <formula>NOT(ISERROR(SEARCH("N/A",P630)))</formula>
    </cfRule>
    <cfRule type="containsText" dxfId="2213" priority="3700" operator="containsText" text="Pendente">
      <formula>NOT(ISERROR(SEARCH("Pendente",P630)))</formula>
    </cfRule>
    <cfRule type="containsText" dxfId="2212" priority="3702" operator="containsText" text="em andamento">
      <formula>NOT(ISERROR(SEARCH("em andamento",P630)))</formula>
    </cfRule>
    <cfRule type="expression" dxfId="2211" priority="3696">
      <formula>$H630="CÉLULA CONSTRUTIVA"</formula>
    </cfRule>
    <cfRule type="expression" dxfId="2210" priority="3695">
      <formula>$H630="SUBETAPA"</formula>
    </cfRule>
    <cfRule type="containsText" dxfId="2209" priority="3701" operator="containsText" text="Finalizado">
      <formula>NOT(ISERROR(SEARCH("Finalizado",P630)))</formula>
    </cfRule>
  </conditionalFormatting>
  <conditionalFormatting sqref="P631">
    <cfRule type="containsText" dxfId="2208" priority="3737" operator="containsText" text="Finalizado">
      <formula>NOT(ISERROR(SEARCH("Finalizado",P631)))</formula>
    </cfRule>
    <cfRule type="containsText" dxfId="2207" priority="3736" operator="containsText" text="Pendente">
      <formula>NOT(ISERROR(SEARCH("Pendente",P631)))</formula>
    </cfRule>
    <cfRule type="containsText" dxfId="2206" priority="3734" operator="containsText" text="Lançado">
      <formula>NOT(ISERROR(SEARCH("Lançado",P631)))</formula>
    </cfRule>
    <cfRule type="containsText" dxfId="2205" priority="3735" operator="containsText" text="N/A">
      <formula>NOT(ISERROR(SEARCH("N/A",P631)))</formula>
    </cfRule>
    <cfRule type="containsText" dxfId="2204" priority="3738" operator="containsText" text="em andamento">
      <formula>NOT(ISERROR(SEARCH("em andamento",P631)))</formula>
    </cfRule>
  </conditionalFormatting>
  <conditionalFormatting sqref="P632">
    <cfRule type="containsText" dxfId="2203" priority="3726" operator="containsText" text="Finalizado">
      <formula>NOT(ISERROR(SEARCH("Finalizado",P632)))</formula>
    </cfRule>
    <cfRule type="expression" dxfId="2202" priority="3720">
      <formula>$H632="SUBETAPA"</formula>
    </cfRule>
    <cfRule type="containsText" dxfId="2201" priority="3727" operator="containsText" text="em andamento">
      <formula>NOT(ISERROR(SEARCH("em andamento",P632)))</formula>
    </cfRule>
    <cfRule type="containsText" dxfId="2200" priority="3724" operator="containsText" text="N/A">
      <formula>NOT(ISERROR(SEARCH("N/A",P632)))</formula>
    </cfRule>
    <cfRule type="containsText" dxfId="2199" priority="3725" operator="containsText" text="Pendente">
      <formula>NOT(ISERROR(SEARCH("Pendente",P632)))</formula>
    </cfRule>
    <cfRule type="containsText" dxfId="2198" priority="3723" operator="containsText" text="Lançado">
      <formula>NOT(ISERROR(SEARCH("Lançado",P632)))</formula>
    </cfRule>
    <cfRule type="expression" dxfId="2197" priority="3722">
      <formula>$H632="ETAPA"</formula>
    </cfRule>
    <cfRule type="expression" dxfId="2196" priority="3721">
      <formula>$H632="CÉLULA CONSTRUTIVA"</formula>
    </cfRule>
  </conditionalFormatting>
  <conditionalFormatting sqref="P633:P635">
    <cfRule type="containsText" dxfId="2195" priority="3742" operator="containsText" text="Lançado">
      <formula>NOT(ISERROR(SEARCH("Lançado",P633)))</formula>
    </cfRule>
    <cfRule type="containsText" dxfId="2194" priority="3745" operator="containsText" text="Finalizado">
      <formula>NOT(ISERROR(SEARCH("Finalizado",P633)))</formula>
    </cfRule>
    <cfRule type="containsText" dxfId="2193" priority="3746" operator="containsText" text="em andamento">
      <formula>NOT(ISERROR(SEARCH("em andamento",P633)))</formula>
    </cfRule>
    <cfRule type="containsText" dxfId="2192" priority="3744" operator="containsText" text="Pendente">
      <formula>NOT(ISERROR(SEARCH("Pendente",P633)))</formula>
    </cfRule>
    <cfRule type="containsText" dxfId="2191" priority="3743" operator="containsText" text="N/A">
      <formula>NOT(ISERROR(SEARCH("N/A",P633)))</formula>
    </cfRule>
  </conditionalFormatting>
  <conditionalFormatting sqref="P636:P637">
    <cfRule type="containsText" dxfId="2190" priority="3772" operator="containsText" text="Lançado">
      <formula>NOT(ISERROR(SEARCH("Lançado",P636)))</formula>
    </cfRule>
    <cfRule type="containsText" dxfId="2189" priority="3773" operator="containsText" text="N/A">
      <formula>NOT(ISERROR(SEARCH("N/A",P636)))</formula>
    </cfRule>
  </conditionalFormatting>
  <conditionalFormatting sqref="P637">
    <cfRule type="containsText" dxfId="2188" priority="3774" operator="containsText" text="Pendente">
      <formula>NOT(ISERROR(SEARCH("Pendente",P637)))</formula>
    </cfRule>
    <cfRule type="containsText" dxfId="2187" priority="3775" operator="containsText" text="Finalizado">
      <formula>NOT(ISERROR(SEARCH("Finalizado",P637)))</formula>
    </cfRule>
    <cfRule type="containsText" dxfId="2186" priority="3776" operator="containsText" text="em andamento">
      <formula>NOT(ISERROR(SEARCH("em andamento",P637)))</formula>
    </cfRule>
  </conditionalFormatting>
  <conditionalFormatting sqref="P638">
    <cfRule type="expression" dxfId="2185" priority="3757">
      <formula>$H638="ETAPA"</formula>
    </cfRule>
    <cfRule type="containsText" dxfId="2184" priority="3758" operator="containsText" text="Lançado">
      <formula>NOT(ISERROR(SEARCH("Lançado",P638)))</formula>
    </cfRule>
    <cfRule type="containsText" dxfId="2183" priority="3759" operator="containsText" text="N/A">
      <formula>NOT(ISERROR(SEARCH("N/A",P638)))</formula>
    </cfRule>
    <cfRule type="containsText" dxfId="2182" priority="3760" operator="containsText" text="Pendente">
      <formula>NOT(ISERROR(SEARCH("Pendente",P638)))</formula>
    </cfRule>
    <cfRule type="containsText" dxfId="2181" priority="3761" operator="containsText" text="Finalizado">
      <formula>NOT(ISERROR(SEARCH("Finalizado",P638)))</formula>
    </cfRule>
    <cfRule type="containsText" dxfId="2180" priority="3762" operator="containsText" text="em andamento">
      <formula>NOT(ISERROR(SEARCH("em andamento",P638)))</formula>
    </cfRule>
    <cfRule type="expression" dxfId="2179" priority="3755">
      <formula>$H638="SUBETAPA"</formula>
    </cfRule>
    <cfRule type="expression" dxfId="2178" priority="3756">
      <formula>$H638="CÉLULA CONSTRUTIVA"</formula>
    </cfRule>
  </conditionalFormatting>
  <conditionalFormatting sqref="P639 P636">
    <cfRule type="containsText" dxfId="2177" priority="4205" operator="containsText" text="Pendente">
      <formula>NOT(ISERROR(SEARCH("Pendente",P636)))</formula>
    </cfRule>
    <cfRule type="containsText" dxfId="2176" priority="4207" operator="containsText" text="em andamento">
      <formula>NOT(ISERROR(SEARCH("em andamento",P636)))</formula>
    </cfRule>
    <cfRule type="containsText" dxfId="2175" priority="4206" operator="containsText" text="Finalizado">
      <formula>NOT(ISERROR(SEARCH("Finalizado",P636)))</formula>
    </cfRule>
  </conditionalFormatting>
  <conditionalFormatting sqref="P639">
    <cfRule type="containsText" dxfId="2174" priority="4204" operator="containsText" text="N/A">
      <formula>NOT(ISERROR(SEARCH("N/A",P639)))</formula>
    </cfRule>
    <cfRule type="containsText" dxfId="2173" priority="4203" operator="containsText" text="Lançado">
      <formula>NOT(ISERROR(SEARCH("Lançado",P639)))</formula>
    </cfRule>
  </conditionalFormatting>
  <conditionalFormatting sqref="P640">
    <cfRule type="containsText" dxfId="2172" priority="4114" operator="containsText" text="Finalizado">
      <formula>NOT(ISERROR(SEARCH("Finalizado",P640)))</formula>
    </cfRule>
    <cfRule type="containsText" dxfId="2171" priority="4115" operator="containsText" text="em andamento">
      <formula>NOT(ISERROR(SEARCH("em andamento",P640)))</formula>
    </cfRule>
    <cfRule type="containsText" dxfId="2170" priority="4113" operator="containsText" text="Pendente">
      <formula>NOT(ISERROR(SEARCH("Pendente",P640)))</formula>
    </cfRule>
    <cfRule type="containsText" dxfId="2169" priority="4112" operator="containsText" text="N/A">
      <formula>NOT(ISERROR(SEARCH("N/A",P640)))</formula>
    </cfRule>
    <cfRule type="containsText" dxfId="2168" priority="4111" operator="containsText" text="Lançado">
      <formula>NOT(ISERROR(SEARCH("Lançado",P640)))</formula>
    </cfRule>
    <cfRule type="expression" dxfId="2167" priority="4110">
      <formula>$H640="ETAPA"</formula>
    </cfRule>
    <cfRule type="expression" dxfId="2166" priority="4109">
      <formula>$H640="CÉLULA CONSTRUTIVA"</formula>
    </cfRule>
    <cfRule type="expression" dxfId="2165" priority="4108">
      <formula>$H640="SUBETAPA"</formula>
    </cfRule>
  </conditionalFormatting>
  <conditionalFormatting sqref="P646:P647">
    <cfRule type="containsText" dxfId="2164" priority="4255" operator="containsText" text="em andamento">
      <formula>NOT(ISERROR(SEARCH("em andamento",P646)))</formula>
    </cfRule>
    <cfRule type="containsText" dxfId="2163" priority="4254" operator="containsText" text="Finalizado">
      <formula>NOT(ISERROR(SEARCH("Finalizado",P646)))</formula>
    </cfRule>
    <cfRule type="containsText" dxfId="2162" priority="4253" operator="containsText" text="Pendente">
      <formula>NOT(ISERROR(SEARCH("Pendente",P646)))</formula>
    </cfRule>
    <cfRule type="containsText" dxfId="2161" priority="4251" operator="containsText" text="Lançado">
      <formula>NOT(ISERROR(SEARCH("Lançado",P646)))</formula>
    </cfRule>
    <cfRule type="expression" dxfId="2160" priority="4250">
      <formula>$H646="ETAPA"</formula>
    </cfRule>
    <cfRule type="expression" dxfId="2159" priority="4249">
      <formula>$H646="CÉLULA CONSTRUTIVA"</formula>
    </cfRule>
    <cfRule type="expression" dxfId="2158" priority="4248">
      <formula>$H646="SUBETAPA"</formula>
    </cfRule>
    <cfRule type="containsText" dxfId="2157" priority="4252" operator="containsText" text="N/A">
      <formula>NOT(ISERROR(SEARCH("N/A",P646)))</formula>
    </cfRule>
  </conditionalFormatting>
  <conditionalFormatting sqref="P649">
    <cfRule type="containsText" dxfId="2156" priority="4238" operator="containsText" text="Finalizado">
      <formula>NOT(ISERROR(SEARCH("Finalizado",P649)))</formula>
    </cfRule>
    <cfRule type="containsText" dxfId="2155" priority="4239" operator="containsText" text="em andamento">
      <formula>NOT(ISERROR(SEARCH("em andamento",P649)))</formula>
    </cfRule>
    <cfRule type="containsText" dxfId="2154" priority="4237" operator="containsText" text="Pendente">
      <formula>NOT(ISERROR(SEARCH("Pendente",P649)))</formula>
    </cfRule>
    <cfRule type="containsText" dxfId="2153" priority="4236" operator="containsText" text="N/A">
      <formula>NOT(ISERROR(SEARCH("N/A",P649)))</formula>
    </cfRule>
    <cfRule type="expression" dxfId="2152" priority="4234">
      <formula>$H649="ETAPA"</formula>
    </cfRule>
    <cfRule type="expression" dxfId="2151" priority="4233">
      <formula>$H649="CÉLULA CONSTRUTIVA"</formula>
    </cfRule>
    <cfRule type="expression" dxfId="2150" priority="4232">
      <formula>$H649="SUBETAPA"</formula>
    </cfRule>
    <cfRule type="containsText" dxfId="2149" priority="4235" operator="containsText" text="Lançado">
      <formula>NOT(ISERROR(SEARCH("Lançado",P649)))</formula>
    </cfRule>
  </conditionalFormatting>
  <conditionalFormatting sqref="P650">
    <cfRule type="expression" dxfId="2148" priority="4224">
      <formula>$H650="SUBETAPA"</formula>
    </cfRule>
    <cfRule type="containsText" dxfId="2147" priority="4228" operator="containsText" text="N/A">
      <formula>NOT(ISERROR(SEARCH("N/A",P650)))</formula>
    </cfRule>
    <cfRule type="containsText" dxfId="2146" priority="4227" operator="containsText" text="Lançado">
      <formula>NOT(ISERROR(SEARCH("Lançado",P650)))</formula>
    </cfRule>
    <cfRule type="expression" dxfId="2145" priority="4226">
      <formula>$H650="ETAPA"</formula>
    </cfRule>
    <cfRule type="expression" dxfId="2144" priority="4225">
      <formula>$H650="CÉLULA CONSTRUTIVA"</formula>
    </cfRule>
    <cfRule type="containsText" dxfId="2143" priority="4231" operator="containsText" text="em andamento">
      <formula>NOT(ISERROR(SEARCH("em andamento",P650)))</formula>
    </cfRule>
    <cfRule type="containsText" dxfId="2142" priority="4229" operator="containsText" text="Pendente">
      <formula>NOT(ISERROR(SEARCH("Pendente",P650)))</formula>
    </cfRule>
    <cfRule type="containsText" dxfId="2141" priority="4230" operator="containsText" text="Finalizado">
      <formula>NOT(ISERROR(SEARCH("Finalizado",P650)))</formula>
    </cfRule>
  </conditionalFormatting>
  <conditionalFormatting sqref="P651">
    <cfRule type="containsText" dxfId="2140" priority="4273" operator="containsText" text="Pendente">
      <formula>NOT(ISERROR(SEARCH("Pendente",P651)))</formula>
    </cfRule>
    <cfRule type="containsText" dxfId="2139" priority="4274" operator="containsText" text="Finalizado">
      <formula>NOT(ISERROR(SEARCH("Finalizado",P651)))</formula>
    </cfRule>
    <cfRule type="containsText" dxfId="2138" priority="4271" operator="containsText" text="Lançado">
      <formula>NOT(ISERROR(SEARCH("Lançado",P651)))</formula>
    </cfRule>
    <cfRule type="containsText" dxfId="2137" priority="4272" operator="containsText" text="N/A">
      <formula>NOT(ISERROR(SEARCH("N/A",P651)))</formula>
    </cfRule>
    <cfRule type="containsText" dxfId="2136" priority="4275" operator="containsText" text="em andamento">
      <formula>NOT(ISERROR(SEARCH("em andamento",P651)))</formula>
    </cfRule>
  </conditionalFormatting>
  <conditionalFormatting sqref="P652:P653">
    <cfRule type="containsText" dxfId="2135" priority="4222" operator="containsText" text="Finalizado">
      <formula>NOT(ISERROR(SEARCH("Finalizado",P652)))</formula>
    </cfRule>
    <cfRule type="expression" dxfId="2134" priority="4218">
      <formula>$H652="ETAPA"</formula>
    </cfRule>
    <cfRule type="containsText" dxfId="2133" priority="4221" operator="containsText" text="Pendente">
      <formula>NOT(ISERROR(SEARCH("Pendente",P652)))</formula>
    </cfRule>
    <cfRule type="expression" dxfId="2132" priority="4217">
      <formula>$H652="CÉLULA CONSTRUTIVA"</formula>
    </cfRule>
    <cfRule type="expression" dxfId="2131" priority="4216">
      <formula>$H652="SUBETAPA"</formula>
    </cfRule>
    <cfRule type="containsText" dxfId="2130" priority="4219" operator="containsText" text="Lançado">
      <formula>NOT(ISERROR(SEARCH("Lançado",P652)))</formula>
    </cfRule>
    <cfRule type="containsText" dxfId="2129" priority="4223" operator="containsText" text="em andamento">
      <formula>NOT(ISERROR(SEARCH("em andamento",P652)))</formula>
    </cfRule>
    <cfRule type="containsText" dxfId="2128" priority="4220" operator="containsText" text="N/A">
      <formula>NOT(ISERROR(SEARCH("N/A",P652)))</formula>
    </cfRule>
  </conditionalFormatting>
  <conditionalFormatting sqref="P654">
    <cfRule type="containsText" dxfId="2127" priority="3801" operator="containsText" text="em andamento">
      <formula>NOT(ISERROR(SEARCH("em andamento",P654)))</formula>
    </cfRule>
    <cfRule type="containsText" dxfId="2126" priority="3800" operator="containsText" text="Finalizado">
      <formula>NOT(ISERROR(SEARCH("Finalizado",P654)))</formula>
    </cfRule>
    <cfRule type="containsText" dxfId="2125" priority="3799" operator="containsText" text="Pendente">
      <formula>NOT(ISERROR(SEARCH("Pendente",P654)))</formula>
    </cfRule>
    <cfRule type="containsText" dxfId="2124" priority="3797" operator="containsText" text="Lançado">
      <formula>NOT(ISERROR(SEARCH("Lançado",P654)))</formula>
    </cfRule>
    <cfRule type="containsText" dxfId="2123" priority="3798" operator="containsText" text="N/A">
      <formula>NOT(ISERROR(SEARCH("N/A",P654)))</formula>
    </cfRule>
  </conditionalFormatting>
  <conditionalFormatting sqref="P655">
    <cfRule type="containsText" dxfId="2122" priority="3787" operator="containsText" text="em andamento">
      <formula>NOT(ISERROR(SEARCH("em andamento",P655)))</formula>
    </cfRule>
    <cfRule type="containsText" dxfId="2121" priority="3785" operator="containsText" text="Pendente">
      <formula>NOT(ISERROR(SEARCH("Pendente",P655)))</formula>
    </cfRule>
    <cfRule type="containsText" dxfId="2120" priority="3786" operator="containsText" text="Finalizado">
      <formula>NOT(ISERROR(SEARCH("Finalizado",P655)))</formula>
    </cfRule>
    <cfRule type="containsText" dxfId="2119" priority="3783" operator="containsText" text="Lançado">
      <formula>NOT(ISERROR(SEARCH("Lançado",P655)))</formula>
    </cfRule>
    <cfRule type="expression" dxfId="2118" priority="3782">
      <formula>$H655="ETAPA"</formula>
    </cfRule>
    <cfRule type="containsText" dxfId="2117" priority="3784" operator="containsText" text="N/A">
      <formula>NOT(ISERROR(SEARCH("N/A",P655)))</formula>
    </cfRule>
    <cfRule type="expression" dxfId="2116" priority="3780">
      <formula>$H655="SUBETAPA"</formula>
    </cfRule>
    <cfRule type="expression" dxfId="2115" priority="3781">
      <formula>$H655="CÉLULA CONSTRUTIVA"</formula>
    </cfRule>
  </conditionalFormatting>
  <conditionalFormatting sqref="P656 P644:P645 P648 P658:P662 P664">
    <cfRule type="containsText" dxfId="2114" priority="4305" operator="containsText" text="Pendente">
      <formula>NOT(ISERROR(SEARCH("Pendente",P644)))</formula>
    </cfRule>
    <cfRule type="containsText" dxfId="2113" priority="4306" operator="containsText" text="Finalizado">
      <formula>NOT(ISERROR(SEARCH("Finalizado",P644)))</formula>
    </cfRule>
    <cfRule type="containsText" dxfId="2112" priority="4307" operator="containsText" text="em andamento">
      <formula>NOT(ISERROR(SEARCH("em andamento",P644)))</formula>
    </cfRule>
  </conditionalFormatting>
  <conditionalFormatting sqref="P657">
    <cfRule type="containsText" dxfId="2111" priority="4214" operator="containsText" text="Finalizado">
      <formula>NOT(ISERROR(SEARCH("Finalizado",P657)))</formula>
    </cfRule>
    <cfRule type="containsText" dxfId="2110" priority="4212" operator="containsText" text="N/A">
      <formula>NOT(ISERROR(SEARCH("N/A",P657)))</formula>
    </cfRule>
    <cfRule type="expression" dxfId="2109" priority="4210">
      <formula>$H657="ETAPA"</formula>
    </cfRule>
    <cfRule type="containsText" dxfId="2108" priority="4213" operator="containsText" text="Pendente">
      <formula>NOT(ISERROR(SEARCH("Pendente",P657)))</formula>
    </cfRule>
    <cfRule type="containsText" dxfId="2107" priority="4211" operator="containsText" text="Lançado">
      <formula>NOT(ISERROR(SEARCH("Lançado",P657)))</formula>
    </cfRule>
    <cfRule type="expression" dxfId="2106" priority="4208">
      <formula>$H657="SUBETAPA"</formula>
    </cfRule>
    <cfRule type="containsText" dxfId="2105" priority="4215" operator="containsText" text="em andamento">
      <formula>NOT(ISERROR(SEARCH("em andamento",P657)))</formula>
    </cfRule>
    <cfRule type="expression" dxfId="2104" priority="4209">
      <formula>$H657="CÉLULA CONSTRUTIVA"</formula>
    </cfRule>
  </conditionalFormatting>
  <conditionalFormatting sqref="P658:P662 P664 P644:P645 P648 P656">
    <cfRule type="containsText" dxfId="2103" priority="4303" operator="containsText" text="Lançado">
      <formula>NOT(ISERROR(SEARCH("Lançado",P644)))</formula>
    </cfRule>
    <cfRule type="containsText" dxfId="2102" priority="4304" operator="containsText" text="N/A">
      <formula>NOT(ISERROR(SEARCH("N/A",P644)))</formula>
    </cfRule>
  </conditionalFormatting>
  <conditionalFormatting sqref="P663">
    <cfRule type="containsText" dxfId="2101" priority="3754" operator="containsText" text="em andamento">
      <formula>NOT(ISERROR(SEARCH("em andamento",P663)))</formula>
    </cfRule>
    <cfRule type="containsText" dxfId="2100" priority="3752" operator="containsText" text="Pendente">
      <formula>NOT(ISERROR(SEARCH("Pendente",P663)))</formula>
    </cfRule>
    <cfRule type="containsText" dxfId="2099" priority="3751" operator="containsText" text="N/A">
      <formula>NOT(ISERROR(SEARCH("N/A",P663)))</formula>
    </cfRule>
    <cfRule type="containsText" dxfId="2098" priority="3750" operator="containsText" text="Lançado">
      <formula>NOT(ISERROR(SEARCH("Lançado",P663)))</formula>
    </cfRule>
    <cfRule type="containsText" dxfId="2097" priority="3753" operator="containsText" text="Finalizado">
      <formula>NOT(ISERROR(SEARCH("Finalizado",P663)))</formula>
    </cfRule>
  </conditionalFormatting>
  <conditionalFormatting sqref="P665:P666 P668 P673">
    <cfRule type="containsText" dxfId="2096" priority="4403" operator="containsText" text="Lançado">
      <formula>NOT(ISERROR(SEARCH("Lançado",P665)))</formula>
    </cfRule>
    <cfRule type="containsText" dxfId="2095" priority="4404" operator="containsText" text="N/A">
      <formula>NOT(ISERROR(SEARCH("N/A",P665)))</formula>
    </cfRule>
  </conditionalFormatting>
  <conditionalFormatting sqref="P667">
    <cfRule type="containsText" dxfId="2094" priority="4351" operator="containsText" text="Lançado">
      <formula>NOT(ISERROR(SEARCH("Lançado",P667)))</formula>
    </cfRule>
    <cfRule type="containsText" dxfId="2093" priority="4352" operator="containsText" text="N/A">
      <formula>NOT(ISERROR(SEARCH("N/A",P667)))</formula>
    </cfRule>
    <cfRule type="containsText" dxfId="2092" priority="4353" operator="containsText" text="Pendente">
      <formula>NOT(ISERROR(SEARCH("Pendente",P667)))</formula>
    </cfRule>
    <cfRule type="containsText" dxfId="2091" priority="4354" operator="containsText" text="Finalizado">
      <formula>NOT(ISERROR(SEARCH("Finalizado",P667)))</formula>
    </cfRule>
    <cfRule type="containsText" dxfId="2090" priority="4355" operator="containsText" text="em andamento">
      <formula>NOT(ISERROR(SEARCH("em andamento",P667)))</formula>
    </cfRule>
  </conditionalFormatting>
  <conditionalFormatting sqref="P669">
    <cfRule type="expression" dxfId="2089" priority="4332">
      <formula>$H669="SUBETAPA"</formula>
    </cfRule>
    <cfRule type="expression" dxfId="2088" priority="4334">
      <formula>$H669="ETAPA"</formula>
    </cfRule>
    <cfRule type="containsText" dxfId="2087" priority="4335" operator="containsText" text="Lançado">
      <formula>NOT(ISERROR(SEARCH("Lançado",P669)))</formula>
    </cfRule>
    <cfRule type="containsText" dxfId="2086" priority="4336" operator="containsText" text="N/A">
      <formula>NOT(ISERROR(SEARCH("N/A",P669)))</formula>
    </cfRule>
    <cfRule type="containsText" dxfId="2085" priority="4337" operator="containsText" text="Pendente">
      <formula>NOT(ISERROR(SEARCH("Pendente",P669)))</formula>
    </cfRule>
    <cfRule type="expression" dxfId="2084" priority="4333">
      <formula>$H669="CÉLULA CONSTRUTIVA"</formula>
    </cfRule>
    <cfRule type="containsText" dxfId="2083" priority="4338" operator="containsText" text="Finalizado">
      <formula>NOT(ISERROR(SEARCH("Finalizado",P669)))</formula>
    </cfRule>
    <cfRule type="containsText" dxfId="2082" priority="4339" operator="containsText" text="em andamento">
      <formula>NOT(ISERROR(SEARCH("em andamento",P669)))</formula>
    </cfRule>
  </conditionalFormatting>
  <conditionalFormatting sqref="P670">
    <cfRule type="containsText" dxfId="2081" priority="4371" operator="containsText" text="Lançado">
      <formula>NOT(ISERROR(SEARCH("Lançado",P670)))</formula>
    </cfRule>
    <cfRule type="containsText" dxfId="2080" priority="4372" operator="containsText" text="N/A">
      <formula>NOT(ISERROR(SEARCH("N/A",P670)))</formula>
    </cfRule>
    <cfRule type="containsText" dxfId="2079" priority="4373" operator="containsText" text="Pendente">
      <formula>NOT(ISERROR(SEARCH("Pendente",P670)))</formula>
    </cfRule>
    <cfRule type="containsText" dxfId="2078" priority="4374" operator="containsText" text="Finalizado">
      <formula>NOT(ISERROR(SEARCH("Finalizado",P670)))</formula>
    </cfRule>
    <cfRule type="containsText" dxfId="2077" priority="4375" operator="containsText" text="em andamento">
      <formula>NOT(ISERROR(SEARCH("em andamento",P670)))</formula>
    </cfRule>
  </conditionalFormatting>
  <conditionalFormatting sqref="P671:P672">
    <cfRule type="expression" dxfId="2076" priority="4317">
      <formula>$H671="CÉLULA CONSTRUTIVA"</formula>
    </cfRule>
    <cfRule type="expression" dxfId="2075" priority="4316">
      <formula>$H671="SUBETAPA"</formula>
    </cfRule>
    <cfRule type="containsText" dxfId="2074" priority="4323" operator="containsText" text="em andamento">
      <formula>NOT(ISERROR(SEARCH("em andamento",P671)))</formula>
    </cfRule>
    <cfRule type="containsText" dxfId="2073" priority="4322" operator="containsText" text="Finalizado">
      <formula>NOT(ISERROR(SEARCH("Finalizado",P671)))</formula>
    </cfRule>
    <cfRule type="containsText" dxfId="2072" priority="4321" operator="containsText" text="Pendente">
      <formula>NOT(ISERROR(SEARCH("Pendente",P671)))</formula>
    </cfRule>
    <cfRule type="containsText" dxfId="2071" priority="4320" operator="containsText" text="N/A">
      <formula>NOT(ISERROR(SEARCH("N/A",P671)))</formula>
    </cfRule>
    <cfRule type="containsText" dxfId="2070" priority="4319" operator="containsText" text="Lançado">
      <formula>NOT(ISERROR(SEARCH("Lançado",P671)))</formula>
    </cfRule>
    <cfRule type="expression" dxfId="2069" priority="4318">
      <formula>$H671="ETAPA"</formula>
    </cfRule>
  </conditionalFormatting>
  <conditionalFormatting sqref="P673 P665:P666 P668">
    <cfRule type="containsText" dxfId="2068" priority="4406" operator="containsText" text="Finalizado">
      <formula>NOT(ISERROR(SEARCH("Finalizado",P665)))</formula>
    </cfRule>
    <cfRule type="containsText" dxfId="2067" priority="4407" operator="containsText" text="em andamento">
      <formula>NOT(ISERROR(SEARCH("em andamento",P665)))</formula>
    </cfRule>
    <cfRule type="containsText" dxfId="2066" priority="4405" operator="containsText" text="Pendente">
      <formula>NOT(ISERROR(SEARCH("Pendente",P665)))</formula>
    </cfRule>
  </conditionalFormatting>
  <conditionalFormatting sqref="P674">
    <cfRule type="containsText" dxfId="2065" priority="4313" operator="containsText" text="Pendente">
      <formula>NOT(ISERROR(SEARCH("Pendente",P674)))</formula>
    </cfRule>
    <cfRule type="containsText" dxfId="2064" priority="4315" operator="containsText" text="em andamento">
      <formula>NOT(ISERROR(SEARCH("em andamento",P674)))</formula>
    </cfRule>
    <cfRule type="containsText" dxfId="2063" priority="4312" operator="containsText" text="N/A">
      <formula>NOT(ISERROR(SEARCH("N/A",P674)))</formula>
    </cfRule>
    <cfRule type="containsText" dxfId="2062" priority="4314" operator="containsText" text="Finalizado">
      <formula>NOT(ISERROR(SEARCH("Finalizado",P674)))</formula>
    </cfRule>
    <cfRule type="expression" dxfId="2061" priority="4308">
      <formula>$H674="SUBETAPA"</formula>
    </cfRule>
    <cfRule type="expression" dxfId="2060" priority="4309">
      <formula>$H674="CÉLULA CONSTRUTIVA"</formula>
    </cfRule>
    <cfRule type="containsText" dxfId="2059" priority="4311" operator="containsText" text="Lançado">
      <formula>NOT(ISERROR(SEARCH("Lançado",P674)))</formula>
    </cfRule>
    <cfRule type="expression" dxfId="2058" priority="4310">
      <formula>$H674="ETAPA"</formula>
    </cfRule>
  </conditionalFormatting>
  <conditionalFormatting sqref="P680:P681 P684 P689:P691">
    <cfRule type="containsText" dxfId="2057" priority="4603" operator="containsText" text="Lançado">
      <formula>NOT(ISERROR(SEARCH("Lançado",P680)))</formula>
    </cfRule>
    <cfRule type="containsText" dxfId="2056" priority="4604" operator="containsText" text="N/A">
      <formula>NOT(ISERROR(SEARCH("N/A",P680)))</formula>
    </cfRule>
    <cfRule type="containsText" dxfId="2055" priority="4605" operator="containsText" text="Pendente">
      <formula>NOT(ISERROR(SEARCH("Pendente",P680)))</formula>
    </cfRule>
    <cfRule type="containsText" dxfId="2054" priority="4607" operator="containsText" text="em andamento">
      <formula>NOT(ISERROR(SEARCH("em andamento",P680)))</formula>
    </cfRule>
    <cfRule type="containsText" dxfId="2053" priority="4606" operator="containsText" text="Finalizado">
      <formula>NOT(ISERROR(SEARCH("Finalizado",P680)))</formula>
    </cfRule>
  </conditionalFormatting>
  <conditionalFormatting sqref="P682:P683">
    <cfRule type="expression" dxfId="2052" priority="4549">
      <formula>$H682="CÉLULA CONSTRUTIVA"</formula>
    </cfRule>
    <cfRule type="expression" dxfId="2051" priority="4550">
      <formula>$H682="ETAPA"</formula>
    </cfRule>
    <cfRule type="containsText" dxfId="2050" priority="4551" operator="containsText" text="Lançado">
      <formula>NOT(ISERROR(SEARCH("Lançado",P682)))</formula>
    </cfRule>
    <cfRule type="containsText" dxfId="2049" priority="4552" operator="containsText" text="N/A">
      <formula>NOT(ISERROR(SEARCH("N/A",P682)))</formula>
    </cfRule>
    <cfRule type="expression" dxfId="2048" priority="4548">
      <formula>$H682="SUBETAPA"</formula>
    </cfRule>
    <cfRule type="containsText" dxfId="2047" priority="4553" operator="containsText" text="Pendente">
      <formula>NOT(ISERROR(SEARCH("Pendente",P682)))</formula>
    </cfRule>
    <cfRule type="containsText" dxfId="2046" priority="4554" operator="containsText" text="Finalizado">
      <formula>NOT(ISERROR(SEARCH("Finalizado",P682)))</formula>
    </cfRule>
    <cfRule type="containsText" dxfId="2045" priority="4555" operator="containsText" text="em andamento">
      <formula>NOT(ISERROR(SEARCH("em andamento",P682)))</formula>
    </cfRule>
  </conditionalFormatting>
  <conditionalFormatting sqref="P685">
    <cfRule type="containsText" dxfId="2044" priority="4538" operator="containsText" text="Finalizado">
      <formula>NOT(ISERROR(SEARCH("Finalizado",P685)))</formula>
    </cfRule>
    <cfRule type="containsText" dxfId="2043" priority="4539" operator="containsText" text="em andamento">
      <formula>NOT(ISERROR(SEARCH("em andamento",P685)))</formula>
    </cfRule>
    <cfRule type="expression" dxfId="2042" priority="4532">
      <formula>$H685="SUBETAPA"</formula>
    </cfRule>
    <cfRule type="expression" dxfId="2041" priority="4533">
      <formula>$H685="CÉLULA CONSTRUTIVA"</formula>
    </cfRule>
    <cfRule type="expression" dxfId="2040" priority="4534">
      <formula>$H685="ETAPA"</formula>
    </cfRule>
    <cfRule type="containsText" dxfId="2039" priority="4535" operator="containsText" text="Lançado">
      <formula>NOT(ISERROR(SEARCH("Lançado",P685)))</formula>
    </cfRule>
    <cfRule type="containsText" dxfId="2038" priority="4536" operator="containsText" text="N/A">
      <formula>NOT(ISERROR(SEARCH("N/A",P685)))</formula>
    </cfRule>
    <cfRule type="containsText" dxfId="2037" priority="4537" operator="containsText" text="Pendente">
      <formula>NOT(ISERROR(SEARCH("Pendente",P685)))</formula>
    </cfRule>
  </conditionalFormatting>
  <conditionalFormatting sqref="P686">
    <cfRule type="expression" dxfId="2036" priority="4525">
      <formula>$H686="CÉLULA CONSTRUTIVA"</formula>
    </cfRule>
    <cfRule type="expression" dxfId="2035" priority="4526">
      <formula>$H686="ETAPA"</formula>
    </cfRule>
    <cfRule type="containsText" dxfId="2034" priority="4527" operator="containsText" text="Lançado">
      <formula>NOT(ISERROR(SEARCH("Lançado",P686)))</formula>
    </cfRule>
    <cfRule type="containsText" dxfId="2033" priority="4528" operator="containsText" text="N/A">
      <formula>NOT(ISERROR(SEARCH("N/A",P686)))</formula>
    </cfRule>
    <cfRule type="containsText" dxfId="2032" priority="4529" operator="containsText" text="Pendente">
      <formula>NOT(ISERROR(SEARCH("Pendente",P686)))</formula>
    </cfRule>
    <cfRule type="containsText" dxfId="2031" priority="4530" operator="containsText" text="Finalizado">
      <formula>NOT(ISERROR(SEARCH("Finalizado",P686)))</formula>
    </cfRule>
    <cfRule type="containsText" dxfId="2030" priority="4531" operator="containsText" text="em andamento">
      <formula>NOT(ISERROR(SEARCH("em andamento",P686)))</formula>
    </cfRule>
    <cfRule type="expression" dxfId="2029" priority="4524">
      <formula>$H686="SUBETAPA"</formula>
    </cfRule>
  </conditionalFormatting>
  <conditionalFormatting sqref="P687">
    <cfRule type="containsText" dxfId="2028" priority="3124" operator="containsText" text="Finalizado">
      <formula>NOT(ISERROR(SEARCH("Finalizado",P687)))</formula>
    </cfRule>
    <cfRule type="containsText" dxfId="2027" priority="3125" operator="containsText" text="em andamento">
      <formula>NOT(ISERROR(SEARCH("em andamento",P687)))</formula>
    </cfRule>
    <cfRule type="containsText" dxfId="2026" priority="3121" operator="containsText" text="Lançado">
      <formula>NOT(ISERROR(SEARCH("Lançado",P687)))</formula>
    </cfRule>
    <cfRule type="containsText" dxfId="2025" priority="3122" operator="containsText" text="N/A">
      <formula>NOT(ISERROR(SEARCH("N/A",P687)))</formula>
    </cfRule>
    <cfRule type="containsText" dxfId="2024" priority="3123" operator="containsText" text="Pendente">
      <formula>NOT(ISERROR(SEARCH("Pendente",P687)))</formula>
    </cfRule>
  </conditionalFormatting>
  <conditionalFormatting sqref="P688">
    <cfRule type="expression" dxfId="2023" priority="3105">
      <formula>$H688="CÉLULA CONSTRUTIVA"</formula>
    </cfRule>
    <cfRule type="expression" dxfId="2022" priority="3106">
      <formula>$H688="ETAPA"</formula>
    </cfRule>
    <cfRule type="containsText" dxfId="2021" priority="3111" operator="containsText" text="em andamento">
      <formula>NOT(ISERROR(SEARCH("em andamento",P688)))</formula>
    </cfRule>
    <cfRule type="containsText" dxfId="2020" priority="3110" operator="containsText" text="Finalizado">
      <formula>NOT(ISERROR(SEARCH("Finalizado",P688)))</formula>
    </cfRule>
    <cfRule type="containsText" dxfId="2019" priority="3109" operator="containsText" text="Pendente">
      <formula>NOT(ISERROR(SEARCH("Pendente",P688)))</formula>
    </cfRule>
    <cfRule type="containsText" dxfId="2018" priority="3108" operator="containsText" text="N/A">
      <formula>NOT(ISERROR(SEARCH("N/A",P688)))</formula>
    </cfRule>
    <cfRule type="containsText" dxfId="2017" priority="3107" operator="containsText" text="Lançado">
      <formula>NOT(ISERROR(SEARCH("Lançado",P688)))</formula>
    </cfRule>
    <cfRule type="expression" dxfId="2016" priority="3104">
      <formula>$H688="SUBETAPA"</formula>
    </cfRule>
  </conditionalFormatting>
  <conditionalFormatting sqref="P692">
    <cfRule type="containsText" dxfId="2015" priority="3098" operator="containsText" text="Pendente">
      <formula>NOT(ISERROR(SEARCH("Pendente",P692)))</formula>
    </cfRule>
    <cfRule type="containsText" dxfId="2014" priority="3100" operator="containsText" text="em andamento">
      <formula>NOT(ISERROR(SEARCH("em andamento",P692)))</formula>
    </cfRule>
    <cfRule type="containsText" dxfId="2013" priority="3099" operator="containsText" text="Finalizado">
      <formula>NOT(ISERROR(SEARCH("Finalizado",P692)))</formula>
    </cfRule>
    <cfRule type="containsText" dxfId="2012" priority="3096" operator="containsText" text="Lançado">
      <formula>NOT(ISERROR(SEARCH("Lançado",P692)))</formula>
    </cfRule>
    <cfRule type="containsText" dxfId="2011" priority="3097" operator="containsText" text="N/A">
      <formula>NOT(ISERROR(SEARCH("N/A",P692)))</formula>
    </cfRule>
  </conditionalFormatting>
  <conditionalFormatting sqref="P693:P694 P697 P700:P702">
    <cfRule type="containsText" dxfId="2010" priority="3903" operator="containsText" text="Lançado">
      <formula>NOT(ISERROR(SEARCH("Lançado",P693)))</formula>
    </cfRule>
    <cfRule type="containsText" dxfId="2009" priority="3907" operator="containsText" text="em andamento">
      <formula>NOT(ISERROR(SEARCH("em andamento",P693)))</formula>
    </cfRule>
    <cfRule type="containsText" dxfId="2008" priority="3904" operator="containsText" text="N/A">
      <formula>NOT(ISERROR(SEARCH("N/A",P693)))</formula>
    </cfRule>
    <cfRule type="containsText" dxfId="2007" priority="3905" operator="containsText" text="Pendente">
      <formula>NOT(ISERROR(SEARCH("Pendente",P693)))</formula>
    </cfRule>
    <cfRule type="containsText" dxfId="2006" priority="3906" operator="containsText" text="Finalizado">
      <formula>NOT(ISERROR(SEARCH("Finalizado",P693)))</formula>
    </cfRule>
  </conditionalFormatting>
  <conditionalFormatting sqref="P695:P696">
    <cfRule type="expression" dxfId="2005" priority="3850">
      <formula>$H695="ETAPA"</formula>
    </cfRule>
    <cfRule type="containsText" dxfId="2004" priority="3854" operator="containsText" text="Finalizado">
      <formula>NOT(ISERROR(SEARCH("Finalizado",P695)))</formula>
    </cfRule>
    <cfRule type="expression" dxfId="2003" priority="3848">
      <formula>$H695="SUBETAPA"</formula>
    </cfRule>
    <cfRule type="containsText" dxfId="2002" priority="3851" operator="containsText" text="Lançado">
      <formula>NOT(ISERROR(SEARCH("Lançado",P695)))</formula>
    </cfRule>
    <cfRule type="containsText" dxfId="2001" priority="3852" operator="containsText" text="N/A">
      <formula>NOT(ISERROR(SEARCH("N/A",P695)))</formula>
    </cfRule>
    <cfRule type="containsText" dxfId="2000" priority="3853" operator="containsText" text="Pendente">
      <formula>NOT(ISERROR(SEARCH("Pendente",P695)))</formula>
    </cfRule>
    <cfRule type="containsText" dxfId="1999" priority="3855" operator="containsText" text="em andamento">
      <formula>NOT(ISERROR(SEARCH("em andamento",P695)))</formula>
    </cfRule>
    <cfRule type="expression" dxfId="1998" priority="3849">
      <formula>$H695="CÉLULA CONSTRUTIVA"</formula>
    </cfRule>
  </conditionalFormatting>
  <conditionalFormatting sqref="P698">
    <cfRule type="containsText" dxfId="1997" priority="3837" operator="containsText" text="Pendente">
      <formula>NOT(ISERROR(SEARCH("Pendente",P698)))</formula>
    </cfRule>
    <cfRule type="containsText" dxfId="1996" priority="3836" operator="containsText" text="N/A">
      <formula>NOT(ISERROR(SEARCH("N/A",P698)))</formula>
    </cfRule>
    <cfRule type="expression" dxfId="1995" priority="3832">
      <formula>$H698="SUBETAPA"</formula>
    </cfRule>
    <cfRule type="expression" dxfId="1994" priority="3833">
      <formula>$H698="CÉLULA CONSTRUTIVA"</formula>
    </cfRule>
    <cfRule type="expression" dxfId="1993" priority="3834">
      <formula>$H698="ETAPA"</formula>
    </cfRule>
    <cfRule type="containsText" dxfId="1992" priority="3835" operator="containsText" text="Lançado">
      <formula>NOT(ISERROR(SEARCH("Lançado",P698)))</formula>
    </cfRule>
    <cfRule type="containsText" dxfId="1991" priority="3838" operator="containsText" text="Finalizado">
      <formula>NOT(ISERROR(SEARCH("Finalizado",P698)))</formula>
    </cfRule>
    <cfRule type="containsText" dxfId="1990" priority="3839" operator="containsText" text="em andamento">
      <formula>NOT(ISERROR(SEARCH("em andamento",P698)))</formula>
    </cfRule>
  </conditionalFormatting>
  <conditionalFormatting sqref="P699">
    <cfRule type="expression" dxfId="1989" priority="3824">
      <formula>$H699="SUBETAPA"</formula>
    </cfRule>
    <cfRule type="expression" dxfId="1988" priority="3825">
      <formula>$H699="CÉLULA CONSTRUTIVA"</formula>
    </cfRule>
    <cfRule type="expression" dxfId="1987" priority="3826">
      <formula>$H699="ETAPA"</formula>
    </cfRule>
    <cfRule type="containsText" dxfId="1986" priority="3828" operator="containsText" text="N/A">
      <formula>NOT(ISERROR(SEARCH("N/A",P699)))</formula>
    </cfRule>
    <cfRule type="containsText" dxfId="1985" priority="3829" operator="containsText" text="Pendente">
      <formula>NOT(ISERROR(SEARCH("Pendente",P699)))</formula>
    </cfRule>
    <cfRule type="containsText" dxfId="1984" priority="3831" operator="containsText" text="em andamento">
      <formula>NOT(ISERROR(SEARCH("em andamento",P699)))</formula>
    </cfRule>
    <cfRule type="containsText" dxfId="1983" priority="3827" operator="containsText" text="Lançado">
      <formula>NOT(ISERROR(SEARCH("Lançado",P699)))</formula>
    </cfRule>
    <cfRule type="containsText" dxfId="1982" priority="3830" operator="containsText" text="Finalizado">
      <formula>NOT(ISERROR(SEARCH("Finalizado",P699)))</formula>
    </cfRule>
  </conditionalFormatting>
  <conditionalFormatting sqref="P706:P713">
    <cfRule type="containsText" dxfId="1981" priority="10434" operator="containsText" text="Lançado">
      <formula>NOT(ISERROR(SEARCH("Lançado",P706)))</formula>
    </cfRule>
    <cfRule type="containsText" dxfId="1980" priority="10435" operator="containsText" text="N/A">
      <formula>NOT(ISERROR(SEARCH("N/A",P706)))</formula>
    </cfRule>
    <cfRule type="containsText" dxfId="1979" priority="10438" operator="containsText" text="em andamento">
      <formula>NOT(ISERROR(SEARCH("em andamento",P706)))</formula>
    </cfRule>
    <cfRule type="containsText" dxfId="1978" priority="10437" operator="containsText" text="Finalizado">
      <formula>NOT(ISERROR(SEARCH("Finalizado",P706)))</formula>
    </cfRule>
    <cfRule type="containsText" dxfId="1977" priority="10436" operator="containsText" text="Pendente">
      <formula>NOT(ISERROR(SEARCH("Pendente",P706)))</formula>
    </cfRule>
    <cfRule type="expression" dxfId="1976" priority="10431">
      <formula>$H706="SUBETAPA"</formula>
    </cfRule>
    <cfRule type="expression" dxfId="1975" priority="10432">
      <formula>$H706="CÉLULA CONSTRUTIVA"</formula>
    </cfRule>
    <cfRule type="expression" dxfId="1974" priority="10433">
      <formula>$H706="ETAPA"</formula>
    </cfRule>
  </conditionalFormatting>
  <conditionalFormatting sqref="P715:P718">
    <cfRule type="expression" dxfId="1973" priority="10424">
      <formula>$H715="CÉLULA CONSTRUTIVA"</formula>
    </cfRule>
    <cfRule type="containsText" dxfId="1972" priority="10427" operator="containsText" text="N/A">
      <formula>NOT(ISERROR(SEARCH("N/A",P715)))</formula>
    </cfRule>
    <cfRule type="containsText" dxfId="1971" priority="10428" operator="containsText" text="Pendente">
      <formula>NOT(ISERROR(SEARCH("Pendente",P715)))</formula>
    </cfRule>
    <cfRule type="containsText" dxfId="1970" priority="10429" operator="containsText" text="Finalizado">
      <formula>NOT(ISERROR(SEARCH("Finalizado",P715)))</formula>
    </cfRule>
    <cfRule type="expression" dxfId="1969" priority="10423">
      <formula>$H715="SUBETAPA"</formula>
    </cfRule>
    <cfRule type="containsText" dxfId="1968" priority="10430" operator="containsText" text="em andamento">
      <formula>NOT(ISERROR(SEARCH("em andamento",P715)))</formula>
    </cfRule>
    <cfRule type="expression" dxfId="1967" priority="10425">
      <formula>$H715="ETAPA"</formula>
    </cfRule>
    <cfRule type="containsText" dxfId="1966" priority="10426" operator="containsText" text="Lançado">
      <formula>NOT(ISERROR(SEARCH("Lançado",P715)))</formula>
    </cfRule>
  </conditionalFormatting>
  <conditionalFormatting sqref="P719">
    <cfRule type="containsText" dxfId="1965" priority="11356" operator="containsText" text="em andamento">
      <formula>NOT(ISERROR(SEARCH("em andamento",P719)))</formula>
    </cfRule>
    <cfRule type="containsText" dxfId="1964" priority="11355" operator="containsText" text="Finalizado">
      <formula>NOT(ISERROR(SEARCH("Finalizado",P719)))</formula>
    </cfRule>
    <cfRule type="containsText" dxfId="1963" priority="11353" operator="containsText" text="N/A">
      <formula>NOT(ISERROR(SEARCH("N/A",P719)))</formula>
    </cfRule>
    <cfRule type="containsText" dxfId="1962" priority="11352" operator="containsText" text="Lançado">
      <formula>NOT(ISERROR(SEARCH("Lançado",P719)))</formula>
    </cfRule>
    <cfRule type="containsText" dxfId="1961" priority="11354" operator="containsText" text="Pendente">
      <formula>NOT(ISERROR(SEARCH("Pendente",P719)))</formula>
    </cfRule>
  </conditionalFormatting>
  <conditionalFormatting sqref="P720:P721">
    <cfRule type="expression" dxfId="1960" priority="10415">
      <formula>$H720="SUBETAPA"</formula>
    </cfRule>
    <cfRule type="expression" dxfId="1959" priority="10417">
      <formula>$H720="ETAPA"</formula>
    </cfRule>
    <cfRule type="expression" dxfId="1958" priority="10416">
      <formula>$H720="CÉLULA CONSTRUTIVA"</formula>
    </cfRule>
    <cfRule type="containsText" dxfId="1957" priority="10419" operator="containsText" text="N/A">
      <formula>NOT(ISERROR(SEARCH("N/A",P720)))</formula>
    </cfRule>
    <cfRule type="containsText" dxfId="1956" priority="10420" operator="containsText" text="Pendente">
      <formula>NOT(ISERROR(SEARCH("Pendente",P720)))</formula>
    </cfRule>
    <cfRule type="containsText" dxfId="1955" priority="10421" operator="containsText" text="Finalizado">
      <formula>NOT(ISERROR(SEARCH("Finalizado",P720)))</formula>
    </cfRule>
    <cfRule type="containsText" dxfId="1954" priority="10422" operator="containsText" text="em andamento">
      <formula>NOT(ISERROR(SEARCH("em andamento",P720)))</formula>
    </cfRule>
    <cfRule type="containsText" dxfId="1953" priority="10418" operator="containsText" text="Lançado">
      <formula>NOT(ISERROR(SEARCH("Lançado",P720)))</formula>
    </cfRule>
  </conditionalFormatting>
  <conditionalFormatting sqref="P722">
    <cfRule type="containsText" dxfId="1952" priority="11343" operator="containsText" text="Pendente">
      <formula>NOT(ISERROR(SEARCH("Pendente",P722)))</formula>
    </cfRule>
    <cfRule type="containsText" dxfId="1951" priority="11341" operator="containsText" text="Lançado">
      <formula>NOT(ISERROR(SEARCH("Lançado",P722)))</formula>
    </cfRule>
    <cfRule type="containsText" dxfId="1950" priority="11342" operator="containsText" text="N/A">
      <formula>NOT(ISERROR(SEARCH("N/A",P722)))</formula>
    </cfRule>
    <cfRule type="containsText" dxfId="1949" priority="11344" operator="containsText" text="Finalizado">
      <formula>NOT(ISERROR(SEARCH("Finalizado",P722)))</formula>
    </cfRule>
    <cfRule type="containsText" dxfId="1948" priority="11345" operator="containsText" text="em andamento">
      <formula>NOT(ISERROR(SEARCH("em andamento",P722)))</formula>
    </cfRule>
  </conditionalFormatting>
  <conditionalFormatting sqref="P723">
    <cfRule type="containsText" dxfId="1947" priority="10410" operator="containsText" text="Lançado">
      <formula>NOT(ISERROR(SEARCH("Lançado",P723)))</formula>
    </cfRule>
    <cfRule type="expression" dxfId="1946" priority="10409">
      <formula>$H723="ETAPA"</formula>
    </cfRule>
    <cfRule type="containsText" dxfId="1945" priority="10412" operator="containsText" text="Pendente">
      <formula>NOT(ISERROR(SEARCH("Pendente",P723)))</formula>
    </cfRule>
    <cfRule type="containsText" dxfId="1944" priority="10411" operator="containsText" text="N/A">
      <formula>NOT(ISERROR(SEARCH("N/A",P723)))</formula>
    </cfRule>
    <cfRule type="containsText" dxfId="1943" priority="10414" operator="containsText" text="em andamento">
      <formula>NOT(ISERROR(SEARCH("em andamento",P723)))</formula>
    </cfRule>
    <cfRule type="expression" dxfId="1942" priority="10407">
      <formula>$H723="SUBETAPA"</formula>
    </cfRule>
    <cfRule type="expression" dxfId="1941" priority="10408">
      <formula>$H723="CÉLULA CONSTRUTIVA"</formula>
    </cfRule>
    <cfRule type="containsText" dxfId="1940" priority="10413" operator="containsText" text="Finalizado">
      <formula>NOT(ISERROR(SEARCH("Finalizado",P723)))</formula>
    </cfRule>
  </conditionalFormatting>
  <conditionalFormatting sqref="P724">
    <cfRule type="containsText" dxfId="1939" priority="1591" operator="containsText" text="Pendente">
      <formula>NOT(ISERROR(SEARCH("Pendente",P724)))</formula>
    </cfRule>
    <cfRule type="containsText" dxfId="1938" priority="1592" operator="containsText" text="Finalizado">
      <formula>NOT(ISERROR(SEARCH("Finalizado",P724)))</formula>
    </cfRule>
    <cfRule type="containsText" dxfId="1937" priority="1593" operator="containsText" text="em andamento">
      <formula>NOT(ISERROR(SEARCH("em andamento",P724)))</formula>
    </cfRule>
    <cfRule type="containsText" dxfId="1936" priority="1589" operator="containsText" text="Lançado">
      <formula>NOT(ISERROR(SEARCH("Lançado",P724)))</formula>
    </cfRule>
    <cfRule type="containsText" dxfId="1935" priority="1590" operator="containsText" text="N/A">
      <formula>NOT(ISERROR(SEARCH("N/A",P724)))</formula>
    </cfRule>
  </conditionalFormatting>
  <conditionalFormatting sqref="P725:P726">
    <cfRule type="containsText" dxfId="1934" priority="11014" operator="containsText" text="Lançado">
      <formula>NOT(ISERROR(SEARCH("Lançado",P725)))</formula>
    </cfRule>
    <cfRule type="containsText" dxfId="1933" priority="11017" operator="containsText" text="Finalizado">
      <formula>NOT(ISERROR(SEARCH("Finalizado",P725)))</formula>
    </cfRule>
    <cfRule type="containsText" dxfId="1932" priority="11018" operator="containsText" text="em andamento">
      <formula>NOT(ISERROR(SEARCH("em andamento",P725)))</formula>
    </cfRule>
    <cfRule type="containsText" dxfId="1931" priority="11016" operator="containsText" text="Pendente">
      <formula>NOT(ISERROR(SEARCH("Pendente",P725)))</formula>
    </cfRule>
    <cfRule type="containsText" dxfId="1930" priority="11015" operator="containsText" text="N/A">
      <formula>NOT(ISERROR(SEARCH("N/A",P725)))</formula>
    </cfRule>
  </conditionalFormatting>
  <conditionalFormatting sqref="P727:P730">
    <cfRule type="expression" dxfId="1929" priority="10399">
      <formula>$H727="SUBETAPA"</formula>
    </cfRule>
    <cfRule type="expression" dxfId="1928" priority="10400">
      <formula>$H727="CÉLULA CONSTRUTIVA"</formula>
    </cfRule>
    <cfRule type="expression" dxfId="1927" priority="10401">
      <formula>$H727="ETAPA"</formula>
    </cfRule>
    <cfRule type="containsText" dxfId="1926" priority="10402" operator="containsText" text="Lançado">
      <formula>NOT(ISERROR(SEARCH("Lançado",P727)))</formula>
    </cfRule>
    <cfRule type="containsText" dxfId="1925" priority="10403" operator="containsText" text="N/A">
      <formula>NOT(ISERROR(SEARCH("N/A",P727)))</formula>
    </cfRule>
    <cfRule type="containsText" dxfId="1924" priority="10404" operator="containsText" text="Pendente">
      <formula>NOT(ISERROR(SEARCH("Pendente",P727)))</formula>
    </cfRule>
    <cfRule type="containsText" dxfId="1923" priority="10405" operator="containsText" text="Finalizado">
      <formula>NOT(ISERROR(SEARCH("Finalizado",P727)))</formula>
    </cfRule>
    <cfRule type="containsText" dxfId="1922" priority="10406" operator="containsText" text="em andamento">
      <formula>NOT(ISERROR(SEARCH("em andamento",P727)))</formula>
    </cfRule>
  </conditionalFormatting>
  <conditionalFormatting sqref="P731">
    <cfRule type="containsText" dxfId="1921" priority="4727" operator="containsText" text="em andamento">
      <formula>NOT(ISERROR(SEARCH("em andamento",P731)))</formula>
    </cfRule>
    <cfRule type="containsText" dxfId="1920" priority="4726" operator="containsText" text="Finalizado">
      <formula>NOT(ISERROR(SEARCH("Finalizado",P731)))</formula>
    </cfRule>
    <cfRule type="containsText" dxfId="1919" priority="4725" operator="containsText" text="Pendente">
      <formula>NOT(ISERROR(SEARCH("Pendente",P731)))</formula>
    </cfRule>
    <cfRule type="containsText" dxfId="1918" priority="4724" operator="containsText" text="N/A">
      <formula>NOT(ISERROR(SEARCH("N/A",P731)))</formula>
    </cfRule>
    <cfRule type="containsText" dxfId="1917" priority="4723" operator="containsText" text="Lançado">
      <formula>NOT(ISERROR(SEARCH("Lançado",P731)))</formula>
    </cfRule>
  </conditionalFormatting>
  <conditionalFormatting sqref="P732:P735">
    <cfRule type="containsText" dxfId="1916" priority="10396" operator="containsText" text="Pendente">
      <formula>NOT(ISERROR(SEARCH("Pendente",P732)))</formula>
    </cfRule>
    <cfRule type="containsText" dxfId="1915" priority="10397" operator="containsText" text="Finalizado">
      <formula>NOT(ISERROR(SEARCH("Finalizado",P732)))</formula>
    </cfRule>
    <cfRule type="containsText" dxfId="1914" priority="10398" operator="containsText" text="em andamento">
      <formula>NOT(ISERROR(SEARCH("em andamento",P732)))</formula>
    </cfRule>
    <cfRule type="expression" dxfId="1913" priority="10391">
      <formula>$H732="SUBETAPA"</formula>
    </cfRule>
    <cfRule type="expression" dxfId="1912" priority="10392">
      <formula>$H732="CÉLULA CONSTRUTIVA"</formula>
    </cfRule>
    <cfRule type="expression" dxfId="1911" priority="10393">
      <formula>$H732="ETAPA"</formula>
    </cfRule>
    <cfRule type="containsText" dxfId="1910" priority="10394" operator="containsText" text="Lançado">
      <formula>NOT(ISERROR(SEARCH("Lançado",P732)))</formula>
    </cfRule>
    <cfRule type="containsText" dxfId="1909" priority="10395" operator="containsText" text="N/A">
      <formula>NOT(ISERROR(SEARCH("N/A",P732)))</formula>
    </cfRule>
  </conditionalFormatting>
  <conditionalFormatting sqref="P736">
    <cfRule type="expression" dxfId="1908" priority="10384">
      <formula>$H736="CÉLULA CONSTRUTIVA"</formula>
    </cfRule>
    <cfRule type="expression" dxfId="1907" priority="10383">
      <formula>$H736="SUBETAPA"</formula>
    </cfRule>
    <cfRule type="containsText" dxfId="1906" priority="10388" operator="containsText" text="Pendente">
      <formula>NOT(ISERROR(SEARCH("Pendente",P736)))</formula>
    </cfRule>
    <cfRule type="containsText" dxfId="1905" priority="10390" operator="containsText" text="em andamento">
      <formula>NOT(ISERROR(SEARCH("em andamento",P736)))</formula>
    </cfRule>
    <cfRule type="containsText" dxfId="1904" priority="10389" operator="containsText" text="Finalizado">
      <formula>NOT(ISERROR(SEARCH("Finalizado",P736)))</formula>
    </cfRule>
    <cfRule type="containsText" dxfId="1903" priority="10387" operator="containsText" text="N/A">
      <formula>NOT(ISERROR(SEARCH("N/A",P736)))</formula>
    </cfRule>
    <cfRule type="containsText" dxfId="1902" priority="10386" operator="containsText" text="Lançado">
      <formula>NOT(ISERROR(SEARCH("Lançado",P736)))</formula>
    </cfRule>
    <cfRule type="expression" dxfId="1901" priority="10385">
      <formula>$H736="ETAPA"</formula>
    </cfRule>
  </conditionalFormatting>
  <conditionalFormatting sqref="P737:P738">
    <cfRule type="containsText" dxfId="1900" priority="10370" operator="containsText" text="Lançado">
      <formula>NOT(ISERROR(SEARCH("Lançado",P737)))</formula>
    </cfRule>
    <cfRule type="containsText" dxfId="1899" priority="10373" operator="containsText" text="Finalizado">
      <formula>NOT(ISERROR(SEARCH("Finalizado",P737)))</formula>
    </cfRule>
    <cfRule type="containsText" dxfId="1898" priority="10371" operator="containsText" text="N/A">
      <formula>NOT(ISERROR(SEARCH("N/A",P737)))</formula>
    </cfRule>
    <cfRule type="expression" dxfId="1897" priority="10369">
      <formula>$H737="ETAPA"</formula>
    </cfRule>
    <cfRule type="expression" dxfId="1896" priority="10368">
      <formula>$H737="CÉLULA CONSTRUTIVA"</formula>
    </cfRule>
    <cfRule type="expression" dxfId="1895" priority="10367">
      <formula>$H737="SUBETAPA"</formula>
    </cfRule>
    <cfRule type="containsText" dxfId="1894" priority="10374" operator="containsText" text="em andamento">
      <formula>NOT(ISERROR(SEARCH("em andamento",P737)))</formula>
    </cfRule>
    <cfRule type="containsText" dxfId="1893" priority="10372" operator="containsText" text="Pendente">
      <formula>NOT(ISERROR(SEARCH("Pendente",P737)))</formula>
    </cfRule>
  </conditionalFormatting>
  <conditionalFormatting sqref="P739">
    <cfRule type="containsText" dxfId="1892" priority="10549" operator="containsText" text="N/A">
      <formula>NOT(ISERROR(SEARCH("N/A",P739)))</formula>
    </cfRule>
    <cfRule type="containsText" dxfId="1891" priority="10552" operator="containsText" text="em andamento">
      <formula>NOT(ISERROR(SEARCH("em andamento",P739)))</formula>
    </cfRule>
    <cfRule type="containsText" dxfId="1890" priority="10548" operator="containsText" text="Lançado">
      <formula>NOT(ISERROR(SEARCH("Lançado",P739)))</formula>
    </cfRule>
    <cfRule type="containsText" dxfId="1889" priority="10550" operator="containsText" text="Pendente">
      <formula>NOT(ISERROR(SEARCH("Pendente",P739)))</formula>
    </cfRule>
    <cfRule type="containsText" dxfId="1888" priority="10551" operator="containsText" text="Finalizado">
      <formula>NOT(ISERROR(SEARCH("Finalizado",P739)))</formula>
    </cfRule>
  </conditionalFormatting>
  <conditionalFormatting sqref="P740">
    <cfRule type="expression" dxfId="1887" priority="10375">
      <formula>$H740="SUBETAPA"</formula>
    </cfRule>
    <cfRule type="containsText" dxfId="1886" priority="10380" operator="containsText" text="Pendente">
      <formula>NOT(ISERROR(SEARCH("Pendente",P740)))</formula>
    </cfRule>
    <cfRule type="containsText" dxfId="1885" priority="10382" operator="containsText" text="em andamento">
      <formula>NOT(ISERROR(SEARCH("em andamento",P740)))</formula>
    </cfRule>
    <cfRule type="containsText" dxfId="1884" priority="10381" operator="containsText" text="Finalizado">
      <formula>NOT(ISERROR(SEARCH("Finalizado",P740)))</formula>
    </cfRule>
    <cfRule type="containsText" dxfId="1883" priority="10379" operator="containsText" text="N/A">
      <formula>NOT(ISERROR(SEARCH("N/A",P740)))</formula>
    </cfRule>
    <cfRule type="containsText" dxfId="1882" priority="10378" operator="containsText" text="Lançado">
      <formula>NOT(ISERROR(SEARCH("Lançado",P740)))</formula>
    </cfRule>
    <cfRule type="expression" dxfId="1881" priority="10377">
      <formula>$H740="ETAPA"</formula>
    </cfRule>
    <cfRule type="expression" dxfId="1880" priority="10376">
      <formula>$H740="CÉLULA CONSTRUTIVA"</formula>
    </cfRule>
  </conditionalFormatting>
  <conditionalFormatting sqref="P741">
    <cfRule type="containsText" dxfId="1879" priority="1598" operator="containsText" text="N/A">
      <formula>NOT(ISERROR(SEARCH("N/A",P741)))</formula>
    </cfRule>
    <cfRule type="containsText" dxfId="1878" priority="1599" operator="containsText" text="Pendente">
      <formula>NOT(ISERROR(SEARCH("Pendente",P741)))</formula>
    </cfRule>
    <cfRule type="containsText" dxfId="1877" priority="1600" operator="containsText" text="Finalizado">
      <formula>NOT(ISERROR(SEARCH("Finalizado",P741)))</formula>
    </cfRule>
    <cfRule type="containsText" dxfId="1876" priority="1601" operator="containsText" text="em andamento">
      <formula>NOT(ISERROR(SEARCH("em andamento",P741)))</formula>
    </cfRule>
    <cfRule type="containsText" dxfId="1875" priority="1597" operator="containsText" text="Lançado">
      <formula>NOT(ISERROR(SEARCH("Lançado",P741)))</formula>
    </cfRule>
  </conditionalFormatting>
  <conditionalFormatting sqref="P742:P743 P748">
    <cfRule type="containsText" dxfId="1874" priority="11065" operator="containsText" text="em andamento">
      <formula>NOT(ISERROR(SEARCH("em andamento",P742)))</formula>
    </cfRule>
    <cfRule type="containsText" dxfId="1873" priority="11064" operator="containsText" text="Finalizado">
      <formula>NOT(ISERROR(SEARCH("Finalizado",P742)))</formula>
    </cfRule>
    <cfRule type="containsText" dxfId="1872" priority="11063" operator="containsText" text="Pendente">
      <formula>NOT(ISERROR(SEARCH("Pendente",P742)))</formula>
    </cfRule>
    <cfRule type="containsText" dxfId="1871" priority="11062" operator="containsText" text="N/A">
      <formula>NOT(ISERROR(SEARCH("N/A",P742)))</formula>
    </cfRule>
    <cfRule type="containsText" dxfId="1870" priority="11061" operator="containsText" text="Lançado">
      <formula>NOT(ISERROR(SEARCH("Lançado",P742)))</formula>
    </cfRule>
  </conditionalFormatting>
  <conditionalFormatting sqref="P744:P745 P747">
    <cfRule type="containsText" dxfId="1869" priority="10360" operator="containsText" text="N/A">
      <formula>NOT(ISERROR(SEARCH("N/A",P744)))</formula>
    </cfRule>
    <cfRule type="containsText" dxfId="1868" priority="10361" operator="containsText" text="Pendente">
      <formula>NOT(ISERROR(SEARCH("Pendente",P744)))</formula>
    </cfRule>
    <cfRule type="expression" dxfId="1867" priority="10357">
      <formula>$H744="CÉLULA CONSTRUTIVA"</formula>
    </cfRule>
    <cfRule type="containsText" dxfId="1866" priority="10362" operator="containsText" text="Finalizado">
      <formula>NOT(ISERROR(SEARCH("Finalizado",P744)))</formula>
    </cfRule>
    <cfRule type="containsText" dxfId="1865" priority="10363" operator="containsText" text="em andamento">
      <formula>NOT(ISERROR(SEARCH("em andamento",P744)))</formula>
    </cfRule>
    <cfRule type="containsText" dxfId="1864" priority="10359" operator="containsText" text="Lançado">
      <formula>NOT(ISERROR(SEARCH("Lançado",P744)))</formula>
    </cfRule>
    <cfRule type="expression" dxfId="1863" priority="10358">
      <formula>$H744="ETAPA"</formula>
    </cfRule>
    <cfRule type="expression" dxfId="1862" priority="10356">
      <formula>$H744="SUBETAPA"</formula>
    </cfRule>
  </conditionalFormatting>
  <conditionalFormatting sqref="P746">
    <cfRule type="expression" dxfId="1861" priority="2908">
      <formula>$H746="CÉLULA CONSTRUTIVA"</formula>
    </cfRule>
    <cfRule type="containsText" dxfId="1860" priority="2911" operator="containsText" text="N/A">
      <formula>NOT(ISERROR(SEARCH("N/A",P746)))</formula>
    </cfRule>
    <cfRule type="expression" dxfId="1859" priority="2909">
      <formula>$H746="ETAPA"</formula>
    </cfRule>
    <cfRule type="containsText" dxfId="1858" priority="2910" operator="containsText" text="Lançado">
      <formula>NOT(ISERROR(SEARCH("Lançado",P746)))</formula>
    </cfRule>
    <cfRule type="containsText" dxfId="1857" priority="2912" operator="containsText" text="Pendente">
      <formula>NOT(ISERROR(SEARCH("Pendente",P746)))</formula>
    </cfRule>
    <cfRule type="containsText" dxfId="1856" priority="2913" operator="containsText" text="Finalizado">
      <formula>NOT(ISERROR(SEARCH("Finalizado",P746)))</formula>
    </cfRule>
    <cfRule type="containsText" dxfId="1855" priority="2914" operator="containsText" text="em andamento">
      <formula>NOT(ISERROR(SEARCH("em andamento",P746)))</formula>
    </cfRule>
    <cfRule type="expression" dxfId="1854" priority="2907">
      <formula>$H746="SUBETAPA"</formula>
    </cfRule>
  </conditionalFormatting>
  <conditionalFormatting sqref="P749:P750">
    <cfRule type="expression" dxfId="1853" priority="10349">
      <formula>$H749="CÉLULA CONSTRUTIVA"</formula>
    </cfRule>
    <cfRule type="containsText" dxfId="1852" priority="10351" operator="containsText" text="Lançado">
      <formula>NOT(ISERROR(SEARCH("Lançado",P749)))</formula>
    </cfRule>
    <cfRule type="containsText" dxfId="1851" priority="10352" operator="containsText" text="N/A">
      <formula>NOT(ISERROR(SEARCH("N/A",P749)))</formula>
    </cfRule>
    <cfRule type="containsText" dxfId="1850" priority="10353" operator="containsText" text="Pendente">
      <formula>NOT(ISERROR(SEARCH("Pendente",P749)))</formula>
    </cfRule>
    <cfRule type="containsText" dxfId="1849" priority="10354" operator="containsText" text="Finalizado">
      <formula>NOT(ISERROR(SEARCH("Finalizado",P749)))</formula>
    </cfRule>
    <cfRule type="containsText" dxfId="1848" priority="10355" operator="containsText" text="em andamento">
      <formula>NOT(ISERROR(SEARCH("em andamento",P749)))</formula>
    </cfRule>
    <cfRule type="expression" dxfId="1847" priority="10350">
      <formula>$H749="ETAPA"</formula>
    </cfRule>
    <cfRule type="expression" dxfId="1846" priority="10348">
      <formula>$H749="SUBETAPA"</formula>
    </cfRule>
  </conditionalFormatting>
  <conditionalFormatting sqref="P751:P752">
    <cfRule type="containsText" dxfId="1845" priority="10344" operator="containsText" text="N/A">
      <formula>NOT(ISERROR(SEARCH("N/A",P751)))</formula>
    </cfRule>
    <cfRule type="containsText" dxfId="1844" priority="10343" operator="containsText" text="Lançado">
      <formula>NOT(ISERROR(SEARCH("Lançado",P751)))</formula>
    </cfRule>
    <cfRule type="containsText" dxfId="1843" priority="10346" operator="containsText" text="Finalizado">
      <formula>NOT(ISERROR(SEARCH("Finalizado",P751)))</formula>
    </cfRule>
    <cfRule type="containsText" dxfId="1842" priority="10345" operator="containsText" text="Pendente">
      <formula>NOT(ISERROR(SEARCH("Pendente",P751)))</formula>
    </cfRule>
    <cfRule type="expression" dxfId="1841" priority="10340">
      <formula>$H751="SUBETAPA"</formula>
    </cfRule>
    <cfRule type="containsText" dxfId="1840" priority="10347" operator="containsText" text="em andamento">
      <formula>NOT(ISERROR(SEARCH("em andamento",P751)))</formula>
    </cfRule>
    <cfRule type="expression" dxfId="1839" priority="10342">
      <formula>$H751="ETAPA"</formula>
    </cfRule>
    <cfRule type="expression" dxfId="1838" priority="10341">
      <formula>$H751="CÉLULA CONSTRUTIVA"</formula>
    </cfRule>
  </conditionalFormatting>
  <conditionalFormatting sqref="P753">
    <cfRule type="containsText" dxfId="1837" priority="11039" operator="containsText" text="Finalizado">
      <formula>NOT(ISERROR(SEARCH("Finalizado",P753)))</formula>
    </cfRule>
    <cfRule type="containsText" dxfId="1836" priority="11038" operator="containsText" text="Pendente">
      <formula>NOT(ISERROR(SEARCH("Pendente",P753)))</formula>
    </cfRule>
    <cfRule type="containsText" dxfId="1835" priority="11036" operator="containsText" text="Lançado">
      <formula>NOT(ISERROR(SEARCH("Lançado",P753)))</formula>
    </cfRule>
    <cfRule type="containsText" dxfId="1834" priority="11037" operator="containsText" text="N/A">
      <formula>NOT(ISERROR(SEARCH("N/A",P753)))</formula>
    </cfRule>
    <cfRule type="containsText" dxfId="1833" priority="11040" operator="containsText" text="em andamento">
      <formula>NOT(ISERROR(SEARCH("em andamento",P753)))</formula>
    </cfRule>
  </conditionalFormatting>
  <conditionalFormatting sqref="P754:P755">
    <cfRule type="expression" dxfId="1832" priority="10332">
      <formula>$H754="SUBETAPA"</formula>
    </cfRule>
    <cfRule type="containsText" dxfId="1831" priority="10335" operator="containsText" text="Lançado">
      <formula>NOT(ISERROR(SEARCH("Lançado",P754)))</formula>
    </cfRule>
    <cfRule type="expression" dxfId="1830" priority="10333">
      <formula>$H754="CÉLULA CONSTRUTIVA"</formula>
    </cfRule>
    <cfRule type="containsText" dxfId="1829" priority="10339" operator="containsText" text="em andamento">
      <formula>NOT(ISERROR(SEARCH("em andamento",P754)))</formula>
    </cfRule>
    <cfRule type="containsText" dxfId="1828" priority="10337" operator="containsText" text="Pendente">
      <formula>NOT(ISERROR(SEARCH("Pendente",P754)))</formula>
    </cfRule>
    <cfRule type="expression" dxfId="1827" priority="10334">
      <formula>$H754="ETAPA"</formula>
    </cfRule>
    <cfRule type="containsText" dxfId="1826" priority="10338" operator="containsText" text="Finalizado">
      <formula>NOT(ISERROR(SEARCH("Finalizado",P754)))</formula>
    </cfRule>
    <cfRule type="containsText" dxfId="1825" priority="10336" operator="containsText" text="N/A">
      <formula>NOT(ISERROR(SEARCH("N/A",P754)))</formula>
    </cfRule>
  </conditionalFormatting>
  <conditionalFormatting sqref="P756">
    <cfRule type="containsText" dxfId="1824" priority="11026" operator="containsText" text="N/A">
      <formula>NOT(ISERROR(SEARCH("N/A",P756)))</formula>
    </cfRule>
    <cfRule type="containsText" dxfId="1823" priority="11025" operator="containsText" text="Lançado">
      <formula>NOT(ISERROR(SEARCH("Lançado",P756)))</formula>
    </cfRule>
    <cfRule type="containsText" dxfId="1822" priority="11027" operator="containsText" text="Pendente">
      <formula>NOT(ISERROR(SEARCH("Pendente",P756)))</formula>
    </cfRule>
    <cfRule type="containsText" dxfId="1821" priority="11028" operator="containsText" text="Finalizado">
      <formula>NOT(ISERROR(SEARCH("Finalizado",P756)))</formula>
    </cfRule>
    <cfRule type="containsText" dxfId="1820" priority="11029" operator="containsText" text="em andamento">
      <formula>NOT(ISERROR(SEARCH("em andamento",P756)))</formula>
    </cfRule>
  </conditionalFormatting>
  <conditionalFormatting sqref="P757">
    <cfRule type="expression" dxfId="1819" priority="10325">
      <formula>$H757="CÉLULA CONSTRUTIVA"</formula>
    </cfRule>
    <cfRule type="expression" dxfId="1818" priority="10324">
      <formula>$H757="SUBETAPA"</formula>
    </cfRule>
    <cfRule type="containsText" dxfId="1817" priority="10330" operator="containsText" text="Finalizado">
      <formula>NOT(ISERROR(SEARCH("Finalizado",P757)))</formula>
    </cfRule>
    <cfRule type="containsText" dxfId="1816" priority="10329" operator="containsText" text="Pendente">
      <formula>NOT(ISERROR(SEARCH("Pendente",P757)))</formula>
    </cfRule>
    <cfRule type="containsText" dxfId="1815" priority="10328" operator="containsText" text="N/A">
      <formula>NOT(ISERROR(SEARCH("N/A",P757)))</formula>
    </cfRule>
    <cfRule type="containsText" dxfId="1814" priority="10331" operator="containsText" text="em andamento">
      <formula>NOT(ISERROR(SEARCH("em andamento",P757)))</formula>
    </cfRule>
    <cfRule type="containsText" dxfId="1813" priority="10327" operator="containsText" text="Lançado">
      <formula>NOT(ISERROR(SEARCH("Lançado",P757)))</formula>
    </cfRule>
    <cfRule type="expression" dxfId="1812" priority="10326">
      <formula>$H757="ETAPA"</formula>
    </cfRule>
  </conditionalFormatting>
  <conditionalFormatting sqref="P758">
    <cfRule type="containsText" dxfId="1811" priority="1609" operator="containsText" text="em andamento">
      <formula>NOT(ISERROR(SEARCH("em andamento",P758)))</formula>
    </cfRule>
    <cfRule type="containsText" dxfId="1810" priority="1608" operator="containsText" text="Finalizado">
      <formula>NOT(ISERROR(SEARCH("Finalizado",P758)))</formula>
    </cfRule>
    <cfRule type="containsText" dxfId="1809" priority="1607" operator="containsText" text="Pendente">
      <formula>NOT(ISERROR(SEARCH("Pendente",P758)))</formula>
    </cfRule>
    <cfRule type="containsText" dxfId="1808" priority="1606" operator="containsText" text="N/A">
      <formula>NOT(ISERROR(SEARCH("N/A",P758)))</formula>
    </cfRule>
    <cfRule type="containsText" dxfId="1807" priority="1605" operator="containsText" text="Lançado">
      <formula>NOT(ISERROR(SEARCH("Lançado",P758)))</formula>
    </cfRule>
  </conditionalFormatting>
  <conditionalFormatting sqref="P759:P760 P765">
    <cfRule type="containsText" dxfId="1806" priority="11108" operator="containsText" text="Lançado">
      <formula>NOT(ISERROR(SEARCH("Lançado",P759)))</formula>
    </cfRule>
    <cfRule type="containsText" dxfId="1805" priority="11109" operator="containsText" text="N/A">
      <formula>NOT(ISERROR(SEARCH("N/A",P759)))</formula>
    </cfRule>
  </conditionalFormatting>
  <conditionalFormatting sqref="P761:P764">
    <cfRule type="expression" dxfId="1804" priority="10316">
      <formula>$H761="SUBETAPA"</formula>
    </cfRule>
    <cfRule type="containsText" dxfId="1803" priority="10323" operator="containsText" text="em andamento">
      <formula>NOT(ISERROR(SEARCH("em andamento",P761)))</formula>
    </cfRule>
    <cfRule type="containsText" dxfId="1802" priority="10322" operator="containsText" text="Finalizado">
      <formula>NOT(ISERROR(SEARCH("Finalizado",P761)))</formula>
    </cfRule>
    <cfRule type="containsText" dxfId="1801" priority="10320" operator="containsText" text="N/A">
      <formula>NOT(ISERROR(SEARCH("N/A",P761)))</formula>
    </cfRule>
    <cfRule type="containsText" dxfId="1800" priority="10319" operator="containsText" text="Lançado">
      <formula>NOT(ISERROR(SEARCH("Lançado",P761)))</formula>
    </cfRule>
    <cfRule type="expression" dxfId="1799" priority="10317">
      <formula>$H761="CÉLULA CONSTRUTIVA"</formula>
    </cfRule>
    <cfRule type="expression" dxfId="1798" priority="10318">
      <formula>$H761="ETAPA"</formula>
    </cfRule>
    <cfRule type="containsText" dxfId="1797" priority="10321" operator="containsText" text="Pendente">
      <formula>NOT(ISERROR(SEARCH("Pendente",P761)))</formula>
    </cfRule>
  </conditionalFormatting>
  <conditionalFormatting sqref="P765 P759:P760">
    <cfRule type="containsText" dxfId="1796" priority="11110" operator="containsText" text="Pendente">
      <formula>NOT(ISERROR(SEARCH("Pendente",P759)))</formula>
    </cfRule>
    <cfRule type="containsText" dxfId="1795" priority="11112" operator="containsText" text="em andamento">
      <formula>NOT(ISERROR(SEARCH("em andamento",P759)))</formula>
    </cfRule>
    <cfRule type="containsText" dxfId="1794" priority="11111" operator="containsText" text="Finalizado">
      <formula>NOT(ISERROR(SEARCH("Finalizado",P759)))</formula>
    </cfRule>
  </conditionalFormatting>
  <conditionalFormatting sqref="P766:P767">
    <cfRule type="containsText" dxfId="1793" priority="10314" operator="containsText" text="Finalizado">
      <formula>NOT(ISERROR(SEARCH("Finalizado",P766)))</formula>
    </cfRule>
    <cfRule type="expression" dxfId="1792" priority="10308">
      <formula>$H766="SUBETAPA"</formula>
    </cfRule>
    <cfRule type="expression" dxfId="1791" priority="10309">
      <formula>$H766="CÉLULA CONSTRUTIVA"</formula>
    </cfRule>
    <cfRule type="containsText" dxfId="1790" priority="10311" operator="containsText" text="Lançado">
      <formula>NOT(ISERROR(SEARCH("Lançado",P766)))</formula>
    </cfRule>
    <cfRule type="expression" dxfId="1789" priority="10310">
      <formula>$H766="ETAPA"</formula>
    </cfRule>
    <cfRule type="containsText" dxfId="1788" priority="10313" operator="containsText" text="Pendente">
      <formula>NOT(ISERROR(SEARCH("Pendente",P766)))</formula>
    </cfRule>
    <cfRule type="containsText" dxfId="1787" priority="10315" operator="containsText" text="em andamento">
      <formula>NOT(ISERROR(SEARCH("em andamento",P766)))</formula>
    </cfRule>
    <cfRule type="containsText" dxfId="1786" priority="10312" operator="containsText" text="N/A">
      <formula>NOT(ISERROR(SEARCH("N/A",P766)))</formula>
    </cfRule>
  </conditionalFormatting>
  <conditionalFormatting sqref="P768:P769">
    <cfRule type="expression" dxfId="1785" priority="10301">
      <formula>$H768="CÉLULA CONSTRUTIVA"</formula>
    </cfRule>
    <cfRule type="expression" dxfId="1784" priority="10302">
      <formula>$H768="ETAPA"</formula>
    </cfRule>
    <cfRule type="containsText" dxfId="1783" priority="10303" operator="containsText" text="Lançado">
      <formula>NOT(ISERROR(SEARCH("Lançado",P768)))</formula>
    </cfRule>
    <cfRule type="containsText" dxfId="1782" priority="10304" operator="containsText" text="N/A">
      <formula>NOT(ISERROR(SEARCH("N/A",P768)))</formula>
    </cfRule>
    <cfRule type="containsText" dxfId="1781" priority="10305" operator="containsText" text="Pendente">
      <formula>NOT(ISERROR(SEARCH("Pendente",P768)))</formula>
    </cfRule>
    <cfRule type="containsText" dxfId="1780" priority="10306" operator="containsText" text="Finalizado">
      <formula>NOT(ISERROR(SEARCH("Finalizado",P768)))</formula>
    </cfRule>
    <cfRule type="containsText" dxfId="1779" priority="10307" operator="containsText" text="em andamento">
      <formula>NOT(ISERROR(SEARCH("em andamento",P768)))</formula>
    </cfRule>
    <cfRule type="expression" dxfId="1778" priority="10300">
      <formula>$H768="SUBETAPA"</formula>
    </cfRule>
  </conditionalFormatting>
  <conditionalFormatting sqref="P770">
    <cfRule type="containsText" dxfId="1777" priority="11084" operator="containsText" text="N/A">
      <formula>NOT(ISERROR(SEARCH("N/A",P770)))</formula>
    </cfRule>
    <cfRule type="containsText" dxfId="1776" priority="11086" operator="containsText" text="Finalizado">
      <formula>NOT(ISERROR(SEARCH("Finalizado",P770)))</formula>
    </cfRule>
    <cfRule type="containsText" dxfId="1775" priority="11087" operator="containsText" text="em andamento">
      <formula>NOT(ISERROR(SEARCH("em andamento",P770)))</formula>
    </cfRule>
    <cfRule type="containsText" dxfId="1774" priority="11085" operator="containsText" text="Pendente">
      <formula>NOT(ISERROR(SEARCH("Pendente",P770)))</formula>
    </cfRule>
    <cfRule type="containsText" dxfId="1773" priority="11083" operator="containsText" text="Lançado">
      <formula>NOT(ISERROR(SEARCH("Lançado",P770)))</formula>
    </cfRule>
  </conditionalFormatting>
  <conditionalFormatting sqref="P771:P772">
    <cfRule type="containsText" dxfId="1772" priority="10290" operator="containsText" text="Finalizado">
      <formula>NOT(ISERROR(SEARCH("Finalizado",P771)))</formula>
    </cfRule>
    <cfRule type="containsText" dxfId="1771" priority="10289" operator="containsText" text="Pendente">
      <formula>NOT(ISERROR(SEARCH("Pendente",P771)))</formula>
    </cfRule>
    <cfRule type="containsText" dxfId="1770" priority="10288" operator="containsText" text="N/A">
      <formula>NOT(ISERROR(SEARCH("N/A",P771)))</formula>
    </cfRule>
    <cfRule type="containsText" dxfId="1769" priority="10287" operator="containsText" text="Lançado">
      <formula>NOT(ISERROR(SEARCH("Lançado",P771)))</formula>
    </cfRule>
    <cfRule type="containsText" dxfId="1768" priority="10291" operator="containsText" text="em andamento">
      <formula>NOT(ISERROR(SEARCH("em andamento",P771)))</formula>
    </cfRule>
    <cfRule type="expression" dxfId="1767" priority="10286">
      <formula>$H771="ETAPA"</formula>
    </cfRule>
    <cfRule type="expression" dxfId="1766" priority="10285">
      <formula>$H771="CÉLULA CONSTRUTIVA"</formula>
    </cfRule>
    <cfRule type="expression" dxfId="1765" priority="10284">
      <formula>$H771="SUBETAPA"</formula>
    </cfRule>
  </conditionalFormatting>
  <conditionalFormatting sqref="P773">
    <cfRule type="containsText" dxfId="1764" priority="10298" operator="containsText" text="Finalizado">
      <formula>NOT(ISERROR(SEARCH("Finalizado",P773)))</formula>
    </cfRule>
    <cfRule type="expression" dxfId="1763" priority="10292">
      <formula>$H773="SUBETAPA"</formula>
    </cfRule>
    <cfRule type="expression" dxfId="1762" priority="10293">
      <formula>$H773="CÉLULA CONSTRUTIVA"</formula>
    </cfRule>
    <cfRule type="expression" dxfId="1761" priority="10294">
      <formula>$H773="ETAPA"</formula>
    </cfRule>
    <cfRule type="containsText" dxfId="1760" priority="10295" operator="containsText" text="Lançado">
      <formula>NOT(ISERROR(SEARCH("Lançado",P773)))</formula>
    </cfRule>
    <cfRule type="containsText" dxfId="1759" priority="10299" operator="containsText" text="em andamento">
      <formula>NOT(ISERROR(SEARCH("em andamento",P773)))</formula>
    </cfRule>
    <cfRule type="containsText" dxfId="1758" priority="10297" operator="containsText" text="Pendente">
      <formula>NOT(ISERROR(SEARCH("Pendente",P773)))</formula>
    </cfRule>
    <cfRule type="containsText" dxfId="1757" priority="10296" operator="containsText" text="N/A">
      <formula>NOT(ISERROR(SEARCH("N/A",P773)))</formula>
    </cfRule>
  </conditionalFormatting>
  <conditionalFormatting sqref="P774">
    <cfRule type="containsText" dxfId="1756" priority="10281" operator="containsText" text="Pendente">
      <formula>NOT(ISERROR(SEARCH("Pendente",P774)))</formula>
    </cfRule>
    <cfRule type="containsText" dxfId="1755" priority="10282" operator="containsText" text="Finalizado">
      <formula>NOT(ISERROR(SEARCH("Finalizado",P774)))</formula>
    </cfRule>
    <cfRule type="expression" dxfId="1754" priority="10278">
      <formula>$H774="ETAPA"</formula>
    </cfRule>
    <cfRule type="containsText" dxfId="1753" priority="10283" operator="containsText" text="em andamento">
      <formula>NOT(ISERROR(SEARCH("em andamento",P774)))</formula>
    </cfRule>
    <cfRule type="containsText" dxfId="1752" priority="10280" operator="containsText" text="N/A">
      <formula>NOT(ISERROR(SEARCH("N/A",P774)))</formula>
    </cfRule>
    <cfRule type="expression" dxfId="1751" priority="10276">
      <formula>$H774="SUBETAPA"</formula>
    </cfRule>
    <cfRule type="containsText" dxfId="1750" priority="10279" operator="containsText" text="Lançado">
      <formula>NOT(ISERROR(SEARCH("Lançado",P774)))</formula>
    </cfRule>
    <cfRule type="expression" dxfId="1749" priority="10277">
      <formula>$H774="CÉLULA CONSTRUTIVA"</formula>
    </cfRule>
  </conditionalFormatting>
  <conditionalFormatting sqref="P775">
    <cfRule type="containsText" dxfId="1748" priority="1617" operator="containsText" text="em andamento">
      <formula>NOT(ISERROR(SEARCH("em andamento",P775)))</formula>
    </cfRule>
    <cfRule type="containsText" dxfId="1747" priority="1615" operator="containsText" text="Pendente">
      <formula>NOT(ISERROR(SEARCH("Pendente",P775)))</formula>
    </cfRule>
    <cfRule type="containsText" dxfId="1746" priority="1614" operator="containsText" text="N/A">
      <formula>NOT(ISERROR(SEARCH("N/A",P775)))</formula>
    </cfRule>
    <cfRule type="containsText" dxfId="1745" priority="1613" operator="containsText" text="Lançado">
      <formula>NOT(ISERROR(SEARCH("Lançado",P775)))</formula>
    </cfRule>
    <cfRule type="containsText" dxfId="1744" priority="1616" operator="containsText" text="Finalizado">
      <formula>NOT(ISERROR(SEARCH("Finalizado",P775)))</formula>
    </cfRule>
  </conditionalFormatting>
  <conditionalFormatting sqref="P776:P777 P783">
    <cfRule type="containsText" dxfId="1743" priority="11156" operator="containsText" text="N/A">
      <formula>NOT(ISERROR(SEARCH("N/A",P776)))</formula>
    </cfRule>
    <cfRule type="containsText" dxfId="1742" priority="11159" operator="containsText" text="em andamento">
      <formula>NOT(ISERROR(SEARCH("em andamento",P776)))</formula>
    </cfRule>
    <cfRule type="containsText" dxfId="1741" priority="11157" operator="containsText" text="Pendente">
      <formula>NOT(ISERROR(SEARCH("Pendente",P776)))</formula>
    </cfRule>
    <cfRule type="containsText" dxfId="1740" priority="11158" operator="containsText" text="Finalizado">
      <formula>NOT(ISERROR(SEARCH("Finalizado",P776)))</formula>
    </cfRule>
    <cfRule type="containsText" dxfId="1739" priority="11155" operator="containsText" text="Lançado">
      <formula>NOT(ISERROR(SEARCH("Lançado",P776)))</formula>
    </cfRule>
  </conditionalFormatting>
  <conditionalFormatting sqref="P778:P782">
    <cfRule type="expression" dxfId="1738" priority="10270">
      <formula>$H778="ETAPA"</formula>
    </cfRule>
    <cfRule type="containsText" dxfId="1737" priority="10274" operator="containsText" text="Finalizado">
      <formula>NOT(ISERROR(SEARCH("Finalizado",P778)))</formula>
    </cfRule>
    <cfRule type="expression" dxfId="1736" priority="10269">
      <formula>$H778="CÉLULA CONSTRUTIVA"</formula>
    </cfRule>
    <cfRule type="containsText" dxfId="1735" priority="10271" operator="containsText" text="Lançado">
      <formula>NOT(ISERROR(SEARCH("Lançado",P778)))</formula>
    </cfRule>
    <cfRule type="containsText" dxfId="1734" priority="10272" operator="containsText" text="N/A">
      <formula>NOT(ISERROR(SEARCH("N/A",P778)))</formula>
    </cfRule>
    <cfRule type="containsText" dxfId="1733" priority="10273" operator="containsText" text="Pendente">
      <formula>NOT(ISERROR(SEARCH("Pendente",P778)))</formula>
    </cfRule>
    <cfRule type="containsText" dxfId="1732" priority="10275" operator="containsText" text="em andamento">
      <formula>NOT(ISERROR(SEARCH("em andamento",P778)))</formula>
    </cfRule>
    <cfRule type="expression" dxfId="1731" priority="10268">
      <formula>$H778="SUBETAPA"</formula>
    </cfRule>
  </conditionalFormatting>
  <conditionalFormatting sqref="P784:P787">
    <cfRule type="expression" dxfId="1730" priority="10260">
      <formula>$H784="SUBETAPA"</formula>
    </cfRule>
    <cfRule type="expression" dxfId="1729" priority="10262">
      <formula>$H784="ETAPA"</formula>
    </cfRule>
    <cfRule type="containsText" dxfId="1728" priority="10265" operator="containsText" text="Pendente">
      <formula>NOT(ISERROR(SEARCH("Pendente",P784)))</formula>
    </cfRule>
    <cfRule type="containsText" dxfId="1727" priority="10267" operator="containsText" text="em andamento">
      <formula>NOT(ISERROR(SEARCH("em andamento",P784)))</formula>
    </cfRule>
    <cfRule type="containsText" dxfId="1726" priority="10264" operator="containsText" text="N/A">
      <formula>NOT(ISERROR(SEARCH("N/A",P784)))</formula>
    </cfRule>
    <cfRule type="containsText" dxfId="1725" priority="10263" operator="containsText" text="Lançado">
      <formula>NOT(ISERROR(SEARCH("Lançado",P784)))</formula>
    </cfRule>
    <cfRule type="containsText" dxfId="1724" priority="10266" operator="containsText" text="Finalizado">
      <formula>NOT(ISERROR(SEARCH("Finalizado",P784)))</formula>
    </cfRule>
    <cfRule type="expression" dxfId="1723" priority="10261">
      <formula>$H784="CÉLULA CONSTRUTIVA"</formula>
    </cfRule>
  </conditionalFormatting>
  <conditionalFormatting sqref="P788">
    <cfRule type="containsText" dxfId="1722" priority="11132" operator="containsText" text="Pendente">
      <formula>NOT(ISERROR(SEARCH("Pendente",P788)))</formula>
    </cfRule>
    <cfRule type="containsText" dxfId="1721" priority="11133" operator="containsText" text="Finalizado">
      <formula>NOT(ISERROR(SEARCH("Finalizado",P788)))</formula>
    </cfRule>
    <cfRule type="containsText" dxfId="1720" priority="11130" operator="containsText" text="Lançado">
      <formula>NOT(ISERROR(SEARCH("Lançado",P788)))</formula>
    </cfRule>
    <cfRule type="containsText" dxfId="1719" priority="11134" operator="containsText" text="em andamento">
      <formula>NOT(ISERROR(SEARCH("em andamento",P788)))</formula>
    </cfRule>
    <cfRule type="containsText" dxfId="1718" priority="11131" operator="containsText" text="N/A">
      <formula>NOT(ISERROR(SEARCH("N/A",P788)))</formula>
    </cfRule>
  </conditionalFormatting>
  <conditionalFormatting sqref="P789">
    <cfRule type="containsText" dxfId="1717" priority="10247" operator="containsText" text="Lançado">
      <formula>NOT(ISERROR(SEARCH("Lançado",P789)))</formula>
    </cfRule>
    <cfRule type="containsText" dxfId="1716" priority="10250" operator="containsText" text="Finalizado">
      <formula>NOT(ISERROR(SEARCH("Finalizado",P789)))</formula>
    </cfRule>
    <cfRule type="containsText" dxfId="1715" priority="10248" operator="containsText" text="N/A">
      <formula>NOT(ISERROR(SEARCH("N/A",P789)))</formula>
    </cfRule>
    <cfRule type="expression" dxfId="1714" priority="10246">
      <formula>$H789="ETAPA"</formula>
    </cfRule>
    <cfRule type="expression" dxfId="1713" priority="10245">
      <formula>$H789="CÉLULA CONSTRUTIVA"</formula>
    </cfRule>
    <cfRule type="containsText" dxfId="1712" priority="10249" operator="containsText" text="Pendente">
      <formula>NOT(ISERROR(SEARCH("Pendente",P789)))</formula>
    </cfRule>
    <cfRule type="expression" dxfId="1711" priority="10244">
      <formula>$H789="SUBETAPA"</formula>
    </cfRule>
    <cfRule type="containsText" dxfId="1710" priority="10251" operator="containsText" text="em andamento">
      <formula>NOT(ISERROR(SEARCH("em andamento",P789)))</formula>
    </cfRule>
  </conditionalFormatting>
  <conditionalFormatting sqref="P790">
    <cfRule type="containsText" dxfId="1709" priority="10259" operator="containsText" text="em andamento">
      <formula>NOT(ISERROR(SEARCH("em andamento",P790)))</formula>
    </cfRule>
    <cfRule type="containsText" dxfId="1708" priority="10258" operator="containsText" text="Finalizado">
      <formula>NOT(ISERROR(SEARCH("Finalizado",P790)))</formula>
    </cfRule>
    <cfRule type="containsText" dxfId="1707" priority="10257" operator="containsText" text="Pendente">
      <formula>NOT(ISERROR(SEARCH("Pendente",P790)))</formula>
    </cfRule>
    <cfRule type="containsText" dxfId="1706" priority="10256" operator="containsText" text="N/A">
      <formula>NOT(ISERROR(SEARCH("N/A",P790)))</formula>
    </cfRule>
    <cfRule type="containsText" dxfId="1705" priority="10255" operator="containsText" text="Lançado">
      <formula>NOT(ISERROR(SEARCH("Lançado",P790)))</formula>
    </cfRule>
    <cfRule type="expression" dxfId="1704" priority="10254">
      <formula>$H790="ETAPA"</formula>
    </cfRule>
    <cfRule type="expression" dxfId="1703" priority="10253">
      <formula>$H790="CÉLULA CONSTRUTIVA"</formula>
    </cfRule>
    <cfRule type="expression" dxfId="1702" priority="10252">
      <formula>$H790="SUBETAPA"</formula>
    </cfRule>
  </conditionalFormatting>
  <conditionalFormatting sqref="P791">
    <cfRule type="containsText" dxfId="1701" priority="10240" operator="containsText" text="N/A">
      <formula>NOT(ISERROR(SEARCH("N/A",P791)))</formula>
    </cfRule>
    <cfRule type="containsText" dxfId="1700" priority="10241" operator="containsText" text="Pendente">
      <formula>NOT(ISERROR(SEARCH("Pendente",P791)))</formula>
    </cfRule>
    <cfRule type="containsText" dxfId="1699" priority="10242" operator="containsText" text="Finalizado">
      <formula>NOT(ISERROR(SEARCH("Finalizado",P791)))</formula>
    </cfRule>
    <cfRule type="containsText" dxfId="1698" priority="10243" operator="containsText" text="em andamento">
      <formula>NOT(ISERROR(SEARCH("em andamento",P791)))</formula>
    </cfRule>
    <cfRule type="containsText" dxfId="1697" priority="10239" operator="containsText" text="Lançado">
      <formula>NOT(ISERROR(SEARCH("Lançado",P791)))</formula>
    </cfRule>
    <cfRule type="expression" dxfId="1696" priority="10238">
      <formula>$H791="ETAPA"</formula>
    </cfRule>
    <cfRule type="expression" dxfId="1695" priority="10237">
      <formula>$H791="CÉLULA CONSTRUTIVA"</formula>
    </cfRule>
    <cfRule type="expression" dxfId="1694" priority="10236">
      <formula>$H791="SUBETAPA"</formula>
    </cfRule>
  </conditionalFormatting>
  <conditionalFormatting sqref="P792">
    <cfRule type="containsText" dxfId="1693" priority="1623" operator="containsText" text="Pendente">
      <formula>NOT(ISERROR(SEARCH("Pendente",P792)))</formula>
    </cfRule>
    <cfRule type="containsText" dxfId="1692" priority="1622" operator="containsText" text="N/A">
      <formula>NOT(ISERROR(SEARCH("N/A",P792)))</formula>
    </cfRule>
    <cfRule type="containsText" dxfId="1691" priority="1621" operator="containsText" text="Lançado">
      <formula>NOT(ISERROR(SEARCH("Lançado",P792)))</formula>
    </cfRule>
    <cfRule type="containsText" dxfId="1690" priority="1625" operator="containsText" text="em andamento">
      <formula>NOT(ISERROR(SEARCH("em andamento",P792)))</formula>
    </cfRule>
    <cfRule type="containsText" dxfId="1689" priority="1624" operator="containsText" text="Finalizado">
      <formula>NOT(ISERROR(SEARCH("Finalizado",P792)))</formula>
    </cfRule>
  </conditionalFormatting>
  <conditionalFormatting sqref="P795">
    <cfRule type="expression" dxfId="1688" priority="10229">
      <formula>$H795="CÉLULA CONSTRUTIVA"</formula>
    </cfRule>
    <cfRule type="expression" dxfId="1687" priority="10230">
      <formula>$H795="ETAPA"</formula>
    </cfRule>
    <cfRule type="containsText" dxfId="1686" priority="10231" operator="containsText" text="Lançado">
      <formula>NOT(ISERROR(SEARCH("Lançado",P795)))</formula>
    </cfRule>
    <cfRule type="containsText" dxfId="1685" priority="10233" operator="containsText" text="Pendente">
      <formula>NOT(ISERROR(SEARCH("Pendente",P795)))</formula>
    </cfRule>
    <cfRule type="containsText" dxfId="1684" priority="10234" operator="containsText" text="Finalizado">
      <formula>NOT(ISERROR(SEARCH("Finalizado",P795)))</formula>
    </cfRule>
    <cfRule type="containsText" dxfId="1683" priority="10235" operator="containsText" text="em andamento">
      <formula>NOT(ISERROR(SEARCH("em andamento",P795)))</formula>
    </cfRule>
    <cfRule type="containsText" dxfId="1682" priority="10232" operator="containsText" text="N/A">
      <formula>NOT(ISERROR(SEARCH("N/A",P795)))</formula>
    </cfRule>
    <cfRule type="expression" dxfId="1681" priority="10228">
      <formula>$H795="SUBETAPA"</formula>
    </cfRule>
  </conditionalFormatting>
  <conditionalFormatting sqref="P796:P797">
    <cfRule type="containsText" dxfId="1680" priority="2893" operator="containsText" text="Lançado">
      <formula>NOT(ISERROR(SEARCH("Lançado",P796)))</formula>
    </cfRule>
    <cfRule type="containsText" dxfId="1679" priority="2894" operator="containsText" text="N/A">
      <formula>NOT(ISERROR(SEARCH("N/A",P796)))</formula>
    </cfRule>
    <cfRule type="containsText" dxfId="1678" priority="2895" operator="containsText" text="Pendente">
      <formula>NOT(ISERROR(SEARCH("Pendente",P796)))</formula>
    </cfRule>
    <cfRule type="containsText" dxfId="1677" priority="2896" operator="containsText" text="Finalizado">
      <formula>NOT(ISERROR(SEARCH("Finalizado",P796)))</formula>
    </cfRule>
    <cfRule type="containsText" dxfId="1676" priority="2897" operator="containsText" text="em andamento">
      <formula>NOT(ISERROR(SEARCH("em andamento",P796)))</formula>
    </cfRule>
    <cfRule type="expression" dxfId="1675" priority="2890">
      <formula>$H796="SUBETAPA"</formula>
    </cfRule>
    <cfRule type="expression" dxfId="1674" priority="2891">
      <formula>$H796="CÉLULA CONSTRUTIVA"</formula>
    </cfRule>
    <cfRule type="expression" dxfId="1673" priority="2892">
      <formula>$H796="ETAPA"</formula>
    </cfRule>
  </conditionalFormatting>
  <conditionalFormatting sqref="P799:P801">
    <cfRule type="containsText" dxfId="1672" priority="2850" operator="containsText" text="Finalizado">
      <formula>NOT(ISERROR(SEARCH("Finalizado",P799)))</formula>
    </cfRule>
    <cfRule type="expression" dxfId="1671" priority="2844">
      <formula>$H799="SUBETAPA"</formula>
    </cfRule>
    <cfRule type="containsText" dxfId="1670" priority="2849" operator="containsText" text="Pendente">
      <formula>NOT(ISERROR(SEARCH("Pendente",P799)))</formula>
    </cfRule>
    <cfRule type="containsText" dxfId="1669" priority="2851" operator="containsText" text="em andamento">
      <formula>NOT(ISERROR(SEARCH("em andamento",P799)))</formula>
    </cfRule>
    <cfRule type="containsText" dxfId="1668" priority="2848" operator="containsText" text="N/A">
      <formula>NOT(ISERROR(SEARCH("N/A",P799)))</formula>
    </cfRule>
    <cfRule type="expression" dxfId="1667" priority="2845">
      <formula>$H799="CÉLULA CONSTRUTIVA"</formula>
    </cfRule>
    <cfRule type="expression" dxfId="1666" priority="2846">
      <formula>$H799="ETAPA"</formula>
    </cfRule>
    <cfRule type="containsText" dxfId="1665" priority="2847" operator="containsText" text="Lançado">
      <formula>NOT(ISERROR(SEARCH("Lançado",P799)))</formula>
    </cfRule>
  </conditionalFormatting>
  <conditionalFormatting sqref="P802">
    <cfRule type="expression" dxfId="1664" priority="10222">
      <formula>$H802="ETAPA"</formula>
    </cfRule>
    <cfRule type="containsText" dxfId="1663" priority="10223" operator="containsText" text="Lançado">
      <formula>NOT(ISERROR(SEARCH("Lançado",P802)))</formula>
    </cfRule>
    <cfRule type="containsText" dxfId="1662" priority="10224" operator="containsText" text="N/A">
      <formula>NOT(ISERROR(SEARCH("N/A",P802)))</formula>
    </cfRule>
    <cfRule type="containsText" dxfId="1661" priority="10226" operator="containsText" text="Finalizado">
      <formula>NOT(ISERROR(SEARCH("Finalizado",P802)))</formula>
    </cfRule>
    <cfRule type="expression" dxfId="1660" priority="10220">
      <formula>$H802="SUBETAPA"</formula>
    </cfRule>
    <cfRule type="expression" dxfId="1659" priority="10221">
      <formula>$H802="CÉLULA CONSTRUTIVA"</formula>
    </cfRule>
    <cfRule type="containsText" dxfId="1658" priority="10225" operator="containsText" text="Pendente">
      <formula>NOT(ISERROR(SEARCH("Pendente",P802)))</formula>
    </cfRule>
    <cfRule type="containsText" dxfId="1657" priority="10227" operator="containsText" text="em andamento">
      <formula>NOT(ISERROR(SEARCH("em andamento",P802)))</formula>
    </cfRule>
  </conditionalFormatting>
  <conditionalFormatting sqref="P803">
    <cfRule type="containsText" dxfId="1656" priority="11168" operator="containsText" text="Pendente">
      <formula>NOT(ISERROR(SEARCH("Pendente",P803)))</formula>
    </cfRule>
    <cfRule type="containsText" dxfId="1655" priority="11169" operator="containsText" text="Finalizado">
      <formula>NOT(ISERROR(SEARCH("Finalizado",P803)))</formula>
    </cfRule>
    <cfRule type="containsText" dxfId="1654" priority="11170" operator="containsText" text="em andamento">
      <formula>NOT(ISERROR(SEARCH("em andamento",P803)))</formula>
    </cfRule>
    <cfRule type="containsText" dxfId="1653" priority="11166" operator="containsText" text="Lançado">
      <formula>NOT(ISERROR(SEARCH("Lançado",P803)))</formula>
    </cfRule>
    <cfRule type="containsText" dxfId="1652" priority="11167" operator="containsText" text="N/A">
      <formula>NOT(ISERROR(SEARCH("N/A",P803)))</formula>
    </cfRule>
  </conditionalFormatting>
  <conditionalFormatting sqref="P804">
    <cfRule type="containsText" dxfId="1651" priority="10211" operator="containsText" text="em andamento">
      <formula>NOT(ISERROR(SEARCH("em andamento",P804)))</formula>
    </cfRule>
    <cfRule type="expression" dxfId="1650" priority="10204">
      <formula>$H804="SUBETAPA"</formula>
    </cfRule>
    <cfRule type="containsText" dxfId="1649" priority="10210" operator="containsText" text="Finalizado">
      <formula>NOT(ISERROR(SEARCH("Finalizado",P804)))</formula>
    </cfRule>
    <cfRule type="containsText" dxfId="1648" priority="10208" operator="containsText" text="N/A">
      <formula>NOT(ISERROR(SEARCH("N/A",P804)))</formula>
    </cfRule>
    <cfRule type="containsText" dxfId="1647" priority="10207" operator="containsText" text="Lançado">
      <formula>NOT(ISERROR(SEARCH("Lançado",P804)))</formula>
    </cfRule>
    <cfRule type="expression" dxfId="1646" priority="10205">
      <formula>$H804="CÉLULA CONSTRUTIVA"</formula>
    </cfRule>
    <cfRule type="expression" dxfId="1645" priority="10206">
      <formula>$H804="ETAPA"</formula>
    </cfRule>
    <cfRule type="containsText" dxfId="1644" priority="10209" operator="containsText" text="Pendente">
      <formula>NOT(ISERROR(SEARCH("Pendente",P804)))</formula>
    </cfRule>
  </conditionalFormatting>
  <conditionalFormatting sqref="P805">
    <cfRule type="expression" dxfId="1643" priority="10214">
      <formula>$H805="ETAPA"</formula>
    </cfRule>
    <cfRule type="containsText" dxfId="1642" priority="10215" operator="containsText" text="Lançado">
      <formula>NOT(ISERROR(SEARCH("Lançado",P805)))</formula>
    </cfRule>
    <cfRule type="containsText" dxfId="1641" priority="10218" operator="containsText" text="Finalizado">
      <formula>NOT(ISERROR(SEARCH("Finalizado",P805)))</formula>
    </cfRule>
    <cfRule type="containsText" dxfId="1640" priority="10219" operator="containsText" text="em andamento">
      <formula>NOT(ISERROR(SEARCH("em andamento",P805)))</formula>
    </cfRule>
    <cfRule type="containsText" dxfId="1639" priority="10216" operator="containsText" text="N/A">
      <formula>NOT(ISERROR(SEARCH("N/A",P805)))</formula>
    </cfRule>
    <cfRule type="containsText" dxfId="1638" priority="10217" operator="containsText" text="Pendente">
      <formula>NOT(ISERROR(SEARCH("Pendente",P805)))</formula>
    </cfRule>
    <cfRule type="expression" dxfId="1637" priority="10212">
      <formula>$H805="SUBETAPA"</formula>
    </cfRule>
    <cfRule type="expression" dxfId="1636" priority="10213">
      <formula>$H805="CÉLULA CONSTRUTIVA"</formula>
    </cfRule>
  </conditionalFormatting>
  <conditionalFormatting sqref="P806">
    <cfRule type="expression" dxfId="1635" priority="10197">
      <formula>$H806="CÉLULA CONSTRUTIVA"</formula>
    </cfRule>
    <cfRule type="containsText" dxfId="1634" priority="10202" operator="containsText" text="Finalizado">
      <formula>NOT(ISERROR(SEARCH("Finalizado",P806)))</formula>
    </cfRule>
    <cfRule type="containsText" dxfId="1633" priority="10201" operator="containsText" text="Pendente">
      <formula>NOT(ISERROR(SEARCH("Pendente",P806)))</formula>
    </cfRule>
    <cfRule type="containsText" dxfId="1632" priority="10203" operator="containsText" text="em andamento">
      <formula>NOT(ISERROR(SEARCH("em andamento",P806)))</formula>
    </cfRule>
    <cfRule type="expression" dxfId="1631" priority="10196">
      <formula>$H806="SUBETAPA"</formula>
    </cfRule>
    <cfRule type="containsText" dxfId="1630" priority="10199" operator="containsText" text="Lançado">
      <formula>NOT(ISERROR(SEARCH("Lançado",P806)))</formula>
    </cfRule>
    <cfRule type="containsText" dxfId="1629" priority="10200" operator="containsText" text="N/A">
      <formula>NOT(ISERROR(SEARCH("N/A",P806)))</formula>
    </cfRule>
    <cfRule type="expression" dxfId="1628" priority="10198">
      <formula>$H806="ETAPA"</formula>
    </cfRule>
  </conditionalFormatting>
  <conditionalFormatting sqref="P807">
    <cfRule type="containsText" dxfId="1627" priority="1635" operator="containsText" text="Lançado">
      <formula>NOT(ISERROR(SEARCH("Lançado",P807)))</formula>
    </cfRule>
    <cfRule type="containsText" dxfId="1626" priority="1636" operator="containsText" text="N/A">
      <formula>NOT(ISERROR(SEARCH("N/A",P807)))</formula>
    </cfRule>
    <cfRule type="containsText" dxfId="1625" priority="1638" operator="containsText" text="Finalizado">
      <formula>NOT(ISERROR(SEARCH("Finalizado",P807)))</formula>
    </cfRule>
    <cfRule type="containsText" dxfId="1624" priority="1637" operator="containsText" text="Pendente">
      <formula>NOT(ISERROR(SEARCH("Pendente",P807)))</formula>
    </cfRule>
    <cfRule type="containsText" dxfId="1623" priority="1639" operator="containsText" text="em andamento">
      <formula>NOT(ISERROR(SEARCH("em andamento",P807)))</formula>
    </cfRule>
  </conditionalFormatting>
  <conditionalFormatting sqref="P808:P809">
    <cfRule type="containsText" dxfId="1622" priority="11251" operator="containsText" text="Pendente">
      <formula>NOT(ISERROR(SEARCH("Pendente",P808)))</formula>
    </cfRule>
    <cfRule type="containsText" dxfId="1621" priority="11250" operator="containsText" text="N/A">
      <formula>NOT(ISERROR(SEARCH("N/A",P808)))</formula>
    </cfRule>
    <cfRule type="containsText" dxfId="1620" priority="11249" operator="containsText" text="Lançado">
      <formula>NOT(ISERROR(SEARCH("Lançado",P808)))</formula>
    </cfRule>
    <cfRule type="containsText" dxfId="1619" priority="11253" operator="containsText" text="em andamento">
      <formula>NOT(ISERROR(SEARCH("em andamento",P808)))</formula>
    </cfRule>
    <cfRule type="containsText" dxfId="1618" priority="11252" operator="containsText" text="Finalizado">
      <formula>NOT(ISERROR(SEARCH("Finalizado",P808)))</formula>
    </cfRule>
  </conditionalFormatting>
  <conditionalFormatting sqref="P810">
    <cfRule type="containsText" dxfId="1617" priority="10170" operator="containsText" text="em andamento">
      <formula>NOT(ISERROR(SEARCH("em andamento",P810)))</formula>
    </cfRule>
    <cfRule type="containsText" dxfId="1616" priority="10169" operator="containsText" text="Finalizado">
      <formula>NOT(ISERROR(SEARCH("Finalizado",P810)))</formula>
    </cfRule>
    <cfRule type="expression" dxfId="1615" priority="10163">
      <formula>$H810="SUBETAPA"</formula>
    </cfRule>
    <cfRule type="containsText" dxfId="1614" priority="10166" operator="containsText" text="Lançado">
      <formula>NOT(ISERROR(SEARCH("Lançado",P810)))</formula>
    </cfRule>
    <cfRule type="containsText" dxfId="1613" priority="10167" operator="containsText" text="N/A">
      <formula>NOT(ISERROR(SEARCH("N/A",P810)))</formula>
    </cfRule>
    <cfRule type="expression" dxfId="1612" priority="10164">
      <formula>$H810="CÉLULA CONSTRUTIVA"</formula>
    </cfRule>
    <cfRule type="containsText" dxfId="1611" priority="10168" operator="containsText" text="Pendente">
      <formula>NOT(ISERROR(SEARCH("Pendente",P810)))</formula>
    </cfRule>
    <cfRule type="expression" dxfId="1610" priority="10165">
      <formula>$H810="ETAPA"</formula>
    </cfRule>
  </conditionalFormatting>
  <conditionalFormatting sqref="P811">
    <cfRule type="containsText" dxfId="1609" priority="2833" operator="containsText" text="Finalizado">
      <formula>NOT(ISERROR(SEARCH("Finalizado",P811)))</formula>
    </cfRule>
    <cfRule type="containsText" dxfId="1608" priority="2834" operator="containsText" text="em andamento">
      <formula>NOT(ISERROR(SEARCH("em andamento",P811)))</formula>
    </cfRule>
    <cfRule type="expression" dxfId="1607" priority="2827">
      <formula>$H811="SUBETAPA"</formula>
    </cfRule>
    <cfRule type="expression" dxfId="1606" priority="2828">
      <formula>$H811="CÉLULA CONSTRUTIVA"</formula>
    </cfRule>
    <cfRule type="containsText" dxfId="1605" priority="2832" operator="containsText" text="Pendente">
      <formula>NOT(ISERROR(SEARCH("Pendente",P811)))</formula>
    </cfRule>
    <cfRule type="containsText" dxfId="1604" priority="2831" operator="containsText" text="N/A">
      <formula>NOT(ISERROR(SEARCH("N/A",P811)))</formula>
    </cfRule>
    <cfRule type="containsText" dxfId="1603" priority="2830" operator="containsText" text="Lançado">
      <formula>NOT(ISERROR(SEARCH("Lançado",P811)))</formula>
    </cfRule>
    <cfRule type="expression" dxfId="1602" priority="2829">
      <formula>$H811="ETAPA"</formula>
    </cfRule>
  </conditionalFormatting>
  <conditionalFormatting sqref="P813:P815">
    <cfRule type="containsText" dxfId="1601" priority="10158" operator="containsText" text="Lançado">
      <formula>NOT(ISERROR(SEARCH("Lançado",P813)))</formula>
    </cfRule>
    <cfRule type="expression" dxfId="1600" priority="10157">
      <formula>$H813="ETAPA"</formula>
    </cfRule>
    <cfRule type="containsText" dxfId="1599" priority="10162" operator="containsText" text="em andamento">
      <formula>NOT(ISERROR(SEARCH("em andamento",P813)))</formula>
    </cfRule>
    <cfRule type="expression" dxfId="1598" priority="10155">
      <formula>$H813="SUBETAPA"</formula>
    </cfRule>
    <cfRule type="containsText" dxfId="1597" priority="10161" operator="containsText" text="Finalizado">
      <formula>NOT(ISERROR(SEARCH("Finalizado",P813)))</formula>
    </cfRule>
    <cfRule type="containsText" dxfId="1596" priority="10159" operator="containsText" text="N/A">
      <formula>NOT(ISERROR(SEARCH("N/A",P813)))</formula>
    </cfRule>
    <cfRule type="expression" dxfId="1595" priority="10156">
      <formula>$H813="CÉLULA CONSTRUTIVA"</formula>
    </cfRule>
    <cfRule type="containsText" dxfId="1594" priority="10160" operator="containsText" text="Pendente">
      <formula>NOT(ISERROR(SEARCH("Pendente",P813)))</formula>
    </cfRule>
  </conditionalFormatting>
  <conditionalFormatting sqref="P816">
    <cfRule type="containsText" dxfId="1593" priority="11228" operator="containsText" text="em andamento">
      <formula>NOT(ISERROR(SEARCH("em andamento",P816)))</formula>
    </cfRule>
    <cfRule type="containsText" dxfId="1592" priority="11224" operator="containsText" text="Lançado">
      <formula>NOT(ISERROR(SEARCH("Lançado",P816)))</formula>
    </cfRule>
    <cfRule type="containsText" dxfId="1591" priority="11226" operator="containsText" text="Pendente">
      <formula>NOT(ISERROR(SEARCH("Pendente",P816)))</formula>
    </cfRule>
    <cfRule type="containsText" dxfId="1590" priority="11225" operator="containsText" text="N/A">
      <formula>NOT(ISERROR(SEARCH("N/A",P816)))</formula>
    </cfRule>
    <cfRule type="containsText" dxfId="1589" priority="11227" operator="containsText" text="Finalizado">
      <formula>NOT(ISERROR(SEARCH("Finalizado",P816)))</formula>
    </cfRule>
  </conditionalFormatting>
  <conditionalFormatting sqref="P817">
    <cfRule type="containsText" dxfId="1588" priority="10154" operator="containsText" text="em andamento">
      <formula>NOT(ISERROR(SEARCH("em andamento",P817)))</formula>
    </cfRule>
    <cfRule type="expression" dxfId="1587" priority="10147">
      <formula>$H817="SUBETAPA"</formula>
    </cfRule>
    <cfRule type="expression" dxfId="1586" priority="10149">
      <formula>$H817="ETAPA"</formula>
    </cfRule>
    <cfRule type="containsText" dxfId="1585" priority="10151" operator="containsText" text="N/A">
      <formula>NOT(ISERROR(SEARCH("N/A",P817)))</formula>
    </cfRule>
    <cfRule type="expression" dxfId="1584" priority="10148">
      <formula>$H817="CÉLULA CONSTRUTIVA"</formula>
    </cfRule>
    <cfRule type="containsText" dxfId="1583" priority="10152" operator="containsText" text="Pendente">
      <formula>NOT(ISERROR(SEARCH("Pendente",P817)))</formula>
    </cfRule>
    <cfRule type="containsText" dxfId="1582" priority="10150" operator="containsText" text="Lançado">
      <formula>NOT(ISERROR(SEARCH("Lançado",P817)))</formula>
    </cfRule>
    <cfRule type="containsText" dxfId="1581" priority="10153" operator="containsText" text="Finalizado">
      <formula>NOT(ISERROR(SEARCH("Finalizado",P817)))</formula>
    </cfRule>
  </conditionalFormatting>
  <conditionalFormatting sqref="P818">
    <cfRule type="containsText" dxfId="1580" priority="11217" operator="containsText" text="em andamento">
      <formula>NOT(ISERROR(SEARCH("em andamento",P818)))</formula>
    </cfRule>
    <cfRule type="containsText" dxfId="1579" priority="11213" operator="containsText" text="Lançado">
      <formula>NOT(ISERROR(SEARCH("Lançado",P818)))</formula>
    </cfRule>
    <cfRule type="containsText" dxfId="1578" priority="11214" operator="containsText" text="N/A">
      <formula>NOT(ISERROR(SEARCH("N/A",P818)))</formula>
    </cfRule>
    <cfRule type="containsText" dxfId="1577" priority="11215" operator="containsText" text="Pendente">
      <formula>NOT(ISERROR(SEARCH("Pendente",P818)))</formula>
    </cfRule>
    <cfRule type="containsText" dxfId="1576" priority="11216" operator="containsText" text="Finalizado">
      <formula>NOT(ISERROR(SEARCH("Finalizado",P818)))</formula>
    </cfRule>
  </conditionalFormatting>
  <conditionalFormatting sqref="P819">
    <cfRule type="containsText" dxfId="1575" priority="10146" operator="containsText" text="em andamento">
      <formula>NOT(ISERROR(SEARCH("em andamento",P819)))</formula>
    </cfRule>
    <cfRule type="expression" dxfId="1574" priority="10139">
      <formula>$H819="SUBETAPA"</formula>
    </cfRule>
    <cfRule type="expression" dxfId="1573" priority="10140">
      <formula>$H819="CÉLULA CONSTRUTIVA"</formula>
    </cfRule>
    <cfRule type="expression" dxfId="1572" priority="10141">
      <formula>$H819="ETAPA"</formula>
    </cfRule>
    <cfRule type="containsText" dxfId="1571" priority="10142" operator="containsText" text="Lançado">
      <formula>NOT(ISERROR(SEARCH("Lançado",P819)))</formula>
    </cfRule>
    <cfRule type="containsText" dxfId="1570" priority="10143" operator="containsText" text="N/A">
      <formula>NOT(ISERROR(SEARCH("N/A",P819)))</formula>
    </cfRule>
    <cfRule type="containsText" dxfId="1569" priority="10145" operator="containsText" text="Finalizado">
      <formula>NOT(ISERROR(SEARCH("Finalizado",P819)))</formula>
    </cfRule>
    <cfRule type="containsText" dxfId="1568" priority="10144" operator="containsText" text="Pendente">
      <formula>NOT(ISERROR(SEARCH("Pendente",P819)))</formula>
    </cfRule>
  </conditionalFormatting>
  <conditionalFormatting sqref="P820">
    <cfRule type="containsText" dxfId="1567" priority="10667" operator="containsText" text="Finalizado">
      <formula>NOT(ISERROR(SEARCH("Finalizado",P820)))</formula>
    </cfRule>
    <cfRule type="containsText" dxfId="1566" priority="10668" operator="containsText" text="em andamento">
      <formula>NOT(ISERROR(SEARCH("em andamento",P820)))</formula>
    </cfRule>
    <cfRule type="containsText" dxfId="1565" priority="10664" operator="containsText" text="Lançado">
      <formula>NOT(ISERROR(SEARCH("Lançado",P820)))</formula>
    </cfRule>
    <cfRule type="containsText" dxfId="1564" priority="10665" operator="containsText" text="N/A">
      <formula>NOT(ISERROR(SEARCH("N/A",P820)))</formula>
    </cfRule>
    <cfRule type="containsText" dxfId="1563" priority="10666" operator="containsText" text="Pendente">
      <formula>NOT(ISERROR(SEARCH("Pendente",P820)))</formula>
    </cfRule>
  </conditionalFormatting>
  <conditionalFormatting sqref="P821">
    <cfRule type="containsText" dxfId="1562" priority="10192" operator="containsText" text="em andamento">
      <formula>NOT(ISERROR(SEARCH("em andamento",P821)))</formula>
    </cfRule>
    <cfRule type="containsText" dxfId="1561" priority="10191" operator="containsText" text="Finalizado">
      <formula>NOT(ISERROR(SEARCH("Finalizado",P821)))</formula>
    </cfRule>
    <cfRule type="containsText" dxfId="1560" priority="10190" operator="containsText" text="Pendente">
      <formula>NOT(ISERROR(SEARCH("Pendente",P821)))</formula>
    </cfRule>
  </conditionalFormatting>
  <conditionalFormatting sqref="P821:P822">
    <cfRule type="containsText" dxfId="1559" priority="10134" operator="containsText" text="Lançado">
      <formula>NOT(ISERROR(SEARCH("Lançado",P821)))</formula>
    </cfRule>
    <cfRule type="containsText" dxfId="1558" priority="10135" operator="containsText" text="N/A">
      <formula>NOT(ISERROR(SEARCH("N/A",P821)))</formula>
    </cfRule>
  </conditionalFormatting>
  <conditionalFormatting sqref="P822">
    <cfRule type="expression" dxfId="1557" priority="10133">
      <formula>$H822="ETAPA"</formula>
    </cfRule>
    <cfRule type="expression" dxfId="1556" priority="10132">
      <formula>$H822="CÉLULA CONSTRUTIVA"</formula>
    </cfRule>
    <cfRule type="expression" dxfId="1555" priority="10131">
      <formula>$H822="SUBETAPA"</formula>
    </cfRule>
    <cfRule type="containsText" dxfId="1554" priority="10136" operator="containsText" text="Pendente">
      <formula>NOT(ISERROR(SEARCH("Pendente",P822)))</formula>
    </cfRule>
    <cfRule type="containsText" dxfId="1553" priority="10137" operator="containsText" text="Finalizado">
      <formula>NOT(ISERROR(SEARCH("Finalizado",P822)))</formula>
    </cfRule>
    <cfRule type="containsText" dxfId="1552" priority="10138" operator="containsText" text="em andamento">
      <formula>NOT(ISERROR(SEARCH("em andamento",P822)))</formula>
    </cfRule>
  </conditionalFormatting>
  <conditionalFormatting sqref="P823">
    <cfRule type="containsText" dxfId="1551" priority="10675" operator="containsText" text="Finalizado">
      <formula>NOT(ISERROR(SEARCH("Finalizado",P823)))</formula>
    </cfRule>
    <cfRule type="containsText" dxfId="1550" priority="10672" operator="containsText" text="Lançado">
      <formula>NOT(ISERROR(SEARCH("Lançado",P823)))</formula>
    </cfRule>
    <cfRule type="containsText" dxfId="1549" priority="10676" operator="containsText" text="em andamento">
      <formula>NOT(ISERROR(SEARCH("em andamento",P823)))</formula>
    </cfRule>
    <cfRule type="containsText" dxfId="1548" priority="10673" operator="containsText" text="N/A">
      <formula>NOT(ISERROR(SEARCH("N/A",P823)))</formula>
    </cfRule>
    <cfRule type="containsText" dxfId="1547" priority="10674" operator="containsText" text="Pendente">
      <formula>NOT(ISERROR(SEARCH("Pendente",P823)))</formula>
    </cfRule>
  </conditionalFormatting>
  <conditionalFormatting sqref="P824:P827">
    <cfRule type="containsText" dxfId="1546" priority="10126" operator="containsText" text="Lançado">
      <formula>NOT(ISERROR(SEARCH("Lançado",P824)))</formula>
    </cfRule>
    <cfRule type="expression" dxfId="1545" priority="10124">
      <formula>$H824="CÉLULA CONSTRUTIVA"</formula>
    </cfRule>
    <cfRule type="containsText" dxfId="1544" priority="10130" operator="containsText" text="em andamento">
      <formula>NOT(ISERROR(SEARCH("em andamento",P824)))</formula>
    </cfRule>
    <cfRule type="expression" dxfId="1543" priority="10123">
      <formula>$H824="SUBETAPA"</formula>
    </cfRule>
    <cfRule type="expression" dxfId="1542" priority="10125">
      <formula>$H824="ETAPA"</formula>
    </cfRule>
    <cfRule type="containsText" dxfId="1541" priority="10129" operator="containsText" text="Finalizado">
      <formula>NOT(ISERROR(SEARCH("Finalizado",P824)))</formula>
    </cfRule>
    <cfRule type="containsText" dxfId="1540" priority="10128" operator="containsText" text="Pendente">
      <formula>NOT(ISERROR(SEARCH("Pendente",P824)))</formula>
    </cfRule>
    <cfRule type="containsText" dxfId="1539" priority="10127" operator="containsText" text="N/A">
      <formula>NOT(ISERROR(SEARCH("N/A",P824)))</formula>
    </cfRule>
  </conditionalFormatting>
  <conditionalFormatting sqref="P828">
    <cfRule type="containsText" dxfId="1538" priority="10183" operator="containsText" text="Finalizado">
      <formula>NOT(ISERROR(SEARCH("Finalizado",P828)))</formula>
    </cfRule>
    <cfRule type="containsText" dxfId="1537" priority="10180" operator="containsText" text="Lançado">
      <formula>NOT(ISERROR(SEARCH("Lançado",P828)))</formula>
    </cfRule>
    <cfRule type="containsText" dxfId="1536" priority="10181" operator="containsText" text="N/A">
      <formula>NOT(ISERROR(SEARCH("N/A",P828)))</formula>
    </cfRule>
    <cfRule type="containsText" dxfId="1535" priority="10182" operator="containsText" text="Pendente">
      <formula>NOT(ISERROR(SEARCH("Pendente",P828)))</formula>
    </cfRule>
    <cfRule type="containsText" dxfId="1534" priority="10184" operator="containsText" text="em andamento">
      <formula>NOT(ISERROR(SEARCH("em andamento",P828)))</formula>
    </cfRule>
  </conditionalFormatting>
  <conditionalFormatting sqref="P829">
    <cfRule type="containsText" dxfId="1533" priority="10118" operator="containsText" text="Lançado">
      <formula>NOT(ISERROR(SEARCH("Lançado",P829)))</formula>
    </cfRule>
    <cfRule type="containsText" dxfId="1532" priority="10119" operator="containsText" text="N/A">
      <formula>NOT(ISERROR(SEARCH("N/A",P829)))</formula>
    </cfRule>
    <cfRule type="containsText" dxfId="1531" priority="10120" operator="containsText" text="Pendente">
      <formula>NOT(ISERROR(SEARCH("Pendente",P829)))</formula>
    </cfRule>
    <cfRule type="containsText" dxfId="1530" priority="10121" operator="containsText" text="Finalizado">
      <formula>NOT(ISERROR(SEARCH("Finalizado",P829)))</formula>
    </cfRule>
    <cfRule type="expression" dxfId="1529" priority="10116">
      <formula>$H829="CÉLULA CONSTRUTIVA"</formula>
    </cfRule>
    <cfRule type="containsText" dxfId="1528" priority="10122" operator="containsText" text="em andamento">
      <formula>NOT(ISERROR(SEARCH("em andamento",P829)))</formula>
    </cfRule>
    <cfRule type="expression" dxfId="1527" priority="10115">
      <formula>$H829="SUBETAPA"</formula>
    </cfRule>
    <cfRule type="expression" dxfId="1526" priority="10117">
      <formula>$H829="ETAPA"</formula>
    </cfRule>
  </conditionalFormatting>
  <conditionalFormatting sqref="P830">
    <cfRule type="containsText" dxfId="1525" priority="10637" operator="containsText" text="Finalizado">
      <formula>NOT(ISERROR(SEARCH("Finalizado",P830)))</formula>
    </cfRule>
    <cfRule type="containsText" dxfId="1524" priority="10638" operator="containsText" text="em andamento">
      <formula>NOT(ISERROR(SEARCH("em andamento",P830)))</formula>
    </cfRule>
    <cfRule type="containsText" dxfId="1523" priority="10635" operator="containsText" text="N/A">
      <formula>NOT(ISERROR(SEARCH("N/A",P830)))</formula>
    </cfRule>
    <cfRule type="containsText" dxfId="1522" priority="10634" operator="containsText" text="Lançado">
      <formula>NOT(ISERROR(SEARCH("Lançado",P830)))</formula>
    </cfRule>
    <cfRule type="containsText" dxfId="1521" priority="10636" operator="containsText" text="Pendente">
      <formula>NOT(ISERROR(SEARCH("Pendente",P830)))</formula>
    </cfRule>
  </conditionalFormatting>
  <conditionalFormatting sqref="P831">
    <cfRule type="expression" dxfId="1520" priority="10108">
      <formula>$H831="CÉLULA CONSTRUTIVA"</formula>
    </cfRule>
    <cfRule type="expression" dxfId="1519" priority="10107">
      <formula>$H831="SUBETAPA"</formula>
    </cfRule>
    <cfRule type="containsText" dxfId="1518" priority="10114" operator="containsText" text="em andamento">
      <formula>NOT(ISERROR(SEARCH("em andamento",P831)))</formula>
    </cfRule>
    <cfRule type="containsText" dxfId="1517" priority="10113" operator="containsText" text="Finalizado">
      <formula>NOT(ISERROR(SEARCH("Finalizado",P831)))</formula>
    </cfRule>
    <cfRule type="containsText" dxfId="1516" priority="10112" operator="containsText" text="Pendente">
      <formula>NOT(ISERROR(SEARCH("Pendente",P831)))</formula>
    </cfRule>
    <cfRule type="containsText" dxfId="1515" priority="10111" operator="containsText" text="N/A">
      <formula>NOT(ISERROR(SEARCH("N/A",P831)))</formula>
    </cfRule>
    <cfRule type="containsText" dxfId="1514" priority="10110" operator="containsText" text="Lançado">
      <formula>NOT(ISERROR(SEARCH("Lançado",P831)))</formula>
    </cfRule>
    <cfRule type="expression" dxfId="1513" priority="10109">
      <formula>$H831="ETAPA"</formula>
    </cfRule>
  </conditionalFormatting>
  <conditionalFormatting sqref="P832">
    <cfRule type="expression" dxfId="1512" priority="1653">
      <formula>$H832="CÉLULA CONSTRUTIVA"</formula>
    </cfRule>
    <cfRule type="expression" dxfId="1511" priority="1652">
      <formula>$H832="SUBETAPA"</formula>
    </cfRule>
    <cfRule type="containsText" dxfId="1510" priority="1659" operator="containsText" text="em andamento">
      <formula>NOT(ISERROR(SEARCH("em andamento",P832)))</formula>
    </cfRule>
    <cfRule type="containsText" dxfId="1509" priority="1658" operator="containsText" text="Finalizado">
      <formula>NOT(ISERROR(SEARCH("Finalizado",P832)))</formula>
    </cfRule>
    <cfRule type="containsText" dxfId="1508" priority="1657" operator="containsText" text="Pendente">
      <formula>NOT(ISERROR(SEARCH("Pendente",P832)))</formula>
    </cfRule>
    <cfRule type="containsText" dxfId="1507" priority="1656" operator="containsText" text="N/A">
      <formula>NOT(ISERROR(SEARCH("N/A",P832)))</formula>
    </cfRule>
    <cfRule type="containsText" dxfId="1506" priority="1655" operator="containsText" text="Lançado">
      <formula>NOT(ISERROR(SEARCH("Lançado",P832)))</formula>
    </cfRule>
    <cfRule type="expression" dxfId="1505" priority="1654">
      <formula>$H832="ETAPA"</formula>
    </cfRule>
  </conditionalFormatting>
  <conditionalFormatting sqref="P836">
    <cfRule type="containsText" dxfId="1504" priority="9986" operator="containsText" text="em andamento">
      <formula>NOT(ISERROR(SEARCH("em andamento",P836)))</formula>
    </cfRule>
    <cfRule type="containsText" dxfId="1503" priority="9985" operator="containsText" text="Finalizado">
      <formula>NOT(ISERROR(SEARCH("Finalizado",P836)))</formula>
    </cfRule>
    <cfRule type="containsText" dxfId="1502" priority="9984" operator="containsText" text="Pendente">
      <formula>NOT(ISERROR(SEARCH("Pendente",P836)))</formula>
    </cfRule>
    <cfRule type="expression" dxfId="1501" priority="9979">
      <formula>$H836="SUBETAPA"</formula>
    </cfRule>
    <cfRule type="expression" dxfId="1500" priority="9980">
      <formula>$H836="CÉLULA CONSTRUTIVA"</formula>
    </cfRule>
    <cfRule type="expression" dxfId="1499" priority="9981">
      <formula>$H836="ETAPA"</formula>
    </cfRule>
    <cfRule type="containsText" dxfId="1498" priority="9983" operator="containsText" text="N/A">
      <formula>NOT(ISERROR(SEARCH("N/A",P836)))</formula>
    </cfRule>
    <cfRule type="containsText" dxfId="1497" priority="9982" operator="containsText" text="Lançado">
      <formula>NOT(ISERROR(SEARCH("Lançado",P836)))</formula>
    </cfRule>
  </conditionalFormatting>
  <conditionalFormatting sqref="P838">
    <cfRule type="containsText" dxfId="1496" priority="9977" operator="containsText" text="Finalizado">
      <formula>NOT(ISERROR(SEARCH("Finalizado",P838)))</formula>
    </cfRule>
    <cfRule type="containsText" dxfId="1495" priority="9974" operator="containsText" text="Lançado">
      <formula>NOT(ISERROR(SEARCH("Lançado",P838)))</formula>
    </cfRule>
    <cfRule type="containsText" dxfId="1494" priority="9975" operator="containsText" text="N/A">
      <formula>NOT(ISERROR(SEARCH("N/A",P838)))</formula>
    </cfRule>
    <cfRule type="containsText" dxfId="1493" priority="9978" operator="containsText" text="em andamento">
      <formula>NOT(ISERROR(SEARCH("em andamento",P838)))</formula>
    </cfRule>
    <cfRule type="expression" dxfId="1492" priority="9971">
      <formula>$H838="SUBETAPA"</formula>
    </cfRule>
    <cfRule type="expression" dxfId="1491" priority="9972">
      <formula>$H838="CÉLULA CONSTRUTIVA"</formula>
    </cfRule>
    <cfRule type="expression" dxfId="1490" priority="9973">
      <formula>$H838="ETAPA"</formula>
    </cfRule>
    <cfRule type="containsText" dxfId="1489" priority="9976" operator="containsText" text="Pendente">
      <formula>NOT(ISERROR(SEARCH("Pendente",P838)))</formula>
    </cfRule>
  </conditionalFormatting>
  <conditionalFormatting sqref="P841">
    <cfRule type="containsText" dxfId="1488" priority="9967" operator="containsText" text="N/A">
      <formula>NOT(ISERROR(SEARCH("N/A",P841)))</formula>
    </cfRule>
    <cfRule type="containsText" dxfId="1487" priority="9968" operator="containsText" text="Pendente">
      <formula>NOT(ISERROR(SEARCH("Pendente",P841)))</formula>
    </cfRule>
    <cfRule type="containsText" dxfId="1486" priority="9969" operator="containsText" text="Finalizado">
      <formula>NOT(ISERROR(SEARCH("Finalizado",P841)))</formula>
    </cfRule>
    <cfRule type="containsText" dxfId="1485" priority="9970" operator="containsText" text="em andamento">
      <formula>NOT(ISERROR(SEARCH("em andamento",P841)))</formula>
    </cfRule>
    <cfRule type="containsText" dxfId="1484" priority="9966" operator="containsText" text="Lançado">
      <formula>NOT(ISERROR(SEARCH("Lançado",P841)))</formula>
    </cfRule>
    <cfRule type="expression" dxfId="1483" priority="9963">
      <formula>$H841="SUBETAPA"</formula>
    </cfRule>
    <cfRule type="expression" dxfId="1482" priority="9964">
      <formula>$H841="CÉLULA CONSTRUTIVA"</formula>
    </cfRule>
    <cfRule type="expression" dxfId="1481" priority="9965">
      <formula>$H841="ETAPA"</formula>
    </cfRule>
  </conditionalFormatting>
  <conditionalFormatting sqref="P842:P843">
    <cfRule type="containsText" dxfId="1480" priority="10002" operator="containsText" text="em andamento">
      <formula>NOT(ISERROR(SEARCH("em andamento",P842)))</formula>
    </cfRule>
    <cfRule type="containsText" dxfId="1479" priority="10000" operator="containsText" text="Pendente">
      <formula>NOT(ISERROR(SEARCH("Pendente",P842)))</formula>
    </cfRule>
    <cfRule type="containsText" dxfId="1478" priority="9998" operator="containsText" text="Lançado">
      <formula>NOT(ISERROR(SEARCH("Lançado",P842)))</formula>
    </cfRule>
    <cfRule type="containsText" dxfId="1477" priority="9999" operator="containsText" text="N/A">
      <formula>NOT(ISERROR(SEARCH("N/A",P842)))</formula>
    </cfRule>
    <cfRule type="containsText" dxfId="1476" priority="10001" operator="containsText" text="Finalizado">
      <formula>NOT(ISERROR(SEARCH("Finalizado",P842)))</formula>
    </cfRule>
  </conditionalFormatting>
  <conditionalFormatting sqref="P844">
    <cfRule type="containsText" dxfId="1475" priority="9944" operator="containsText" text="Pendente">
      <formula>NOT(ISERROR(SEARCH("Pendente",P844)))</formula>
    </cfRule>
    <cfRule type="containsText" dxfId="1474" priority="9946" operator="containsText" text="em andamento">
      <formula>NOT(ISERROR(SEARCH("em andamento",P844)))</formula>
    </cfRule>
    <cfRule type="containsText" dxfId="1473" priority="9943" operator="containsText" text="N/A">
      <formula>NOT(ISERROR(SEARCH("N/A",P844)))</formula>
    </cfRule>
    <cfRule type="containsText" dxfId="1472" priority="9942" operator="containsText" text="Lançado">
      <formula>NOT(ISERROR(SEARCH("Lançado",P844)))</formula>
    </cfRule>
    <cfRule type="containsText" dxfId="1471" priority="9945" operator="containsText" text="Finalizado">
      <formula>NOT(ISERROR(SEARCH("Finalizado",P844)))</formula>
    </cfRule>
    <cfRule type="expression" dxfId="1470" priority="9941">
      <formula>$H844="ETAPA"</formula>
    </cfRule>
    <cfRule type="expression" dxfId="1469" priority="9939">
      <formula>$H844="SUBETAPA"</formula>
    </cfRule>
    <cfRule type="expression" dxfId="1468" priority="9940">
      <formula>$H844="CÉLULA CONSTRUTIVA"</formula>
    </cfRule>
  </conditionalFormatting>
  <conditionalFormatting sqref="P845 P848">
    <cfRule type="containsText" dxfId="1467" priority="9951" operator="containsText" text="N/A">
      <formula>NOT(ISERROR(SEARCH("N/A",P845)))</formula>
    </cfRule>
    <cfRule type="containsText" dxfId="1466" priority="9950" operator="containsText" text="Lançado">
      <formula>NOT(ISERROR(SEARCH("Lançado",P845)))</formula>
    </cfRule>
  </conditionalFormatting>
  <conditionalFormatting sqref="P846">
    <cfRule type="containsText" dxfId="1465" priority="9935" operator="containsText" text="N/A">
      <formula>NOT(ISERROR(SEARCH("N/A",P846)))</formula>
    </cfRule>
    <cfRule type="containsText" dxfId="1464" priority="9936" operator="containsText" text="Pendente">
      <formula>NOT(ISERROR(SEARCH("Pendente",P846)))</formula>
    </cfRule>
    <cfRule type="containsText" dxfId="1463" priority="9937" operator="containsText" text="Finalizado">
      <formula>NOT(ISERROR(SEARCH("Finalizado",P846)))</formula>
    </cfRule>
    <cfRule type="expression" dxfId="1462" priority="9933">
      <formula>$H846="ETAPA"</formula>
    </cfRule>
    <cfRule type="containsText" dxfId="1461" priority="9938" operator="containsText" text="em andamento">
      <formula>NOT(ISERROR(SEARCH("em andamento",P846)))</formula>
    </cfRule>
    <cfRule type="expression" dxfId="1460" priority="9931">
      <formula>$H846="SUBETAPA"</formula>
    </cfRule>
    <cfRule type="expression" dxfId="1459" priority="9932">
      <formula>$H846="CÉLULA CONSTRUTIVA"</formula>
    </cfRule>
    <cfRule type="containsText" dxfId="1458" priority="9934" operator="containsText" text="Lançado">
      <formula>NOT(ISERROR(SEARCH("Lançado",P846)))</formula>
    </cfRule>
  </conditionalFormatting>
  <conditionalFormatting sqref="P848 P845">
    <cfRule type="expression" dxfId="1457" priority="9947">
      <formula>$H845="SUBETAPA"</formula>
    </cfRule>
    <cfRule type="expression" dxfId="1456" priority="9948">
      <formula>$H845="CÉLULA CONSTRUTIVA"</formula>
    </cfRule>
    <cfRule type="expression" dxfId="1455" priority="9949">
      <formula>$H845="ETAPA"</formula>
    </cfRule>
    <cfRule type="containsText" dxfId="1454" priority="9952" operator="containsText" text="Pendente">
      <formula>NOT(ISERROR(SEARCH("Pendente",P845)))</formula>
    </cfRule>
    <cfRule type="containsText" dxfId="1453" priority="9953" operator="containsText" text="Finalizado">
      <formula>NOT(ISERROR(SEARCH("Finalizado",P845)))</formula>
    </cfRule>
    <cfRule type="containsText" dxfId="1452" priority="9954" operator="containsText" text="em andamento">
      <formula>NOT(ISERROR(SEARCH("em andamento",P845)))</formula>
    </cfRule>
  </conditionalFormatting>
  <conditionalFormatting sqref="P849">
    <cfRule type="expression" dxfId="1451" priority="9923">
      <formula>$H849="SUBETAPA"</formula>
    </cfRule>
    <cfRule type="expression" dxfId="1450" priority="9924">
      <formula>$H849="CÉLULA CONSTRUTIVA"</formula>
    </cfRule>
    <cfRule type="expression" dxfId="1449" priority="9925">
      <formula>$H849="ETAPA"</formula>
    </cfRule>
    <cfRule type="containsText" dxfId="1448" priority="9926" operator="containsText" text="Lançado">
      <formula>NOT(ISERROR(SEARCH("Lançado",P849)))</formula>
    </cfRule>
    <cfRule type="containsText" dxfId="1447" priority="9927" operator="containsText" text="N/A">
      <formula>NOT(ISERROR(SEARCH("N/A",P849)))</formula>
    </cfRule>
    <cfRule type="containsText" dxfId="1446" priority="9930" operator="containsText" text="em andamento">
      <formula>NOT(ISERROR(SEARCH("em andamento",P849)))</formula>
    </cfRule>
    <cfRule type="containsText" dxfId="1445" priority="9929" operator="containsText" text="Finalizado">
      <formula>NOT(ISERROR(SEARCH("Finalizado",P849)))</formula>
    </cfRule>
    <cfRule type="containsText" dxfId="1444" priority="9928" operator="containsText" text="Pendente">
      <formula>NOT(ISERROR(SEARCH("Pendente",P849)))</formula>
    </cfRule>
  </conditionalFormatting>
  <conditionalFormatting sqref="P850:P851">
    <cfRule type="containsText" dxfId="1443" priority="10016" operator="containsText" text="Pendente">
      <formula>NOT(ISERROR(SEARCH("Pendente",P850)))</formula>
    </cfRule>
    <cfRule type="containsText" dxfId="1442" priority="10015" operator="containsText" text="N/A">
      <formula>NOT(ISERROR(SEARCH("N/A",P850)))</formula>
    </cfRule>
    <cfRule type="containsText" dxfId="1441" priority="10014" operator="containsText" text="Lançado">
      <formula>NOT(ISERROR(SEARCH("Lançado",P850)))</formula>
    </cfRule>
    <cfRule type="containsText" dxfId="1440" priority="10018" operator="containsText" text="em andamento">
      <formula>NOT(ISERROR(SEARCH("em andamento",P850)))</formula>
    </cfRule>
    <cfRule type="containsText" dxfId="1439" priority="10017" operator="containsText" text="Finalizado">
      <formula>NOT(ISERROR(SEARCH("Finalizado",P850)))</formula>
    </cfRule>
  </conditionalFormatting>
  <conditionalFormatting sqref="P852">
    <cfRule type="containsText" dxfId="1438" priority="9905" operator="containsText" text="Finalizado">
      <formula>NOT(ISERROR(SEARCH("Finalizado",P852)))</formula>
    </cfRule>
    <cfRule type="containsText" dxfId="1437" priority="9902" operator="containsText" text="Lançado">
      <formula>NOT(ISERROR(SEARCH("Lançado",P852)))</formula>
    </cfRule>
    <cfRule type="expression" dxfId="1436" priority="9901">
      <formula>$H852="ETAPA"</formula>
    </cfRule>
    <cfRule type="containsText" dxfId="1435" priority="9906" operator="containsText" text="em andamento">
      <formula>NOT(ISERROR(SEARCH("em andamento",P852)))</formula>
    </cfRule>
    <cfRule type="containsText" dxfId="1434" priority="9904" operator="containsText" text="Pendente">
      <formula>NOT(ISERROR(SEARCH("Pendente",P852)))</formula>
    </cfRule>
    <cfRule type="expression" dxfId="1433" priority="9900">
      <formula>$H852="CÉLULA CONSTRUTIVA"</formula>
    </cfRule>
    <cfRule type="expression" dxfId="1432" priority="9899">
      <formula>$H852="SUBETAPA"</formula>
    </cfRule>
    <cfRule type="containsText" dxfId="1431" priority="9903" operator="containsText" text="N/A">
      <formula>NOT(ISERROR(SEARCH("N/A",P852)))</formula>
    </cfRule>
  </conditionalFormatting>
  <conditionalFormatting sqref="P853 P856">
    <cfRule type="containsText" dxfId="1430" priority="9910" operator="containsText" text="Lançado">
      <formula>NOT(ISERROR(SEARCH("Lançado",P853)))</formula>
    </cfRule>
    <cfRule type="containsText" dxfId="1429" priority="9911" operator="containsText" text="N/A">
      <formula>NOT(ISERROR(SEARCH("N/A",P853)))</formula>
    </cfRule>
  </conditionalFormatting>
  <conditionalFormatting sqref="P854">
    <cfRule type="expression" dxfId="1428" priority="9893">
      <formula>$H854="ETAPA"</formula>
    </cfRule>
    <cfRule type="containsText" dxfId="1427" priority="9898" operator="containsText" text="em andamento">
      <formula>NOT(ISERROR(SEARCH("em andamento",P854)))</formula>
    </cfRule>
    <cfRule type="containsText" dxfId="1426" priority="9897" operator="containsText" text="Finalizado">
      <formula>NOT(ISERROR(SEARCH("Finalizado",P854)))</formula>
    </cfRule>
    <cfRule type="containsText" dxfId="1425" priority="9896" operator="containsText" text="Pendente">
      <formula>NOT(ISERROR(SEARCH("Pendente",P854)))</formula>
    </cfRule>
    <cfRule type="containsText" dxfId="1424" priority="9894" operator="containsText" text="Lançado">
      <formula>NOT(ISERROR(SEARCH("Lançado",P854)))</formula>
    </cfRule>
    <cfRule type="expression" dxfId="1423" priority="9891">
      <formula>$H854="SUBETAPA"</formula>
    </cfRule>
    <cfRule type="containsText" dxfId="1422" priority="9895" operator="containsText" text="N/A">
      <formula>NOT(ISERROR(SEARCH("N/A",P854)))</formula>
    </cfRule>
    <cfRule type="expression" dxfId="1421" priority="9892">
      <formula>$H854="CÉLULA CONSTRUTIVA"</formula>
    </cfRule>
  </conditionalFormatting>
  <conditionalFormatting sqref="P856 P853">
    <cfRule type="expression" dxfId="1420" priority="9907">
      <formula>$H853="SUBETAPA"</formula>
    </cfRule>
    <cfRule type="expression" dxfId="1419" priority="9908">
      <formula>$H853="CÉLULA CONSTRUTIVA"</formula>
    </cfRule>
    <cfRule type="containsText" dxfId="1418" priority="9914" operator="containsText" text="em andamento">
      <formula>NOT(ISERROR(SEARCH("em andamento",P853)))</formula>
    </cfRule>
    <cfRule type="containsText" dxfId="1417" priority="9913" operator="containsText" text="Finalizado">
      <formula>NOT(ISERROR(SEARCH("Finalizado",P853)))</formula>
    </cfRule>
    <cfRule type="expression" dxfId="1416" priority="9909">
      <formula>$H853="ETAPA"</formula>
    </cfRule>
    <cfRule type="containsText" dxfId="1415" priority="9912" operator="containsText" text="Pendente">
      <formula>NOT(ISERROR(SEARCH("Pendente",P853)))</formula>
    </cfRule>
  </conditionalFormatting>
  <conditionalFormatting sqref="P857">
    <cfRule type="containsText" dxfId="1414" priority="9888" operator="containsText" text="Pendente">
      <formula>NOT(ISERROR(SEARCH("Pendente",P857)))</formula>
    </cfRule>
    <cfRule type="containsText" dxfId="1413" priority="9887" operator="containsText" text="N/A">
      <formula>NOT(ISERROR(SEARCH("N/A",P857)))</formula>
    </cfRule>
    <cfRule type="expression" dxfId="1412" priority="9885">
      <formula>$H857="ETAPA"</formula>
    </cfRule>
    <cfRule type="containsText" dxfId="1411" priority="9886" operator="containsText" text="Lançado">
      <formula>NOT(ISERROR(SEARCH("Lançado",P857)))</formula>
    </cfRule>
    <cfRule type="containsText" dxfId="1410" priority="9890" operator="containsText" text="em andamento">
      <formula>NOT(ISERROR(SEARCH("em andamento",P857)))</formula>
    </cfRule>
    <cfRule type="expression" dxfId="1409" priority="9883">
      <formula>$H857="SUBETAPA"</formula>
    </cfRule>
    <cfRule type="containsText" dxfId="1408" priority="9889" operator="containsText" text="Finalizado">
      <formula>NOT(ISERROR(SEARCH("Finalizado",P857)))</formula>
    </cfRule>
    <cfRule type="expression" dxfId="1407" priority="9884">
      <formula>$H857="CÉLULA CONSTRUTIVA"</formula>
    </cfRule>
  </conditionalFormatting>
  <conditionalFormatting sqref="P858:P859">
    <cfRule type="containsText" dxfId="1406" priority="10031" operator="containsText" text="N/A">
      <formula>NOT(ISERROR(SEARCH("N/A",P858)))</formula>
    </cfRule>
    <cfRule type="containsText" dxfId="1405" priority="10032" operator="containsText" text="Pendente">
      <formula>NOT(ISERROR(SEARCH("Pendente",P858)))</formula>
    </cfRule>
    <cfRule type="containsText" dxfId="1404" priority="10033" operator="containsText" text="Finalizado">
      <formula>NOT(ISERROR(SEARCH("Finalizado",P858)))</formula>
    </cfRule>
    <cfRule type="containsText" dxfId="1403" priority="10030" operator="containsText" text="Lançado">
      <formula>NOT(ISERROR(SEARCH("Lançado",P858)))</formula>
    </cfRule>
    <cfRule type="containsText" dxfId="1402" priority="10034" operator="containsText" text="em andamento">
      <formula>NOT(ISERROR(SEARCH("em andamento",P858)))</formula>
    </cfRule>
  </conditionalFormatting>
  <conditionalFormatting sqref="P860">
    <cfRule type="expression" dxfId="1401" priority="9859">
      <formula>$H860="SUBETAPA"</formula>
    </cfRule>
    <cfRule type="containsText" dxfId="1400" priority="9862" operator="containsText" text="Lançado">
      <formula>NOT(ISERROR(SEARCH("Lançado",P860)))</formula>
    </cfRule>
    <cfRule type="containsText" dxfId="1399" priority="9866" operator="containsText" text="em andamento">
      <formula>NOT(ISERROR(SEARCH("em andamento",P860)))</formula>
    </cfRule>
    <cfRule type="containsText" dxfId="1398" priority="9865" operator="containsText" text="Finalizado">
      <formula>NOT(ISERROR(SEARCH("Finalizado",P860)))</formula>
    </cfRule>
    <cfRule type="containsText" dxfId="1397" priority="9864" operator="containsText" text="Pendente">
      <formula>NOT(ISERROR(SEARCH("Pendente",P860)))</formula>
    </cfRule>
    <cfRule type="containsText" dxfId="1396" priority="9863" operator="containsText" text="N/A">
      <formula>NOT(ISERROR(SEARCH("N/A",P860)))</formula>
    </cfRule>
    <cfRule type="expression" dxfId="1395" priority="9861">
      <formula>$H860="ETAPA"</formula>
    </cfRule>
    <cfRule type="expression" dxfId="1394" priority="9860">
      <formula>$H860="CÉLULA CONSTRUTIVA"</formula>
    </cfRule>
  </conditionalFormatting>
  <conditionalFormatting sqref="P861 P864">
    <cfRule type="containsText" dxfId="1393" priority="9871" operator="containsText" text="N/A">
      <formula>NOT(ISERROR(SEARCH("N/A",P861)))</formula>
    </cfRule>
    <cfRule type="containsText" dxfId="1392" priority="9870" operator="containsText" text="Lançado">
      <formula>NOT(ISERROR(SEARCH("Lançado",P861)))</formula>
    </cfRule>
  </conditionalFormatting>
  <conditionalFormatting sqref="P862">
    <cfRule type="containsText" dxfId="1391" priority="9858" operator="containsText" text="em andamento">
      <formula>NOT(ISERROR(SEARCH("em andamento",P862)))</formula>
    </cfRule>
    <cfRule type="containsText" dxfId="1390" priority="9857" operator="containsText" text="Finalizado">
      <formula>NOT(ISERROR(SEARCH("Finalizado",P862)))</formula>
    </cfRule>
    <cfRule type="containsText" dxfId="1389" priority="9856" operator="containsText" text="Pendente">
      <formula>NOT(ISERROR(SEARCH("Pendente",P862)))</formula>
    </cfRule>
    <cfRule type="containsText" dxfId="1388" priority="9855" operator="containsText" text="N/A">
      <formula>NOT(ISERROR(SEARCH("N/A",P862)))</formula>
    </cfRule>
    <cfRule type="expression" dxfId="1387" priority="9853">
      <formula>$H862="ETAPA"</formula>
    </cfRule>
    <cfRule type="expression" dxfId="1386" priority="9852">
      <formula>$H862="CÉLULA CONSTRUTIVA"</formula>
    </cfRule>
    <cfRule type="expression" dxfId="1385" priority="9851">
      <formula>$H862="SUBETAPA"</formula>
    </cfRule>
    <cfRule type="containsText" dxfId="1384" priority="9854" operator="containsText" text="Lançado">
      <formula>NOT(ISERROR(SEARCH("Lançado",P862)))</formula>
    </cfRule>
  </conditionalFormatting>
  <conditionalFormatting sqref="P864 P861">
    <cfRule type="expression" dxfId="1383" priority="9867">
      <formula>$H861="SUBETAPA"</formula>
    </cfRule>
    <cfRule type="expression" dxfId="1382" priority="9868">
      <formula>$H861="CÉLULA CONSTRUTIVA"</formula>
    </cfRule>
    <cfRule type="containsText" dxfId="1381" priority="9874" operator="containsText" text="em andamento">
      <formula>NOT(ISERROR(SEARCH("em andamento",P861)))</formula>
    </cfRule>
    <cfRule type="containsText" dxfId="1380" priority="9872" operator="containsText" text="Pendente">
      <formula>NOT(ISERROR(SEARCH("Pendente",P861)))</formula>
    </cfRule>
    <cfRule type="containsText" dxfId="1379" priority="9873" operator="containsText" text="Finalizado">
      <formula>NOT(ISERROR(SEARCH("Finalizado",P861)))</formula>
    </cfRule>
    <cfRule type="expression" dxfId="1378" priority="9869">
      <formula>$H861="ETAPA"</formula>
    </cfRule>
  </conditionalFormatting>
  <conditionalFormatting sqref="P865">
    <cfRule type="containsText" dxfId="1377" priority="9846" operator="containsText" text="Lançado">
      <formula>NOT(ISERROR(SEARCH("Lançado",P865)))</formula>
    </cfRule>
    <cfRule type="expression" dxfId="1376" priority="9845">
      <formula>$H865="ETAPA"</formula>
    </cfRule>
    <cfRule type="expression" dxfId="1375" priority="9844">
      <formula>$H865="CÉLULA CONSTRUTIVA"</formula>
    </cfRule>
    <cfRule type="expression" dxfId="1374" priority="9843">
      <formula>$H865="SUBETAPA"</formula>
    </cfRule>
    <cfRule type="containsText" dxfId="1373" priority="9850" operator="containsText" text="em andamento">
      <formula>NOT(ISERROR(SEARCH("em andamento",P865)))</formula>
    </cfRule>
    <cfRule type="containsText" dxfId="1372" priority="9849" operator="containsText" text="Finalizado">
      <formula>NOT(ISERROR(SEARCH("Finalizado",P865)))</formula>
    </cfRule>
    <cfRule type="containsText" dxfId="1371" priority="9848" operator="containsText" text="Pendente">
      <formula>NOT(ISERROR(SEARCH("Pendente",P865)))</formula>
    </cfRule>
    <cfRule type="containsText" dxfId="1370" priority="9847" operator="containsText" text="N/A">
      <formula>NOT(ISERROR(SEARCH("N/A",P865)))</formula>
    </cfRule>
  </conditionalFormatting>
  <conditionalFormatting sqref="P866:P867">
    <cfRule type="containsText" dxfId="1369" priority="10049" operator="containsText" text="Finalizado">
      <formula>NOT(ISERROR(SEARCH("Finalizado",P866)))</formula>
    </cfRule>
    <cfRule type="containsText" dxfId="1368" priority="10048" operator="containsText" text="Pendente">
      <formula>NOT(ISERROR(SEARCH("Pendente",P866)))</formula>
    </cfRule>
    <cfRule type="containsText" dxfId="1367" priority="10047" operator="containsText" text="N/A">
      <formula>NOT(ISERROR(SEARCH("N/A",P866)))</formula>
    </cfRule>
    <cfRule type="containsText" dxfId="1366" priority="10046" operator="containsText" text="Lançado">
      <formula>NOT(ISERROR(SEARCH("Lançado",P866)))</formula>
    </cfRule>
    <cfRule type="containsText" dxfId="1365" priority="10050" operator="containsText" text="em andamento">
      <formula>NOT(ISERROR(SEARCH("em andamento",P866)))</formula>
    </cfRule>
  </conditionalFormatting>
  <conditionalFormatting sqref="P868">
    <cfRule type="containsText" dxfId="1364" priority="9825" operator="containsText" text="Finalizado">
      <formula>NOT(ISERROR(SEARCH("Finalizado",P868)))</formula>
    </cfRule>
    <cfRule type="containsText" dxfId="1363" priority="9824" operator="containsText" text="Pendente">
      <formula>NOT(ISERROR(SEARCH("Pendente",P868)))</formula>
    </cfRule>
    <cfRule type="containsText" dxfId="1362" priority="9823" operator="containsText" text="N/A">
      <formula>NOT(ISERROR(SEARCH("N/A",P868)))</formula>
    </cfRule>
    <cfRule type="containsText" dxfId="1361" priority="9822" operator="containsText" text="Lançado">
      <formula>NOT(ISERROR(SEARCH("Lançado",P868)))</formula>
    </cfRule>
    <cfRule type="expression" dxfId="1360" priority="9820">
      <formula>$H868="CÉLULA CONSTRUTIVA"</formula>
    </cfRule>
    <cfRule type="expression" dxfId="1359" priority="9819">
      <formula>$H868="SUBETAPA"</formula>
    </cfRule>
    <cfRule type="expression" dxfId="1358" priority="9821">
      <formula>$H868="ETAPA"</formula>
    </cfRule>
    <cfRule type="containsText" dxfId="1357" priority="9826" operator="containsText" text="em andamento">
      <formula>NOT(ISERROR(SEARCH("em andamento",P868)))</formula>
    </cfRule>
  </conditionalFormatting>
  <conditionalFormatting sqref="P869 P872">
    <cfRule type="containsText" dxfId="1356" priority="9831" operator="containsText" text="N/A">
      <formula>NOT(ISERROR(SEARCH("N/A",P869)))</formula>
    </cfRule>
    <cfRule type="containsText" dxfId="1355" priority="9830" operator="containsText" text="Lançado">
      <formula>NOT(ISERROR(SEARCH("Lançado",P869)))</formula>
    </cfRule>
  </conditionalFormatting>
  <conditionalFormatting sqref="P870">
    <cfRule type="expression" dxfId="1354" priority="9813">
      <formula>$H870="ETAPA"</formula>
    </cfRule>
    <cfRule type="containsText" dxfId="1353" priority="9814" operator="containsText" text="Lançado">
      <formula>NOT(ISERROR(SEARCH("Lançado",P870)))</formula>
    </cfRule>
    <cfRule type="containsText" dxfId="1352" priority="9815" operator="containsText" text="N/A">
      <formula>NOT(ISERROR(SEARCH("N/A",P870)))</formula>
    </cfRule>
    <cfRule type="expression" dxfId="1351" priority="9811">
      <formula>$H870="SUBETAPA"</formula>
    </cfRule>
    <cfRule type="containsText" dxfId="1350" priority="9818" operator="containsText" text="em andamento">
      <formula>NOT(ISERROR(SEARCH("em andamento",P870)))</formula>
    </cfRule>
    <cfRule type="containsText" dxfId="1349" priority="9816" operator="containsText" text="Pendente">
      <formula>NOT(ISERROR(SEARCH("Pendente",P870)))</formula>
    </cfRule>
    <cfRule type="expression" dxfId="1348" priority="9812">
      <formula>$H870="CÉLULA CONSTRUTIVA"</formula>
    </cfRule>
    <cfRule type="containsText" dxfId="1347" priority="9817" operator="containsText" text="Finalizado">
      <formula>NOT(ISERROR(SEARCH("Finalizado",P870)))</formula>
    </cfRule>
  </conditionalFormatting>
  <conditionalFormatting sqref="P872 P869">
    <cfRule type="containsText" dxfId="1346" priority="9832" operator="containsText" text="Pendente">
      <formula>NOT(ISERROR(SEARCH("Pendente",P869)))</formula>
    </cfRule>
    <cfRule type="containsText" dxfId="1345" priority="9834" operator="containsText" text="em andamento">
      <formula>NOT(ISERROR(SEARCH("em andamento",P869)))</formula>
    </cfRule>
    <cfRule type="containsText" dxfId="1344" priority="9833" operator="containsText" text="Finalizado">
      <formula>NOT(ISERROR(SEARCH("Finalizado",P869)))</formula>
    </cfRule>
    <cfRule type="expression" dxfId="1343" priority="9829">
      <formula>$H869="ETAPA"</formula>
    </cfRule>
    <cfRule type="expression" dxfId="1342" priority="9828">
      <formula>$H869="CÉLULA CONSTRUTIVA"</formula>
    </cfRule>
    <cfRule type="expression" dxfId="1341" priority="9827">
      <formula>$H869="SUBETAPA"</formula>
    </cfRule>
  </conditionalFormatting>
  <conditionalFormatting sqref="P873">
    <cfRule type="expression" dxfId="1340" priority="9804">
      <formula>$H873="CÉLULA CONSTRUTIVA"</formula>
    </cfRule>
    <cfRule type="containsText" dxfId="1339" priority="9806" operator="containsText" text="Lançado">
      <formula>NOT(ISERROR(SEARCH("Lançado",P873)))</formula>
    </cfRule>
    <cfRule type="expression" dxfId="1338" priority="9805">
      <formula>$H873="ETAPA"</formula>
    </cfRule>
    <cfRule type="containsText" dxfId="1337" priority="9808" operator="containsText" text="Pendente">
      <formula>NOT(ISERROR(SEARCH("Pendente",P873)))</formula>
    </cfRule>
    <cfRule type="expression" dxfId="1336" priority="9803">
      <formula>$H873="SUBETAPA"</formula>
    </cfRule>
    <cfRule type="containsText" dxfId="1335" priority="9807" operator="containsText" text="N/A">
      <formula>NOT(ISERROR(SEARCH("N/A",P873)))</formula>
    </cfRule>
    <cfRule type="containsText" dxfId="1334" priority="9809" operator="containsText" text="Finalizado">
      <formula>NOT(ISERROR(SEARCH("Finalizado",P873)))</formula>
    </cfRule>
    <cfRule type="containsText" dxfId="1333" priority="9810" operator="containsText" text="em andamento">
      <formula>NOT(ISERROR(SEARCH("em andamento",P873)))</formula>
    </cfRule>
  </conditionalFormatting>
  <conditionalFormatting sqref="P874:P875">
    <cfRule type="containsText" dxfId="1332" priority="10062" operator="containsText" text="Lançado">
      <formula>NOT(ISERROR(SEARCH("Lançado",P874)))</formula>
    </cfRule>
    <cfRule type="containsText" dxfId="1331" priority="10063" operator="containsText" text="N/A">
      <formula>NOT(ISERROR(SEARCH("N/A",P874)))</formula>
    </cfRule>
    <cfRule type="containsText" dxfId="1330" priority="10064" operator="containsText" text="Pendente">
      <formula>NOT(ISERROR(SEARCH("Pendente",P874)))</formula>
    </cfRule>
    <cfRule type="containsText" dxfId="1329" priority="10065" operator="containsText" text="Finalizado">
      <formula>NOT(ISERROR(SEARCH("Finalizado",P874)))</formula>
    </cfRule>
    <cfRule type="containsText" dxfId="1328" priority="10066" operator="containsText" text="em andamento">
      <formula>NOT(ISERROR(SEARCH("em andamento",P874)))</formula>
    </cfRule>
  </conditionalFormatting>
  <conditionalFormatting sqref="P876">
    <cfRule type="containsText" dxfId="1327" priority="9782" operator="containsText" text="Lançado">
      <formula>NOT(ISERROR(SEARCH("Lançado",P876)))</formula>
    </cfRule>
    <cfRule type="expression" dxfId="1326" priority="9779">
      <formula>$H876="SUBETAPA"</formula>
    </cfRule>
    <cfRule type="containsText" dxfId="1325" priority="9785" operator="containsText" text="Finalizado">
      <formula>NOT(ISERROR(SEARCH("Finalizado",P876)))</formula>
    </cfRule>
    <cfRule type="containsText" dxfId="1324" priority="9783" operator="containsText" text="N/A">
      <formula>NOT(ISERROR(SEARCH("N/A",P876)))</formula>
    </cfRule>
    <cfRule type="containsText" dxfId="1323" priority="9784" operator="containsText" text="Pendente">
      <formula>NOT(ISERROR(SEARCH("Pendente",P876)))</formula>
    </cfRule>
    <cfRule type="containsText" dxfId="1322" priority="9786" operator="containsText" text="em andamento">
      <formula>NOT(ISERROR(SEARCH("em andamento",P876)))</formula>
    </cfRule>
    <cfRule type="expression" dxfId="1321" priority="9780">
      <formula>$H876="CÉLULA CONSTRUTIVA"</formula>
    </cfRule>
    <cfRule type="expression" dxfId="1320" priority="9781">
      <formula>$H876="ETAPA"</formula>
    </cfRule>
  </conditionalFormatting>
  <conditionalFormatting sqref="P877 P880">
    <cfRule type="containsText" dxfId="1319" priority="9790" operator="containsText" text="Lançado">
      <formula>NOT(ISERROR(SEARCH("Lançado",P877)))</formula>
    </cfRule>
    <cfRule type="containsText" dxfId="1318" priority="9791" operator="containsText" text="N/A">
      <formula>NOT(ISERROR(SEARCH("N/A",P877)))</formula>
    </cfRule>
  </conditionalFormatting>
  <conditionalFormatting sqref="P878">
    <cfRule type="containsText" dxfId="1317" priority="9778" operator="containsText" text="em andamento">
      <formula>NOT(ISERROR(SEARCH("em andamento",P878)))</formula>
    </cfRule>
    <cfRule type="containsText" dxfId="1316" priority="9777" operator="containsText" text="Finalizado">
      <formula>NOT(ISERROR(SEARCH("Finalizado",P878)))</formula>
    </cfRule>
    <cfRule type="expression" dxfId="1315" priority="9773">
      <formula>$H878="ETAPA"</formula>
    </cfRule>
    <cfRule type="containsText" dxfId="1314" priority="9774" operator="containsText" text="Lançado">
      <formula>NOT(ISERROR(SEARCH("Lançado",P878)))</formula>
    </cfRule>
    <cfRule type="expression" dxfId="1313" priority="9772">
      <formula>$H878="CÉLULA CONSTRUTIVA"</formula>
    </cfRule>
    <cfRule type="expression" dxfId="1312" priority="9771">
      <formula>$H878="SUBETAPA"</formula>
    </cfRule>
    <cfRule type="containsText" dxfId="1311" priority="9775" operator="containsText" text="N/A">
      <formula>NOT(ISERROR(SEARCH("N/A",P878)))</formula>
    </cfRule>
    <cfRule type="containsText" dxfId="1310" priority="9776" operator="containsText" text="Pendente">
      <formula>NOT(ISERROR(SEARCH("Pendente",P878)))</formula>
    </cfRule>
  </conditionalFormatting>
  <conditionalFormatting sqref="P880 P877">
    <cfRule type="expression" dxfId="1309" priority="9789">
      <formula>$H877="ETAPA"</formula>
    </cfRule>
    <cfRule type="containsText" dxfId="1308" priority="9794" operator="containsText" text="em andamento">
      <formula>NOT(ISERROR(SEARCH("em andamento",P877)))</formula>
    </cfRule>
    <cfRule type="containsText" dxfId="1307" priority="9793" operator="containsText" text="Finalizado">
      <formula>NOT(ISERROR(SEARCH("Finalizado",P877)))</formula>
    </cfRule>
    <cfRule type="containsText" dxfId="1306" priority="9792" operator="containsText" text="Pendente">
      <formula>NOT(ISERROR(SEARCH("Pendente",P877)))</formula>
    </cfRule>
    <cfRule type="expression" dxfId="1305" priority="9787">
      <formula>$H877="SUBETAPA"</formula>
    </cfRule>
    <cfRule type="expression" dxfId="1304" priority="9788">
      <formula>$H877="CÉLULA CONSTRUTIVA"</formula>
    </cfRule>
  </conditionalFormatting>
  <conditionalFormatting sqref="P881">
    <cfRule type="expression" dxfId="1303" priority="9765">
      <formula>$H881="ETAPA"</formula>
    </cfRule>
    <cfRule type="containsText" dxfId="1302" priority="9768" operator="containsText" text="Pendente">
      <formula>NOT(ISERROR(SEARCH("Pendente",P881)))</formula>
    </cfRule>
    <cfRule type="expression" dxfId="1301" priority="9763">
      <formula>$H881="SUBETAPA"</formula>
    </cfRule>
    <cfRule type="containsText" dxfId="1300" priority="9770" operator="containsText" text="em andamento">
      <formula>NOT(ISERROR(SEARCH("em andamento",P881)))</formula>
    </cfRule>
    <cfRule type="expression" dxfId="1299" priority="9764">
      <formula>$H881="CÉLULA CONSTRUTIVA"</formula>
    </cfRule>
    <cfRule type="containsText" dxfId="1298" priority="9769" operator="containsText" text="Finalizado">
      <formula>NOT(ISERROR(SEARCH("Finalizado",P881)))</formula>
    </cfRule>
  </conditionalFormatting>
  <conditionalFormatting sqref="P881:P883">
    <cfRule type="containsText" dxfId="1297" priority="9766" operator="containsText" text="Lançado">
      <formula>NOT(ISERROR(SEARCH("Lançado",P881)))</formula>
    </cfRule>
    <cfRule type="containsText" dxfId="1296" priority="9767" operator="containsText" text="N/A">
      <formula>NOT(ISERROR(SEARCH("N/A",P881)))</formula>
    </cfRule>
  </conditionalFormatting>
  <conditionalFormatting sqref="P882:P883">
    <cfRule type="containsText" dxfId="1295" priority="10081" operator="containsText" text="Finalizado">
      <formula>NOT(ISERROR(SEARCH("Finalizado",P882)))</formula>
    </cfRule>
    <cfRule type="containsText" dxfId="1294" priority="10082" operator="containsText" text="em andamento">
      <formula>NOT(ISERROR(SEARCH("em andamento",P882)))</formula>
    </cfRule>
    <cfRule type="containsText" dxfId="1293" priority="10080" operator="containsText" text="Pendente">
      <formula>NOT(ISERROR(SEARCH("Pendente",P882)))</formula>
    </cfRule>
  </conditionalFormatting>
  <conditionalFormatting sqref="P884">
    <cfRule type="containsText" dxfId="1292" priority="9750" operator="containsText" text="Lançado">
      <formula>NOT(ISERROR(SEARCH("Lançado",P884)))</formula>
    </cfRule>
    <cfRule type="containsText" dxfId="1291" priority="9751" operator="containsText" text="N/A">
      <formula>NOT(ISERROR(SEARCH("N/A",P884)))</formula>
    </cfRule>
    <cfRule type="containsText" dxfId="1290" priority="9753" operator="containsText" text="Finalizado">
      <formula>NOT(ISERROR(SEARCH("Finalizado",P884)))</formula>
    </cfRule>
    <cfRule type="expression" dxfId="1289" priority="9749">
      <formula>$H884="ETAPA"</formula>
    </cfRule>
    <cfRule type="expression" dxfId="1288" priority="9748">
      <formula>$H884="CÉLULA CONSTRUTIVA"</formula>
    </cfRule>
    <cfRule type="expression" dxfId="1287" priority="9747">
      <formula>$H884="SUBETAPA"</formula>
    </cfRule>
    <cfRule type="containsText" dxfId="1286" priority="9752" operator="containsText" text="Pendente">
      <formula>NOT(ISERROR(SEARCH("Pendente",P884)))</formula>
    </cfRule>
    <cfRule type="containsText" dxfId="1285" priority="9754" operator="containsText" text="em andamento">
      <formula>NOT(ISERROR(SEARCH("em andamento",P884)))</formula>
    </cfRule>
  </conditionalFormatting>
  <conditionalFormatting sqref="P886">
    <cfRule type="containsText" dxfId="1284" priority="9746" operator="containsText" text="em andamento">
      <formula>NOT(ISERROR(SEARCH("em andamento",P886)))</formula>
    </cfRule>
    <cfRule type="containsText" dxfId="1283" priority="9745" operator="containsText" text="Finalizado">
      <formula>NOT(ISERROR(SEARCH("Finalizado",P886)))</formula>
    </cfRule>
    <cfRule type="containsText" dxfId="1282" priority="9744" operator="containsText" text="Pendente">
      <formula>NOT(ISERROR(SEARCH("Pendente",P886)))</formula>
    </cfRule>
    <cfRule type="expression" dxfId="1281" priority="9741">
      <formula>$H886="ETAPA"</formula>
    </cfRule>
    <cfRule type="expression" dxfId="1280" priority="9739">
      <formula>$H886="SUBETAPA"</formula>
    </cfRule>
    <cfRule type="expression" dxfId="1279" priority="9740">
      <formula>$H886="CÉLULA CONSTRUTIVA"</formula>
    </cfRule>
  </conditionalFormatting>
  <conditionalFormatting sqref="P886:P888">
    <cfRule type="containsText" dxfId="1278" priority="9742" operator="containsText" text="Lançado">
      <formula>NOT(ISERROR(SEARCH("Lançado",P886)))</formula>
    </cfRule>
    <cfRule type="containsText" dxfId="1277" priority="9743" operator="containsText" text="N/A">
      <formula>NOT(ISERROR(SEARCH("N/A",P886)))</formula>
    </cfRule>
  </conditionalFormatting>
  <conditionalFormatting sqref="P887:P888">
    <cfRule type="containsText" dxfId="1276" priority="10096" operator="containsText" text="Pendente">
      <formula>NOT(ISERROR(SEARCH("Pendente",P887)))</formula>
    </cfRule>
    <cfRule type="containsText" dxfId="1275" priority="10097" operator="containsText" text="Finalizado">
      <formula>NOT(ISERROR(SEARCH("Finalizado",P887)))</formula>
    </cfRule>
    <cfRule type="containsText" dxfId="1274" priority="10098" operator="containsText" text="em andamento">
      <formula>NOT(ISERROR(SEARCH("em andamento",P887)))</formula>
    </cfRule>
  </conditionalFormatting>
  <conditionalFormatting sqref="P889">
    <cfRule type="containsText" dxfId="1273" priority="9734" operator="containsText" text="Lançado">
      <formula>NOT(ISERROR(SEARCH("Lançado",P889)))</formula>
    </cfRule>
    <cfRule type="containsText" dxfId="1272" priority="9735" operator="containsText" text="N/A">
      <formula>NOT(ISERROR(SEARCH("N/A",P889)))</formula>
    </cfRule>
    <cfRule type="containsText" dxfId="1271" priority="9737" operator="containsText" text="Finalizado">
      <formula>NOT(ISERROR(SEARCH("Finalizado",P889)))</formula>
    </cfRule>
    <cfRule type="containsText" dxfId="1270" priority="9736" operator="containsText" text="Pendente">
      <formula>NOT(ISERROR(SEARCH("Pendente",P889)))</formula>
    </cfRule>
    <cfRule type="expression" dxfId="1269" priority="9731">
      <formula>$H889="SUBETAPA"</formula>
    </cfRule>
    <cfRule type="containsText" dxfId="1268" priority="9738" operator="containsText" text="em andamento">
      <formula>NOT(ISERROR(SEARCH("em andamento",P889)))</formula>
    </cfRule>
    <cfRule type="expression" dxfId="1267" priority="9732">
      <formula>$H889="CÉLULA CONSTRUTIVA"</formula>
    </cfRule>
    <cfRule type="expression" dxfId="1266" priority="9733">
      <formula>$H889="ETAPA"</formula>
    </cfRule>
  </conditionalFormatting>
  <conditionalFormatting sqref="P891">
    <cfRule type="containsText" dxfId="1265" priority="9729" operator="containsText" text="Finalizado">
      <formula>NOT(ISERROR(SEARCH("Finalizado",P891)))</formula>
    </cfRule>
    <cfRule type="containsText" dxfId="1264" priority="9730" operator="containsText" text="em andamento">
      <formula>NOT(ISERROR(SEARCH("em andamento",P891)))</formula>
    </cfRule>
    <cfRule type="expression" dxfId="1263" priority="9725">
      <formula>$H891="ETAPA"</formula>
    </cfRule>
    <cfRule type="containsText" dxfId="1262" priority="9726" operator="containsText" text="Lançado">
      <formula>NOT(ISERROR(SEARCH("Lançado",P891)))</formula>
    </cfRule>
    <cfRule type="expression" dxfId="1261" priority="9724">
      <formula>$H891="CÉLULA CONSTRUTIVA"</formula>
    </cfRule>
    <cfRule type="expression" dxfId="1260" priority="9723">
      <formula>$H891="SUBETAPA"</formula>
    </cfRule>
    <cfRule type="containsText" dxfId="1259" priority="9728" operator="containsText" text="Pendente">
      <formula>NOT(ISERROR(SEARCH("Pendente",P891)))</formula>
    </cfRule>
    <cfRule type="containsText" dxfId="1258" priority="9727" operator="containsText" text="N/A">
      <formula>NOT(ISERROR(SEARCH("N/A",P891)))</formula>
    </cfRule>
  </conditionalFormatting>
  <conditionalFormatting sqref="P892:P893">
    <cfRule type="containsText" dxfId="1257" priority="11332" operator="containsText" text="Pendente">
      <formula>NOT(ISERROR(SEARCH("Pendente",P892)))</formula>
    </cfRule>
    <cfRule type="containsText" dxfId="1256" priority="11331" operator="containsText" text="N/A">
      <formula>NOT(ISERROR(SEARCH("N/A",P892)))</formula>
    </cfRule>
    <cfRule type="containsText" dxfId="1255" priority="11330" operator="containsText" text="Lançado">
      <formula>NOT(ISERROR(SEARCH("Lançado",P892)))</formula>
    </cfRule>
    <cfRule type="containsText" dxfId="1254" priority="11333" operator="containsText" text="Finalizado">
      <formula>NOT(ISERROR(SEARCH("Finalizado",P892)))</formula>
    </cfRule>
    <cfRule type="containsText" dxfId="1253" priority="11334" operator="containsText" text="em andamento">
      <formula>NOT(ISERROR(SEARCH("em andamento",P892)))</formula>
    </cfRule>
  </conditionalFormatting>
  <conditionalFormatting sqref="P894">
    <cfRule type="containsText" dxfId="1252" priority="11326" operator="containsText" text="em andamento">
      <formula>NOT(ISERROR(SEARCH("em andamento",P894)))</formula>
    </cfRule>
    <cfRule type="containsText" dxfId="1251" priority="11325" operator="containsText" text="Finalizado">
      <formula>NOT(ISERROR(SEARCH("Finalizado",P894)))</formula>
    </cfRule>
    <cfRule type="containsText" dxfId="1250" priority="11324" operator="containsText" text="Pendente">
      <formula>NOT(ISERROR(SEARCH("Pendente",P894)))</formula>
    </cfRule>
    <cfRule type="containsText" dxfId="1249" priority="11323" operator="containsText" text="N/A">
      <formula>NOT(ISERROR(SEARCH("N/A",P894)))</formula>
    </cfRule>
    <cfRule type="containsText" dxfId="1248" priority="11322" operator="containsText" text="Lançado">
      <formula>NOT(ISERROR(SEARCH("Lançado",P894)))</formula>
    </cfRule>
  </conditionalFormatting>
  <conditionalFormatting sqref="P895:P899">
    <cfRule type="expression" dxfId="1247" priority="7474">
      <formula>$H895="SUBETAPA"</formula>
    </cfRule>
    <cfRule type="expression" dxfId="1246" priority="7475">
      <formula>$H895="CÉLULA CONSTRUTIVA"</formula>
    </cfRule>
    <cfRule type="containsText" dxfId="1245" priority="7481" operator="containsText" text="em andamento">
      <formula>NOT(ISERROR(SEARCH("em andamento",P895)))</formula>
    </cfRule>
    <cfRule type="containsText" dxfId="1244" priority="7480" operator="containsText" text="Finalizado">
      <formula>NOT(ISERROR(SEARCH("Finalizado",P895)))</formula>
    </cfRule>
    <cfRule type="containsText" dxfId="1243" priority="7479" operator="containsText" text="Pendente">
      <formula>NOT(ISERROR(SEARCH("Pendente",P895)))</formula>
    </cfRule>
    <cfRule type="expression" dxfId="1242" priority="7476">
      <formula>$H895="ETAPA"</formula>
    </cfRule>
  </conditionalFormatting>
  <conditionalFormatting sqref="P895:P900">
    <cfRule type="containsText" dxfId="1241" priority="7478" operator="containsText" text="N/A">
      <formula>NOT(ISERROR(SEARCH("N/A",P895)))</formula>
    </cfRule>
    <cfRule type="containsText" dxfId="1240" priority="7477" operator="containsText" text="Lançado">
      <formula>NOT(ISERROR(SEARCH("Lançado",P895)))</formula>
    </cfRule>
  </conditionalFormatting>
  <conditionalFormatting sqref="P900">
    <cfRule type="containsText" dxfId="1239" priority="9677" operator="containsText" text="Finalizado">
      <formula>NOT(ISERROR(SEARCH("Finalizado",P900)))</formula>
    </cfRule>
    <cfRule type="containsText" dxfId="1238" priority="9676" operator="containsText" text="Pendente">
      <formula>NOT(ISERROR(SEARCH("Pendente",P900)))</formula>
    </cfRule>
    <cfRule type="containsText" dxfId="1237" priority="9678" operator="containsText" text="em andamento">
      <formula>NOT(ISERROR(SEARCH("em andamento",P900)))</formula>
    </cfRule>
  </conditionalFormatting>
  <conditionalFormatting sqref="P901:P905">
    <cfRule type="expression" dxfId="1236" priority="7458">
      <formula>$H901="SUBETAPA"</formula>
    </cfRule>
    <cfRule type="expression" dxfId="1235" priority="7459">
      <formula>$H901="CÉLULA CONSTRUTIVA"</formula>
    </cfRule>
    <cfRule type="expression" dxfId="1234" priority="7460">
      <formula>$H901="ETAPA"</formula>
    </cfRule>
    <cfRule type="containsText" dxfId="1233" priority="7463" operator="containsText" text="Pendente">
      <formula>NOT(ISERROR(SEARCH("Pendente",P901)))</formula>
    </cfRule>
    <cfRule type="containsText" dxfId="1232" priority="7464" operator="containsText" text="Finalizado">
      <formula>NOT(ISERROR(SEARCH("Finalizado",P901)))</formula>
    </cfRule>
    <cfRule type="containsText" dxfId="1231" priority="7465" operator="containsText" text="em andamento">
      <formula>NOT(ISERROR(SEARCH("em andamento",P901)))</formula>
    </cfRule>
  </conditionalFormatting>
  <conditionalFormatting sqref="P901:P906">
    <cfRule type="containsText" dxfId="1230" priority="7461" operator="containsText" text="Lançado">
      <formula>NOT(ISERROR(SEARCH("Lançado",P901)))</formula>
    </cfRule>
    <cfRule type="containsText" dxfId="1229" priority="7462" operator="containsText" text="N/A">
      <formula>NOT(ISERROR(SEARCH("N/A",P901)))</formula>
    </cfRule>
  </conditionalFormatting>
  <conditionalFormatting sqref="P906">
    <cfRule type="containsText" dxfId="1228" priority="11316" operator="containsText" text="Pendente">
      <formula>NOT(ISERROR(SEARCH("Pendente",P906)))</formula>
    </cfRule>
    <cfRule type="containsText" dxfId="1227" priority="11318" operator="containsText" text="em andamento">
      <formula>NOT(ISERROR(SEARCH("em andamento",P906)))</formula>
    </cfRule>
    <cfRule type="containsText" dxfId="1226" priority="11317" operator="containsText" text="Finalizado">
      <formula>NOT(ISERROR(SEARCH("Finalizado",P906)))</formula>
    </cfRule>
  </conditionalFormatting>
  <conditionalFormatting sqref="P907">
    <cfRule type="expression" dxfId="1225" priority="7451">
      <formula>$H907="CÉLULA CONSTRUTIVA"</formula>
    </cfRule>
    <cfRule type="expression" dxfId="1224" priority="7452">
      <formula>$H907="ETAPA"</formula>
    </cfRule>
    <cfRule type="containsText" dxfId="1223" priority="7453" operator="containsText" text="Lançado">
      <formula>NOT(ISERROR(SEARCH("Lançado",P907)))</formula>
    </cfRule>
    <cfRule type="expression" dxfId="1222" priority="7450">
      <formula>$H907="SUBETAPA"</formula>
    </cfRule>
    <cfRule type="containsText" dxfId="1221" priority="7457" operator="containsText" text="em andamento">
      <formula>NOT(ISERROR(SEARCH("em andamento",P907)))</formula>
    </cfRule>
    <cfRule type="containsText" dxfId="1220" priority="7456" operator="containsText" text="Finalizado">
      <formula>NOT(ISERROR(SEARCH("Finalizado",P907)))</formula>
    </cfRule>
    <cfRule type="containsText" dxfId="1219" priority="7455" operator="containsText" text="Pendente">
      <formula>NOT(ISERROR(SEARCH("Pendente",P907)))</formula>
    </cfRule>
    <cfRule type="containsText" dxfId="1218" priority="7454" operator="containsText" text="N/A">
      <formula>NOT(ISERROR(SEARCH("N/A",P907)))</formula>
    </cfRule>
  </conditionalFormatting>
  <conditionalFormatting sqref="P909">
    <cfRule type="expression" dxfId="1217" priority="7442">
      <formula>$H909="SUBETAPA"</formula>
    </cfRule>
    <cfRule type="containsText" dxfId="1216" priority="7449" operator="containsText" text="em andamento">
      <formula>NOT(ISERROR(SEARCH("em andamento",P909)))</formula>
    </cfRule>
    <cfRule type="expression" dxfId="1215" priority="7443">
      <formula>$H909="CÉLULA CONSTRUTIVA"</formula>
    </cfRule>
    <cfRule type="containsText" dxfId="1214" priority="7447" operator="containsText" text="Pendente">
      <formula>NOT(ISERROR(SEARCH("Pendente",P909)))</formula>
    </cfRule>
    <cfRule type="containsText" dxfId="1213" priority="7448" operator="containsText" text="Finalizado">
      <formula>NOT(ISERROR(SEARCH("Finalizado",P909)))</formula>
    </cfRule>
    <cfRule type="containsText" dxfId="1212" priority="7446" operator="containsText" text="N/A">
      <formula>NOT(ISERROR(SEARCH("N/A",P909)))</formula>
    </cfRule>
    <cfRule type="expression" dxfId="1211" priority="7444">
      <formula>$H909="ETAPA"</formula>
    </cfRule>
    <cfRule type="containsText" dxfId="1210" priority="7445" operator="containsText" text="Lançado">
      <formula>NOT(ISERROR(SEARCH("Lançado",P909)))</formula>
    </cfRule>
  </conditionalFormatting>
  <conditionalFormatting sqref="P910">
    <cfRule type="containsText" dxfId="1209" priority="11265" operator="containsText" text="Lançado">
      <formula>NOT(ISERROR(SEARCH("Lançado",P910)))</formula>
    </cfRule>
    <cfRule type="containsText" dxfId="1208" priority="11266" operator="containsText" text="N/A">
      <formula>NOT(ISERROR(SEARCH("N/A",P910)))</formula>
    </cfRule>
    <cfRule type="containsText" dxfId="1207" priority="11267" operator="containsText" text="Pendente">
      <formula>NOT(ISERROR(SEARCH("Pendente",P910)))</formula>
    </cfRule>
    <cfRule type="containsText" dxfId="1206" priority="11268" operator="containsText" text="Finalizado">
      <formula>NOT(ISERROR(SEARCH("Finalizado",P910)))</formula>
    </cfRule>
    <cfRule type="containsText" dxfId="1205" priority="11269" operator="containsText" text="em andamento">
      <formula>NOT(ISERROR(SEARCH("em andamento",P910)))</formula>
    </cfRule>
  </conditionalFormatting>
  <conditionalFormatting sqref="P913 P917 P919">
    <cfRule type="containsText" dxfId="1204" priority="11275" operator="containsText" text="Pendente">
      <formula>NOT(ISERROR(SEARCH("Pendente",P913)))</formula>
    </cfRule>
    <cfRule type="containsText" dxfId="1203" priority="11274" operator="containsText" text="N/A">
      <formula>NOT(ISERROR(SEARCH("N/A",P913)))</formula>
    </cfRule>
    <cfRule type="containsText" dxfId="1202" priority="11273" operator="containsText" text="Lançado">
      <formula>NOT(ISERROR(SEARCH("Lançado",P913)))</formula>
    </cfRule>
    <cfRule type="containsText" dxfId="1201" priority="11276" operator="containsText" text="Finalizado">
      <formula>NOT(ISERROR(SEARCH("Finalizado",P913)))</formula>
    </cfRule>
    <cfRule type="containsText" dxfId="1200" priority="11277" operator="containsText" text="em andamento">
      <formula>NOT(ISERROR(SEARCH("em andamento",P913)))</formula>
    </cfRule>
  </conditionalFormatting>
  <conditionalFormatting sqref="P914:P916">
    <cfRule type="containsText" dxfId="1199" priority="7427" operator="containsText" text="N/A">
      <formula>NOT(ISERROR(SEARCH("N/A",P914)))</formula>
    </cfRule>
    <cfRule type="expression" dxfId="1198" priority="7425">
      <formula>$H914="ETAPA"</formula>
    </cfRule>
    <cfRule type="containsText" dxfId="1197" priority="7426" operator="containsText" text="Lançado">
      <formula>NOT(ISERROR(SEARCH("Lançado",P914)))</formula>
    </cfRule>
    <cfRule type="containsText" dxfId="1196" priority="7428" operator="containsText" text="Pendente">
      <formula>NOT(ISERROR(SEARCH("Pendente",P914)))</formula>
    </cfRule>
    <cfRule type="expression" dxfId="1195" priority="7424">
      <formula>$H914="CÉLULA CONSTRUTIVA"</formula>
    </cfRule>
    <cfRule type="expression" dxfId="1194" priority="7423">
      <formula>$H914="SUBETAPA"</formula>
    </cfRule>
    <cfRule type="containsText" dxfId="1193" priority="7430" operator="containsText" text="em andamento">
      <formula>NOT(ISERROR(SEARCH("em andamento",P914)))</formula>
    </cfRule>
    <cfRule type="containsText" dxfId="1192" priority="7429" operator="containsText" text="Finalizado">
      <formula>NOT(ISERROR(SEARCH("Finalizado",P914)))</formula>
    </cfRule>
  </conditionalFormatting>
  <conditionalFormatting sqref="P918">
    <cfRule type="containsText" dxfId="1191" priority="7418" operator="containsText" text="Lançado">
      <formula>NOT(ISERROR(SEARCH("Lançado",P918)))</formula>
    </cfRule>
    <cfRule type="expression" dxfId="1190" priority="7417">
      <formula>$H918="ETAPA"</formula>
    </cfRule>
    <cfRule type="expression" dxfId="1189" priority="7416">
      <formula>$H918="CÉLULA CONSTRUTIVA"</formula>
    </cfRule>
    <cfRule type="containsText" dxfId="1188" priority="7419" operator="containsText" text="N/A">
      <formula>NOT(ISERROR(SEARCH("N/A",P918)))</formula>
    </cfRule>
    <cfRule type="containsText" dxfId="1187" priority="7422" operator="containsText" text="em andamento">
      <formula>NOT(ISERROR(SEARCH("em andamento",P918)))</formula>
    </cfRule>
    <cfRule type="containsText" dxfId="1186" priority="7421" operator="containsText" text="Finalizado">
      <formula>NOT(ISERROR(SEARCH("Finalizado",P918)))</formula>
    </cfRule>
    <cfRule type="containsText" dxfId="1185" priority="7420" operator="containsText" text="Pendente">
      <formula>NOT(ISERROR(SEARCH("Pendente",P918)))</formula>
    </cfRule>
    <cfRule type="expression" dxfId="1184" priority="7415">
      <formula>$H918="SUBETAPA"</formula>
    </cfRule>
  </conditionalFormatting>
  <conditionalFormatting sqref="P920">
    <cfRule type="expression" dxfId="1183" priority="7409">
      <formula>$H920="ETAPA"</formula>
    </cfRule>
    <cfRule type="containsText" dxfId="1182" priority="7411" operator="containsText" text="N/A">
      <formula>NOT(ISERROR(SEARCH("N/A",P920)))</formula>
    </cfRule>
    <cfRule type="containsText" dxfId="1181" priority="7410" operator="containsText" text="Lançado">
      <formula>NOT(ISERROR(SEARCH("Lançado",P920)))</formula>
    </cfRule>
    <cfRule type="containsText" dxfId="1180" priority="7412" operator="containsText" text="Pendente">
      <formula>NOT(ISERROR(SEARCH("Pendente",P920)))</formula>
    </cfRule>
    <cfRule type="containsText" dxfId="1179" priority="7413" operator="containsText" text="Finalizado">
      <formula>NOT(ISERROR(SEARCH("Finalizado",P920)))</formula>
    </cfRule>
    <cfRule type="containsText" dxfId="1178" priority="7414" operator="containsText" text="em andamento">
      <formula>NOT(ISERROR(SEARCH("em andamento",P920)))</formula>
    </cfRule>
    <cfRule type="expression" dxfId="1177" priority="7407">
      <formula>$H920="SUBETAPA"</formula>
    </cfRule>
    <cfRule type="expression" dxfId="1176" priority="7408">
      <formula>$H920="CÉLULA CONSTRUTIVA"</formula>
    </cfRule>
  </conditionalFormatting>
  <conditionalFormatting sqref="P921">
    <cfRule type="containsText" dxfId="1175" priority="8044" operator="containsText" text="em andamento">
      <formula>NOT(ISERROR(SEARCH("em andamento",P921)))</formula>
    </cfRule>
    <cfRule type="containsText" dxfId="1174" priority="8043" operator="containsText" text="Finalizado">
      <formula>NOT(ISERROR(SEARCH("Finalizado",P921)))</formula>
    </cfRule>
    <cfRule type="containsText" dxfId="1173" priority="8042" operator="containsText" text="Pendente">
      <formula>NOT(ISERROR(SEARCH("Pendente",P921)))</formula>
    </cfRule>
    <cfRule type="containsText" dxfId="1172" priority="8041" operator="containsText" text="N/A">
      <formula>NOT(ISERROR(SEARCH("N/A",P921)))</formula>
    </cfRule>
    <cfRule type="containsText" dxfId="1171" priority="8040" operator="containsText" text="Lançado">
      <formula>NOT(ISERROR(SEARCH("Lançado",P921)))</formula>
    </cfRule>
  </conditionalFormatting>
  <conditionalFormatting sqref="P922">
    <cfRule type="containsText" dxfId="1170" priority="8035" operator="containsText" text="Finalizado">
      <formula>NOT(ISERROR(SEARCH("Finalizado",P922)))</formula>
    </cfRule>
    <cfRule type="containsText" dxfId="1169" priority="8036" operator="containsText" text="em andamento">
      <formula>NOT(ISERROR(SEARCH("em andamento",P922)))</formula>
    </cfRule>
    <cfRule type="containsText" dxfId="1168" priority="8034" operator="containsText" text="Pendente">
      <formula>NOT(ISERROR(SEARCH("Pendente",P922)))</formula>
    </cfRule>
    <cfRule type="containsText" dxfId="1167" priority="8033" operator="containsText" text="N/A">
      <formula>NOT(ISERROR(SEARCH("N/A",P922)))</formula>
    </cfRule>
    <cfRule type="containsText" dxfId="1166" priority="8032" operator="containsText" text="Lançado">
      <formula>NOT(ISERROR(SEARCH("Lançado",P922)))</formula>
    </cfRule>
  </conditionalFormatting>
  <conditionalFormatting sqref="P923">
    <cfRule type="containsText" dxfId="1165" priority="7404" operator="containsText" text="Pendente">
      <formula>NOT(ISERROR(SEARCH("Pendente",P923)))</formula>
    </cfRule>
    <cfRule type="expression" dxfId="1164" priority="7399">
      <formula>$H923="SUBETAPA"</formula>
    </cfRule>
    <cfRule type="expression" dxfId="1163" priority="7400">
      <formula>$H923="CÉLULA CONSTRUTIVA"</formula>
    </cfRule>
    <cfRule type="expression" dxfId="1162" priority="7401">
      <formula>$H923="ETAPA"</formula>
    </cfRule>
    <cfRule type="containsText" dxfId="1161" priority="7402" operator="containsText" text="Lançado">
      <formula>NOT(ISERROR(SEARCH("Lançado",P923)))</formula>
    </cfRule>
    <cfRule type="containsText" dxfId="1160" priority="7406" operator="containsText" text="em andamento">
      <formula>NOT(ISERROR(SEARCH("em andamento",P923)))</formula>
    </cfRule>
    <cfRule type="containsText" dxfId="1159" priority="7405" operator="containsText" text="Finalizado">
      <formula>NOT(ISERROR(SEARCH("Finalizado",P923)))</formula>
    </cfRule>
    <cfRule type="containsText" dxfId="1158" priority="7403" operator="containsText" text="N/A">
      <formula>NOT(ISERROR(SEARCH("N/A",P923)))</formula>
    </cfRule>
  </conditionalFormatting>
  <conditionalFormatting sqref="P924">
    <cfRule type="expression" dxfId="1157" priority="7391">
      <formula>$H924="SUBETAPA"</formula>
    </cfRule>
    <cfRule type="containsText" dxfId="1156" priority="7397" operator="containsText" text="Finalizado">
      <formula>NOT(ISERROR(SEARCH("Finalizado",P924)))</formula>
    </cfRule>
    <cfRule type="containsText" dxfId="1155" priority="7398" operator="containsText" text="em andamento">
      <formula>NOT(ISERROR(SEARCH("em andamento",P924)))</formula>
    </cfRule>
    <cfRule type="containsText" dxfId="1154" priority="7396" operator="containsText" text="Pendente">
      <formula>NOT(ISERROR(SEARCH("Pendente",P924)))</formula>
    </cfRule>
    <cfRule type="expression" dxfId="1153" priority="7393">
      <formula>$H924="ETAPA"</formula>
    </cfRule>
    <cfRule type="expression" dxfId="1152" priority="7392">
      <formula>$H924="CÉLULA CONSTRUTIVA"</formula>
    </cfRule>
  </conditionalFormatting>
  <conditionalFormatting sqref="P924:P925">
    <cfRule type="containsText" dxfId="1151" priority="7395" operator="containsText" text="N/A">
      <formula>NOT(ISERROR(SEARCH("N/A",P924)))</formula>
    </cfRule>
    <cfRule type="containsText" dxfId="1150" priority="7394" operator="containsText" text="Lançado">
      <formula>NOT(ISERROR(SEARCH("Lançado",P924)))</formula>
    </cfRule>
  </conditionalFormatting>
  <conditionalFormatting sqref="P925">
    <cfRule type="containsText" dxfId="1149" priority="8028" operator="containsText" text="em andamento">
      <formula>NOT(ISERROR(SEARCH("em andamento",P925)))</formula>
    </cfRule>
    <cfRule type="containsText" dxfId="1148" priority="8027" operator="containsText" text="Finalizado">
      <formula>NOT(ISERROR(SEARCH("Finalizado",P925)))</formula>
    </cfRule>
    <cfRule type="containsText" dxfId="1147" priority="8026" operator="containsText" text="Pendente">
      <formula>NOT(ISERROR(SEARCH("Pendente",P925)))</formula>
    </cfRule>
  </conditionalFormatting>
  <conditionalFormatting sqref="P926">
    <cfRule type="containsText" dxfId="1146" priority="7388" operator="containsText" text="Pendente">
      <formula>NOT(ISERROR(SEARCH("Pendente",P926)))</formula>
    </cfRule>
    <cfRule type="containsText" dxfId="1145" priority="7390" operator="containsText" text="em andamento">
      <formula>NOT(ISERROR(SEARCH("em andamento",P926)))</formula>
    </cfRule>
    <cfRule type="containsText" dxfId="1144" priority="7389" operator="containsText" text="Finalizado">
      <formula>NOT(ISERROR(SEARCH("Finalizado",P926)))</formula>
    </cfRule>
    <cfRule type="expression" dxfId="1143" priority="7383">
      <formula>$H926="SUBETAPA"</formula>
    </cfRule>
    <cfRule type="expression" dxfId="1142" priority="7385">
      <formula>$H926="ETAPA"</formula>
    </cfRule>
    <cfRule type="expression" dxfId="1141" priority="7384">
      <formula>$H926="CÉLULA CONSTRUTIVA"</formula>
    </cfRule>
    <cfRule type="containsText" dxfId="1140" priority="7386" operator="containsText" text="Lançado">
      <formula>NOT(ISERROR(SEARCH("Lançado",P926)))</formula>
    </cfRule>
    <cfRule type="containsText" dxfId="1139" priority="7387" operator="containsText" text="N/A">
      <formula>NOT(ISERROR(SEARCH("N/A",P926)))</formula>
    </cfRule>
  </conditionalFormatting>
  <conditionalFormatting sqref="P927">
    <cfRule type="containsText" dxfId="1138" priority="8002" operator="containsText" text="em andamento">
      <formula>NOT(ISERROR(SEARCH("em andamento",P927)))</formula>
    </cfRule>
    <cfRule type="containsText" dxfId="1137" priority="8001" operator="containsText" text="Finalizado">
      <formula>NOT(ISERROR(SEARCH("Finalizado",P927)))</formula>
    </cfRule>
    <cfRule type="containsText" dxfId="1136" priority="7999" operator="containsText" text="N/A">
      <formula>NOT(ISERROR(SEARCH("N/A",P927)))</formula>
    </cfRule>
    <cfRule type="containsText" dxfId="1135" priority="7998" operator="containsText" text="Lançado">
      <formula>NOT(ISERROR(SEARCH("Lançado",P927)))</formula>
    </cfRule>
    <cfRule type="containsText" dxfId="1134" priority="8000" operator="containsText" text="Pendente">
      <formula>NOT(ISERROR(SEARCH("Pendente",P927)))</formula>
    </cfRule>
  </conditionalFormatting>
  <conditionalFormatting sqref="P928:P929">
    <cfRule type="expression" dxfId="1133" priority="7375">
      <formula>$H928="SUBETAPA"</formula>
    </cfRule>
    <cfRule type="expression" dxfId="1132" priority="7376">
      <formula>$H928="CÉLULA CONSTRUTIVA"</formula>
    </cfRule>
    <cfRule type="expression" dxfId="1131" priority="7377">
      <formula>$H928="ETAPA"</formula>
    </cfRule>
    <cfRule type="containsText" dxfId="1130" priority="7378" operator="containsText" text="Lançado">
      <formula>NOT(ISERROR(SEARCH("Lançado",P928)))</formula>
    </cfRule>
    <cfRule type="containsText" dxfId="1129" priority="7380" operator="containsText" text="Pendente">
      <formula>NOT(ISERROR(SEARCH("Pendente",P928)))</formula>
    </cfRule>
    <cfRule type="containsText" dxfId="1128" priority="7381" operator="containsText" text="Finalizado">
      <formula>NOT(ISERROR(SEARCH("Finalizado",P928)))</formula>
    </cfRule>
    <cfRule type="containsText" dxfId="1127" priority="7382" operator="containsText" text="em andamento">
      <formula>NOT(ISERROR(SEARCH("em andamento",P928)))</formula>
    </cfRule>
    <cfRule type="containsText" dxfId="1126" priority="7379" operator="containsText" text="N/A">
      <formula>NOT(ISERROR(SEARCH("N/A",P928)))</formula>
    </cfRule>
  </conditionalFormatting>
  <conditionalFormatting sqref="P930">
    <cfRule type="containsText" dxfId="1125" priority="8007" operator="containsText" text="N/A">
      <formula>NOT(ISERROR(SEARCH("N/A",P930)))</formula>
    </cfRule>
    <cfRule type="containsText" dxfId="1124" priority="8006" operator="containsText" text="Lançado">
      <formula>NOT(ISERROR(SEARCH("Lançado",P930)))</formula>
    </cfRule>
    <cfRule type="containsText" dxfId="1123" priority="8010" operator="containsText" text="em andamento">
      <formula>NOT(ISERROR(SEARCH("em andamento",P930)))</formula>
    </cfRule>
    <cfRule type="containsText" dxfId="1122" priority="8009" operator="containsText" text="Finalizado">
      <formula>NOT(ISERROR(SEARCH("Finalizado",P930)))</formula>
    </cfRule>
    <cfRule type="containsText" dxfId="1121" priority="8008" operator="containsText" text="Pendente">
      <formula>NOT(ISERROR(SEARCH("Pendente",P930)))</formula>
    </cfRule>
  </conditionalFormatting>
  <conditionalFormatting sqref="P931">
    <cfRule type="expression" dxfId="1120" priority="7367">
      <formula>$H931="SUBETAPA"</formula>
    </cfRule>
    <cfRule type="expression" dxfId="1119" priority="7368">
      <formula>$H931="CÉLULA CONSTRUTIVA"</formula>
    </cfRule>
    <cfRule type="expression" dxfId="1118" priority="7369">
      <formula>$H931="ETAPA"</formula>
    </cfRule>
    <cfRule type="containsText" dxfId="1117" priority="7370" operator="containsText" text="Lançado">
      <formula>NOT(ISERROR(SEARCH("Lançado",P931)))</formula>
    </cfRule>
    <cfRule type="containsText" dxfId="1116" priority="7373" operator="containsText" text="Finalizado">
      <formula>NOT(ISERROR(SEARCH("Finalizado",P931)))</formula>
    </cfRule>
    <cfRule type="containsText" dxfId="1115" priority="7371" operator="containsText" text="N/A">
      <formula>NOT(ISERROR(SEARCH("N/A",P931)))</formula>
    </cfRule>
    <cfRule type="containsText" dxfId="1114" priority="7372" operator="containsText" text="Pendente">
      <formula>NOT(ISERROR(SEARCH("Pendente",P931)))</formula>
    </cfRule>
    <cfRule type="containsText" dxfId="1113" priority="7374" operator="containsText" text="em andamento">
      <formula>NOT(ISERROR(SEARCH("em andamento",P931)))</formula>
    </cfRule>
  </conditionalFormatting>
  <conditionalFormatting sqref="P932">
    <cfRule type="containsText" dxfId="1112" priority="8330" operator="containsText" text="Finalizado">
      <formula>NOT(ISERROR(SEARCH("Finalizado",P932)))</formula>
    </cfRule>
    <cfRule type="containsText" dxfId="1111" priority="8327" operator="containsText" text="Lançado">
      <formula>NOT(ISERROR(SEARCH("Lançado",P932)))</formula>
    </cfRule>
    <cfRule type="containsText" dxfId="1110" priority="8328" operator="containsText" text="N/A">
      <formula>NOT(ISERROR(SEARCH("N/A",P932)))</formula>
    </cfRule>
    <cfRule type="containsText" dxfId="1109" priority="8329" operator="containsText" text="Pendente">
      <formula>NOT(ISERROR(SEARCH("Pendente",P932)))</formula>
    </cfRule>
    <cfRule type="containsText" dxfId="1108" priority="8331" operator="containsText" text="em andamento">
      <formula>NOT(ISERROR(SEARCH("em andamento",P932)))</formula>
    </cfRule>
  </conditionalFormatting>
  <conditionalFormatting sqref="P933">
    <cfRule type="containsText" dxfId="1107" priority="8319" operator="containsText" text="Lançado">
      <formula>NOT(ISERROR(SEARCH("Lançado",P933)))</formula>
    </cfRule>
    <cfRule type="containsText" dxfId="1106" priority="8320" operator="containsText" text="N/A">
      <formula>NOT(ISERROR(SEARCH("N/A",P933)))</formula>
    </cfRule>
    <cfRule type="containsText" dxfId="1105" priority="8321" operator="containsText" text="Pendente">
      <formula>NOT(ISERROR(SEARCH("Pendente",P933)))</formula>
    </cfRule>
    <cfRule type="containsText" dxfId="1104" priority="8322" operator="containsText" text="Finalizado">
      <formula>NOT(ISERROR(SEARCH("Finalizado",P933)))</formula>
    </cfRule>
    <cfRule type="containsText" dxfId="1103" priority="8323" operator="containsText" text="em andamento">
      <formula>NOT(ISERROR(SEARCH("em andamento",P933)))</formula>
    </cfRule>
  </conditionalFormatting>
  <conditionalFormatting sqref="P934:P935">
    <cfRule type="expression" dxfId="1102" priority="7359">
      <formula>$H934="SUBETAPA"</formula>
    </cfRule>
    <cfRule type="expression" dxfId="1101" priority="7361">
      <formula>$H934="ETAPA"</formula>
    </cfRule>
    <cfRule type="expression" dxfId="1100" priority="7360">
      <formula>$H934="CÉLULA CONSTRUTIVA"</formula>
    </cfRule>
    <cfRule type="containsText" dxfId="1099" priority="7364" operator="containsText" text="Pendente">
      <formula>NOT(ISERROR(SEARCH("Pendente",P934)))</formula>
    </cfRule>
    <cfRule type="containsText" dxfId="1098" priority="7365" operator="containsText" text="Finalizado">
      <formula>NOT(ISERROR(SEARCH("Finalizado",P934)))</formula>
    </cfRule>
    <cfRule type="containsText" dxfId="1097" priority="7366" operator="containsText" text="em andamento">
      <formula>NOT(ISERROR(SEARCH("em andamento",P934)))</formula>
    </cfRule>
  </conditionalFormatting>
  <conditionalFormatting sqref="P934:P936">
    <cfRule type="containsText" dxfId="1096" priority="7363" operator="containsText" text="N/A">
      <formula>NOT(ISERROR(SEARCH("N/A",P934)))</formula>
    </cfRule>
    <cfRule type="containsText" dxfId="1095" priority="7362" operator="containsText" text="Lançado">
      <formula>NOT(ISERROR(SEARCH("Lançado",P934)))</formula>
    </cfRule>
  </conditionalFormatting>
  <conditionalFormatting sqref="P936">
    <cfRule type="containsText" dxfId="1094" priority="8314" operator="containsText" text="Finalizado">
      <formula>NOT(ISERROR(SEARCH("Finalizado",P936)))</formula>
    </cfRule>
    <cfRule type="containsText" dxfId="1093" priority="8313" operator="containsText" text="Pendente">
      <formula>NOT(ISERROR(SEARCH("Pendente",P936)))</formula>
    </cfRule>
    <cfRule type="containsText" dxfId="1092" priority="8315" operator="containsText" text="em andamento">
      <formula>NOT(ISERROR(SEARCH("em andamento",P936)))</formula>
    </cfRule>
  </conditionalFormatting>
  <conditionalFormatting sqref="P937">
    <cfRule type="expression" dxfId="1091" priority="7351">
      <formula>$H937="SUBETAPA"</formula>
    </cfRule>
    <cfRule type="containsText" dxfId="1090" priority="7356" operator="containsText" text="Pendente">
      <formula>NOT(ISERROR(SEARCH("Pendente",P937)))</formula>
    </cfRule>
    <cfRule type="containsText" dxfId="1089" priority="7357" operator="containsText" text="Finalizado">
      <formula>NOT(ISERROR(SEARCH("Finalizado",P937)))</formula>
    </cfRule>
    <cfRule type="containsText" dxfId="1088" priority="7358" operator="containsText" text="em andamento">
      <formula>NOT(ISERROR(SEARCH("em andamento",P937)))</formula>
    </cfRule>
    <cfRule type="containsText" dxfId="1087" priority="7354" operator="containsText" text="Lançado">
      <formula>NOT(ISERROR(SEARCH("Lançado",P937)))</formula>
    </cfRule>
    <cfRule type="expression" dxfId="1086" priority="7353">
      <formula>$H937="ETAPA"</formula>
    </cfRule>
    <cfRule type="containsText" dxfId="1085" priority="7355" operator="containsText" text="N/A">
      <formula>NOT(ISERROR(SEARCH("N/A",P937)))</formula>
    </cfRule>
    <cfRule type="expression" dxfId="1084" priority="7352">
      <formula>$H937="CÉLULA CONSTRUTIVA"</formula>
    </cfRule>
  </conditionalFormatting>
  <conditionalFormatting sqref="P938">
    <cfRule type="containsText" dxfId="1083" priority="8285" operator="containsText" text="Lançado">
      <formula>NOT(ISERROR(SEARCH("Lançado",P938)))</formula>
    </cfRule>
    <cfRule type="containsText" dxfId="1082" priority="8289" operator="containsText" text="em andamento">
      <formula>NOT(ISERROR(SEARCH("em andamento",P938)))</formula>
    </cfRule>
    <cfRule type="containsText" dxfId="1081" priority="8288" operator="containsText" text="Finalizado">
      <formula>NOT(ISERROR(SEARCH("Finalizado",P938)))</formula>
    </cfRule>
    <cfRule type="containsText" dxfId="1080" priority="8287" operator="containsText" text="Pendente">
      <formula>NOT(ISERROR(SEARCH("Pendente",P938)))</formula>
    </cfRule>
    <cfRule type="containsText" dxfId="1079" priority="8286" operator="containsText" text="N/A">
      <formula>NOT(ISERROR(SEARCH("N/A",P938)))</formula>
    </cfRule>
  </conditionalFormatting>
  <conditionalFormatting sqref="P939:P940">
    <cfRule type="expression" dxfId="1078" priority="7343">
      <formula>$H939="SUBETAPA"</formula>
    </cfRule>
    <cfRule type="containsText" dxfId="1077" priority="7350" operator="containsText" text="em andamento">
      <formula>NOT(ISERROR(SEARCH("em andamento",P939)))</formula>
    </cfRule>
    <cfRule type="containsText" dxfId="1076" priority="7349" operator="containsText" text="Finalizado">
      <formula>NOT(ISERROR(SEARCH("Finalizado",P939)))</formula>
    </cfRule>
    <cfRule type="containsText" dxfId="1075" priority="7348" operator="containsText" text="Pendente">
      <formula>NOT(ISERROR(SEARCH("Pendente",P939)))</formula>
    </cfRule>
    <cfRule type="containsText" dxfId="1074" priority="7347" operator="containsText" text="N/A">
      <formula>NOT(ISERROR(SEARCH("N/A",P939)))</formula>
    </cfRule>
    <cfRule type="containsText" dxfId="1073" priority="7346" operator="containsText" text="Lançado">
      <formula>NOT(ISERROR(SEARCH("Lançado",P939)))</formula>
    </cfRule>
    <cfRule type="expression" dxfId="1072" priority="7345">
      <formula>$H939="ETAPA"</formula>
    </cfRule>
    <cfRule type="expression" dxfId="1071" priority="7344">
      <formula>$H939="CÉLULA CONSTRUTIVA"</formula>
    </cfRule>
  </conditionalFormatting>
  <conditionalFormatting sqref="P941">
    <cfRule type="containsText" dxfId="1070" priority="8297" operator="containsText" text="em andamento">
      <formula>NOT(ISERROR(SEARCH("em andamento",P941)))</formula>
    </cfRule>
    <cfRule type="containsText" dxfId="1069" priority="8293" operator="containsText" text="Lançado">
      <formula>NOT(ISERROR(SEARCH("Lançado",P941)))</formula>
    </cfRule>
    <cfRule type="containsText" dxfId="1068" priority="8294" operator="containsText" text="N/A">
      <formula>NOT(ISERROR(SEARCH("N/A",P941)))</formula>
    </cfRule>
    <cfRule type="containsText" dxfId="1067" priority="8295" operator="containsText" text="Pendente">
      <formula>NOT(ISERROR(SEARCH("Pendente",P941)))</formula>
    </cfRule>
    <cfRule type="containsText" dxfId="1066" priority="8296" operator="containsText" text="Finalizado">
      <formula>NOT(ISERROR(SEARCH("Finalizado",P941)))</formula>
    </cfRule>
  </conditionalFormatting>
  <conditionalFormatting sqref="P942">
    <cfRule type="containsText" dxfId="1065" priority="7338" operator="containsText" text="Lançado">
      <formula>NOT(ISERROR(SEARCH("Lançado",P942)))</formula>
    </cfRule>
    <cfRule type="containsText" dxfId="1064" priority="7339" operator="containsText" text="N/A">
      <formula>NOT(ISERROR(SEARCH("N/A",P942)))</formula>
    </cfRule>
    <cfRule type="containsText" dxfId="1063" priority="7340" operator="containsText" text="Pendente">
      <formula>NOT(ISERROR(SEARCH("Pendente",P942)))</formula>
    </cfRule>
    <cfRule type="containsText" dxfId="1062" priority="7341" operator="containsText" text="Finalizado">
      <formula>NOT(ISERROR(SEARCH("Finalizado",P942)))</formula>
    </cfRule>
    <cfRule type="expression" dxfId="1061" priority="7336">
      <formula>$H942="CÉLULA CONSTRUTIVA"</formula>
    </cfRule>
    <cfRule type="expression" dxfId="1060" priority="7335">
      <formula>$H942="SUBETAPA"</formula>
    </cfRule>
    <cfRule type="expression" dxfId="1059" priority="7337">
      <formula>$H942="ETAPA"</formula>
    </cfRule>
    <cfRule type="containsText" dxfId="1058" priority="7342" operator="containsText" text="em andamento">
      <formula>NOT(ISERROR(SEARCH("em andamento",P942)))</formula>
    </cfRule>
  </conditionalFormatting>
  <conditionalFormatting sqref="P943">
    <cfRule type="containsText" dxfId="1057" priority="8618" operator="containsText" text="em andamento">
      <formula>NOT(ISERROR(SEARCH("em andamento",P943)))</formula>
    </cfRule>
    <cfRule type="containsText" dxfId="1056" priority="8617" operator="containsText" text="Finalizado">
      <formula>NOT(ISERROR(SEARCH("Finalizado",P943)))</formula>
    </cfRule>
    <cfRule type="containsText" dxfId="1055" priority="8616" operator="containsText" text="Pendente">
      <formula>NOT(ISERROR(SEARCH("Pendente",P943)))</formula>
    </cfRule>
    <cfRule type="containsText" dxfId="1054" priority="8615" operator="containsText" text="N/A">
      <formula>NOT(ISERROR(SEARCH("N/A",P943)))</formula>
    </cfRule>
    <cfRule type="containsText" dxfId="1053" priority="8614" operator="containsText" text="Lançado">
      <formula>NOT(ISERROR(SEARCH("Lançado",P943)))</formula>
    </cfRule>
  </conditionalFormatting>
  <conditionalFormatting sqref="P944">
    <cfRule type="containsText" dxfId="1052" priority="8608" operator="containsText" text="Pendente">
      <formula>NOT(ISERROR(SEARCH("Pendente",P944)))</formula>
    </cfRule>
    <cfRule type="containsText" dxfId="1051" priority="8610" operator="containsText" text="em andamento">
      <formula>NOT(ISERROR(SEARCH("em andamento",P944)))</formula>
    </cfRule>
    <cfRule type="containsText" dxfId="1050" priority="8609" operator="containsText" text="Finalizado">
      <formula>NOT(ISERROR(SEARCH("Finalizado",P944)))</formula>
    </cfRule>
    <cfRule type="containsText" dxfId="1049" priority="8606" operator="containsText" text="Lançado">
      <formula>NOT(ISERROR(SEARCH("Lançado",P944)))</formula>
    </cfRule>
    <cfRule type="containsText" dxfId="1048" priority="8607" operator="containsText" text="N/A">
      <formula>NOT(ISERROR(SEARCH("N/A",P944)))</formula>
    </cfRule>
  </conditionalFormatting>
  <conditionalFormatting sqref="P945">
    <cfRule type="containsText" dxfId="1047" priority="7332" operator="containsText" text="Pendente">
      <formula>NOT(ISERROR(SEARCH("Pendente",P945)))</formula>
    </cfRule>
    <cfRule type="containsText" dxfId="1046" priority="7333" operator="containsText" text="Finalizado">
      <formula>NOT(ISERROR(SEARCH("Finalizado",P945)))</formula>
    </cfRule>
    <cfRule type="containsText" dxfId="1045" priority="7334" operator="containsText" text="em andamento">
      <formula>NOT(ISERROR(SEARCH("em andamento",P945)))</formula>
    </cfRule>
    <cfRule type="expression" dxfId="1044" priority="7327">
      <formula>$H945="SUBETAPA"</formula>
    </cfRule>
    <cfRule type="expression" dxfId="1043" priority="7329">
      <formula>$H945="ETAPA"</formula>
    </cfRule>
    <cfRule type="expression" dxfId="1042" priority="7328">
      <formula>$H945="CÉLULA CONSTRUTIVA"</formula>
    </cfRule>
  </conditionalFormatting>
  <conditionalFormatting sqref="P945:P946">
    <cfRule type="containsText" dxfId="1041" priority="7330" operator="containsText" text="Lançado">
      <formula>NOT(ISERROR(SEARCH("Lançado",P945)))</formula>
    </cfRule>
    <cfRule type="containsText" dxfId="1040" priority="7331" operator="containsText" text="N/A">
      <formula>NOT(ISERROR(SEARCH("N/A",P945)))</formula>
    </cfRule>
  </conditionalFormatting>
  <conditionalFormatting sqref="P946">
    <cfRule type="containsText" dxfId="1039" priority="8600" operator="containsText" text="Pendente">
      <formula>NOT(ISERROR(SEARCH("Pendente",P946)))</formula>
    </cfRule>
    <cfRule type="containsText" dxfId="1038" priority="8601" operator="containsText" text="Finalizado">
      <formula>NOT(ISERROR(SEARCH("Finalizado",P946)))</formula>
    </cfRule>
    <cfRule type="containsText" dxfId="1037" priority="8602" operator="containsText" text="em andamento">
      <formula>NOT(ISERROR(SEARCH("em andamento",P946)))</formula>
    </cfRule>
  </conditionalFormatting>
  <conditionalFormatting sqref="P947">
    <cfRule type="containsText" dxfId="1036" priority="7324" operator="containsText" text="Pendente">
      <formula>NOT(ISERROR(SEARCH("Pendente",P947)))</formula>
    </cfRule>
    <cfRule type="containsText" dxfId="1035" priority="7325" operator="containsText" text="Finalizado">
      <formula>NOT(ISERROR(SEARCH("Finalizado",P947)))</formula>
    </cfRule>
    <cfRule type="containsText" dxfId="1034" priority="7326" operator="containsText" text="em andamento">
      <formula>NOT(ISERROR(SEARCH("em andamento",P947)))</formula>
    </cfRule>
    <cfRule type="expression" dxfId="1033" priority="7321">
      <formula>$H947="ETAPA"</formula>
    </cfRule>
    <cfRule type="containsText" dxfId="1032" priority="7322" operator="containsText" text="Lançado">
      <formula>NOT(ISERROR(SEARCH("Lançado",P947)))</formula>
    </cfRule>
    <cfRule type="expression" dxfId="1031" priority="7319">
      <formula>$H947="SUBETAPA"</formula>
    </cfRule>
    <cfRule type="expression" dxfId="1030" priority="7320">
      <formula>$H947="CÉLULA CONSTRUTIVA"</formula>
    </cfRule>
    <cfRule type="containsText" dxfId="1029" priority="7323" operator="containsText" text="N/A">
      <formula>NOT(ISERROR(SEARCH("N/A",P947)))</formula>
    </cfRule>
  </conditionalFormatting>
  <conditionalFormatting sqref="P948">
    <cfRule type="containsText" dxfId="1028" priority="8576" operator="containsText" text="em andamento">
      <formula>NOT(ISERROR(SEARCH("em andamento",P948)))</formula>
    </cfRule>
    <cfRule type="containsText" dxfId="1027" priority="8575" operator="containsText" text="Finalizado">
      <formula>NOT(ISERROR(SEARCH("Finalizado",P948)))</formula>
    </cfRule>
    <cfRule type="containsText" dxfId="1026" priority="8573" operator="containsText" text="N/A">
      <formula>NOT(ISERROR(SEARCH("N/A",P948)))</formula>
    </cfRule>
    <cfRule type="containsText" dxfId="1025" priority="8572" operator="containsText" text="Lançado">
      <formula>NOT(ISERROR(SEARCH("Lançado",P948)))</formula>
    </cfRule>
    <cfRule type="containsText" dxfId="1024" priority="8574" operator="containsText" text="Pendente">
      <formula>NOT(ISERROR(SEARCH("Pendente",P948)))</formula>
    </cfRule>
  </conditionalFormatting>
  <conditionalFormatting sqref="P949">
    <cfRule type="containsText" dxfId="1023" priority="7314" operator="containsText" text="Lançado">
      <formula>NOT(ISERROR(SEARCH("Lançado",P949)))</formula>
    </cfRule>
    <cfRule type="containsText" dxfId="1022" priority="7318" operator="containsText" text="em andamento">
      <formula>NOT(ISERROR(SEARCH("em andamento",P949)))</formula>
    </cfRule>
    <cfRule type="containsText" dxfId="1021" priority="7317" operator="containsText" text="Finalizado">
      <formula>NOT(ISERROR(SEARCH("Finalizado",P949)))</formula>
    </cfRule>
    <cfRule type="expression" dxfId="1020" priority="7311">
      <formula>$H949="SUBETAPA"</formula>
    </cfRule>
    <cfRule type="containsText" dxfId="1019" priority="7316" operator="containsText" text="Pendente">
      <formula>NOT(ISERROR(SEARCH("Pendente",P949)))</formula>
    </cfRule>
    <cfRule type="containsText" dxfId="1018" priority="7315" operator="containsText" text="N/A">
      <formula>NOT(ISERROR(SEARCH("N/A",P949)))</formula>
    </cfRule>
    <cfRule type="expression" dxfId="1017" priority="7312">
      <formula>$H949="CÉLULA CONSTRUTIVA"</formula>
    </cfRule>
    <cfRule type="expression" dxfId="1016" priority="7313">
      <formula>$H949="ETAPA"</formula>
    </cfRule>
  </conditionalFormatting>
  <conditionalFormatting sqref="P950">
    <cfRule type="containsText" dxfId="1015" priority="8584" operator="containsText" text="em andamento">
      <formula>NOT(ISERROR(SEARCH("em andamento",P950)))</formula>
    </cfRule>
    <cfRule type="containsText" dxfId="1014" priority="8583" operator="containsText" text="Finalizado">
      <formula>NOT(ISERROR(SEARCH("Finalizado",P950)))</formula>
    </cfRule>
    <cfRule type="containsText" dxfId="1013" priority="8580" operator="containsText" text="Lançado">
      <formula>NOT(ISERROR(SEARCH("Lançado",P950)))</formula>
    </cfRule>
    <cfRule type="containsText" dxfId="1012" priority="8581" operator="containsText" text="N/A">
      <formula>NOT(ISERROR(SEARCH("N/A",P950)))</formula>
    </cfRule>
    <cfRule type="containsText" dxfId="1011" priority="8582" operator="containsText" text="Pendente">
      <formula>NOT(ISERROR(SEARCH("Pendente",P950)))</formula>
    </cfRule>
  </conditionalFormatting>
  <conditionalFormatting sqref="P951">
    <cfRule type="containsText" dxfId="1010" priority="7308" operator="containsText" text="Pendente">
      <formula>NOT(ISERROR(SEARCH("Pendente",P951)))</formula>
    </cfRule>
    <cfRule type="containsText" dxfId="1009" priority="7309" operator="containsText" text="Finalizado">
      <formula>NOT(ISERROR(SEARCH("Finalizado",P951)))</formula>
    </cfRule>
    <cfRule type="expression" dxfId="1008" priority="7304">
      <formula>$H951="CÉLULA CONSTRUTIVA"</formula>
    </cfRule>
    <cfRule type="containsText" dxfId="1007" priority="7306" operator="containsText" text="Lançado">
      <formula>NOT(ISERROR(SEARCH("Lançado",P951)))</formula>
    </cfRule>
    <cfRule type="containsText" dxfId="1006" priority="7310" operator="containsText" text="em andamento">
      <formula>NOT(ISERROR(SEARCH("em andamento",P951)))</formula>
    </cfRule>
    <cfRule type="expression" dxfId="1005" priority="7303">
      <formula>$H951="SUBETAPA"</formula>
    </cfRule>
    <cfRule type="expression" dxfId="1004" priority="7305">
      <formula>$H951="ETAPA"</formula>
    </cfRule>
    <cfRule type="containsText" dxfId="1003" priority="7307" operator="containsText" text="N/A">
      <formula>NOT(ISERROR(SEARCH("N/A",P951)))</formula>
    </cfRule>
  </conditionalFormatting>
  <conditionalFormatting sqref="P952">
    <cfRule type="containsText" dxfId="1002" priority="8903" operator="containsText" text="Pendente">
      <formula>NOT(ISERROR(SEARCH("Pendente",P952)))</formula>
    </cfRule>
    <cfRule type="containsText" dxfId="1001" priority="8905" operator="containsText" text="em andamento">
      <formula>NOT(ISERROR(SEARCH("em andamento",P952)))</formula>
    </cfRule>
    <cfRule type="containsText" dxfId="1000" priority="8904" operator="containsText" text="Finalizado">
      <formula>NOT(ISERROR(SEARCH("Finalizado",P952)))</formula>
    </cfRule>
    <cfRule type="containsText" dxfId="999" priority="8902" operator="containsText" text="N/A">
      <formula>NOT(ISERROR(SEARCH("N/A",P952)))</formula>
    </cfRule>
    <cfRule type="containsText" dxfId="998" priority="8901" operator="containsText" text="Lançado">
      <formula>NOT(ISERROR(SEARCH("Lançado",P952)))</formula>
    </cfRule>
  </conditionalFormatting>
  <conditionalFormatting sqref="P953">
    <cfRule type="containsText" dxfId="997" priority="8897" operator="containsText" text="em andamento">
      <formula>NOT(ISERROR(SEARCH("em andamento",P953)))</formula>
    </cfRule>
    <cfRule type="containsText" dxfId="996" priority="8896" operator="containsText" text="Finalizado">
      <formula>NOT(ISERROR(SEARCH("Finalizado",P953)))</formula>
    </cfRule>
    <cfRule type="containsText" dxfId="995" priority="8894" operator="containsText" text="N/A">
      <formula>NOT(ISERROR(SEARCH("N/A",P953)))</formula>
    </cfRule>
    <cfRule type="containsText" dxfId="994" priority="8893" operator="containsText" text="Lançado">
      <formula>NOT(ISERROR(SEARCH("Lançado",P953)))</formula>
    </cfRule>
    <cfRule type="containsText" dxfId="993" priority="8895" operator="containsText" text="Pendente">
      <formula>NOT(ISERROR(SEARCH("Pendente",P953)))</formula>
    </cfRule>
  </conditionalFormatting>
  <conditionalFormatting sqref="P954:P957">
    <cfRule type="containsText" dxfId="992" priority="7291" operator="containsText" text="Pendente">
      <formula>NOT(ISERROR(SEARCH("Pendente",P954)))</formula>
    </cfRule>
    <cfRule type="containsText" dxfId="991" priority="7293" operator="containsText" text="em andamento">
      <formula>NOT(ISERROR(SEARCH("em andamento",P954)))</formula>
    </cfRule>
    <cfRule type="expression" dxfId="990" priority="7286">
      <formula>$H954="SUBETAPA"</formula>
    </cfRule>
    <cfRule type="containsText" dxfId="989" priority="7292" operator="containsText" text="Finalizado">
      <formula>NOT(ISERROR(SEARCH("Finalizado",P954)))</formula>
    </cfRule>
    <cfRule type="expression" dxfId="988" priority="7288">
      <formula>$H954="ETAPA"</formula>
    </cfRule>
    <cfRule type="expression" dxfId="987" priority="7287">
      <formula>$H954="CÉLULA CONSTRUTIVA"</formula>
    </cfRule>
    <cfRule type="containsText" dxfId="986" priority="7289" operator="containsText" text="Lançado">
      <formula>NOT(ISERROR(SEARCH("Lançado",P954)))</formula>
    </cfRule>
    <cfRule type="containsText" dxfId="985" priority="7290" operator="containsText" text="N/A">
      <formula>NOT(ISERROR(SEARCH("N/A",P954)))</formula>
    </cfRule>
  </conditionalFormatting>
  <conditionalFormatting sqref="P958">
    <cfRule type="containsText" dxfId="984" priority="8881" operator="containsText" text="N/A">
      <formula>NOT(ISERROR(SEARCH("N/A",P958)))</formula>
    </cfRule>
    <cfRule type="containsText" dxfId="983" priority="8882" operator="containsText" text="Pendente">
      <formula>NOT(ISERROR(SEARCH("Pendente",P958)))</formula>
    </cfRule>
    <cfRule type="containsText" dxfId="982" priority="8883" operator="containsText" text="Finalizado">
      <formula>NOT(ISERROR(SEARCH("Finalizado",P958)))</formula>
    </cfRule>
    <cfRule type="containsText" dxfId="981" priority="8884" operator="containsText" text="em andamento">
      <formula>NOT(ISERROR(SEARCH("em andamento",P958)))</formula>
    </cfRule>
    <cfRule type="containsText" dxfId="980" priority="8880" operator="containsText" text="Lançado">
      <formula>NOT(ISERROR(SEARCH("Lançado",P958)))</formula>
    </cfRule>
  </conditionalFormatting>
  <conditionalFormatting sqref="P959">
    <cfRule type="containsText" dxfId="979" priority="7283" operator="containsText" text="Pendente">
      <formula>NOT(ISERROR(SEARCH("Pendente",P959)))</formula>
    </cfRule>
    <cfRule type="containsText" dxfId="978" priority="7281" operator="containsText" text="Lançado">
      <formula>NOT(ISERROR(SEARCH("Lançado",P959)))</formula>
    </cfRule>
    <cfRule type="expression" dxfId="977" priority="7280">
      <formula>$H959="ETAPA"</formula>
    </cfRule>
    <cfRule type="expression" dxfId="976" priority="7279">
      <formula>$H959="CÉLULA CONSTRUTIVA"</formula>
    </cfRule>
    <cfRule type="containsText" dxfId="975" priority="7282" operator="containsText" text="N/A">
      <formula>NOT(ISERROR(SEARCH("N/A",P959)))</formula>
    </cfRule>
    <cfRule type="containsText" dxfId="974" priority="7284" operator="containsText" text="Finalizado">
      <formula>NOT(ISERROR(SEARCH("Finalizado",P959)))</formula>
    </cfRule>
    <cfRule type="expression" dxfId="973" priority="7278">
      <formula>$H959="SUBETAPA"</formula>
    </cfRule>
    <cfRule type="containsText" dxfId="972" priority="7285" operator="containsText" text="em andamento">
      <formula>NOT(ISERROR(SEARCH("em andamento",P959)))</formula>
    </cfRule>
  </conditionalFormatting>
  <conditionalFormatting sqref="P960 P969 P971">
    <cfRule type="containsText" dxfId="971" priority="8915" operator="containsText" text="Lançado">
      <formula>NOT(ISERROR(SEARCH("Lançado",P960)))</formula>
    </cfRule>
    <cfRule type="containsText" dxfId="970" priority="8916" operator="containsText" text="N/A">
      <formula>NOT(ISERROR(SEARCH("N/A",P960)))</formula>
    </cfRule>
    <cfRule type="containsText" dxfId="969" priority="8918" operator="containsText" text="Finalizado">
      <formula>NOT(ISERROR(SEARCH("Finalizado",P960)))</formula>
    </cfRule>
    <cfRule type="containsText" dxfId="968" priority="8919" operator="containsText" text="em andamento">
      <formula>NOT(ISERROR(SEARCH("em andamento",P960)))</formula>
    </cfRule>
    <cfRule type="containsText" dxfId="967" priority="8917" operator="containsText" text="Pendente">
      <formula>NOT(ISERROR(SEARCH("Pendente",P960)))</formula>
    </cfRule>
  </conditionalFormatting>
  <conditionalFormatting sqref="P961">
    <cfRule type="containsText" dxfId="966" priority="7274" operator="containsText" text="N/A">
      <formula>NOT(ISERROR(SEARCH("N/A",P961)))</formula>
    </cfRule>
    <cfRule type="containsText" dxfId="965" priority="7273" operator="containsText" text="Lançado">
      <formula>NOT(ISERROR(SEARCH("Lançado",P961)))</formula>
    </cfRule>
    <cfRule type="containsText" dxfId="964" priority="7275" operator="containsText" text="Pendente">
      <formula>NOT(ISERROR(SEARCH("Pendente",P961)))</formula>
    </cfRule>
    <cfRule type="containsText" dxfId="963" priority="7276" operator="containsText" text="Finalizado">
      <formula>NOT(ISERROR(SEARCH("Finalizado",P961)))</formula>
    </cfRule>
    <cfRule type="containsText" dxfId="962" priority="7277" operator="containsText" text="em andamento">
      <formula>NOT(ISERROR(SEARCH("em andamento",P961)))</formula>
    </cfRule>
    <cfRule type="expression" dxfId="961" priority="7270">
      <formula>$H961="SUBETAPA"</formula>
    </cfRule>
    <cfRule type="expression" dxfId="960" priority="7271">
      <formula>$H961="CÉLULA CONSTRUTIVA"</formula>
    </cfRule>
    <cfRule type="expression" dxfId="959" priority="7272">
      <formula>$H961="ETAPA"</formula>
    </cfRule>
  </conditionalFormatting>
  <conditionalFormatting sqref="P962">
    <cfRule type="containsText" dxfId="958" priority="8765" operator="containsText" text="Lançado">
      <formula>NOT(ISERROR(SEARCH("Lançado",P962)))</formula>
    </cfRule>
    <cfRule type="containsText" dxfId="957" priority="8766" operator="containsText" text="N/A">
      <formula>NOT(ISERROR(SEARCH("N/A",P962)))</formula>
    </cfRule>
    <cfRule type="containsText" dxfId="956" priority="8767" operator="containsText" text="Pendente">
      <formula>NOT(ISERROR(SEARCH("Pendente",P962)))</formula>
    </cfRule>
    <cfRule type="containsText" dxfId="955" priority="8768" operator="containsText" text="Finalizado">
      <formula>NOT(ISERROR(SEARCH("Finalizado",P962)))</formula>
    </cfRule>
    <cfRule type="containsText" dxfId="954" priority="8769" operator="containsText" text="em andamento">
      <formula>NOT(ISERROR(SEARCH("em andamento",P962)))</formula>
    </cfRule>
  </conditionalFormatting>
  <conditionalFormatting sqref="P963">
    <cfRule type="containsText" dxfId="953" priority="7269" operator="containsText" text="em andamento">
      <formula>NOT(ISERROR(SEARCH("em andamento",P963)))</formula>
    </cfRule>
    <cfRule type="containsText" dxfId="952" priority="7267" operator="containsText" text="Pendente">
      <formula>NOT(ISERROR(SEARCH("Pendente",P963)))</formula>
    </cfRule>
    <cfRule type="expression" dxfId="951" priority="7264">
      <formula>$H963="ETAPA"</formula>
    </cfRule>
    <cfRule type="expression" dxfId="950" priority="7263">
      <formula>$H963="CÉLULA CONSTRUTIVA"</formula>
    </cfRule>
    <cfRule type="expression" dxfId="949" priority="7262">
      <formula>$H963="SUBETAPA"</formula>
    </cfRule>
    <cfRule type="containsText" dxfId="948" priority="7268" operator="containsText" text="Finalizado">
      <formula>NOT(ISERROR(SEARCH("Finalizado",P963)))</formula>
    </cfRule>
  </conditionalFormatting>
  <conditionalFormatting sqref="P963:P964">
    <cfRule type="containsText" dxfId="947" priority="7265" operator="containsText" text="Lançado">
      <formula>NOT(ISERROR(SEARCH("Lançado",P963)))</formula>
    </cfRule>
    <cfRule type="containsText" dxfId="946" priority="7266" operator="containsText" text="N/A">
      <formula>NOT(ISERROR(SEARCH("N/A",P963)))</formula>
    </cfRule>
  </conditionalFormatting>
  <conditionalFormatting sqref="P964">
    <cfRule type="containsText" dxfId="945" priority="8811" operator="containsText" text="em andamento">
      <formula>NOT(ISERROR(SEARCH("em andamento",P964)))</formula>
    </cfRule>
    <cfRule type="containsText" dxfId="944" priority="8809" operator="containsText" text="Pendente">
      <formula>NOT(ISERROR(SEARCH("Pendente",P964)))</formula>
    </cfRule>
    <cfRule type="containsText" dxfId="943" priority="8810" operator="containsText" text="Finalizado">
      <formula>NOT(ISERROR(SEARCH("Finalizado",P964)))</formula>
    </cfRule>
  </conditionalFormatting>
  <conditionalFormatting sqref="P965:P966">
    <cfRule type="expression" dxfId="942" priority="7255">
      <formula>$H965="CÉLULA CONSTRUTIVA"</formula>
    </cfRule>
    <cfRule type="expression" dxfId="941" priority="7254">
      <formula>$H965="SUBETAPA"</formula>
    </cfRule>
    <cfRule type="expression" dxfId="940" priority="7256">
      <formula>$H965="ETAPA"</formula>
    </cfRule>
    <cfRule type="containsText" dxfId="939" priority="7259" operator="containsText" text="Pendente">
      <formula>NOT(ISERROR(SEARCH("Pendente",P965)))</formula>
    </cfRule>
    <cfRule type="containsText" dxfId="938" priority="7260" operator="containsText" text="Finalizado">
      <formula>NOT(ISERROR(SEARCH("Finalizado",P965)))</formula>
    </cfRule>
    <cfRule type="containsText" dxfId="937" priority="7261" operator="containsText" text="em andamento">
      <formula>NOT(ISERROR(SEARCH("em andamento",P965)))</formula>
    </cfRule>
  </conditionalFormatting>
  <conditionalFormatting sqref="P965:P967">
    <cfRule type="containsText" dxfId="936" priority="7257" operator="containsText" text="Lançado">
      <formula>NOT(ISERROR(SEARCH("Lançado",P965)))</formula>
    </cfRule>
    <cfRule type="containsText" dxfId="935" priority="7258" operator="containsText" text="N/A">
      <formula>NOT(ISERROR(SEARCH("N/A",P965)))</formula>
    </cfRule>
  </conditionalFormatting>
  <conditionalFormatting sqref="P967">
    <cfRule type="containsText" dxfId="934" priority="8887" operator="containsText" text="Pendente">
      <formula>NOT(ISERROR(SEARCH("Pendente",P967)))</formula>
    </cfRule>
    <cfRule type="containsText" dxfId="933" priority="8888" operator="containsText" text="Finalizado">
      <formula>NOT(ISERROR(SEARCH("Finalizado",P967)))</formula>
    </cfRule>
    <cfRule type="containsText" dxfId="932" priority="8889" operator="containsText" text="em andamento">
      <formula>NOT(ISERROR(SEARCH("em andamento",P967)))</formula>
    </cfRule>
  </conditionalFormatting>
  <conditionalFormatting sqref="P968">
    <cfRule type="containsText" dxfId="931" priority="7252" operator="containsText" text="Finalizado">
      <formula>NOT(ISERROR(SEARCH("Finalizado",P968)))</formula>
    </cfRule>
    <cfRule type="containsText" dxfId="930" priority="7251" operator="containsText" text="Pendente">
      <formula>NOT(ISERROR(SEARCH("Pendente",P968)))</formula>
    </cfRule>
    <cfRule type="containsText" dxfId="929" priority="7250" operator="containsText" text="N/A">
      <formula>NOT(ISERROR(SEARCH("N/A",P968)))</formula>
    </cfRule>
    <cfRule type="containsText" dxfId="928" priority="7249" operator="containsText" text="Lançado">
      <formula>NOT(ISERROR(SEARCH("Lançado",P968)))</formula>
    </cfRule>
    <cfRule type="expression" dxfId="927" priority="7248">
      <formula>$H968="ETAPA"</formula>
    </cfRule>
    <cfRule type="expression" dxfId="926" priority="7247">
      <formula>$H968="CÉLULA CONSTRUTIVA"</formula>
    </cfRule>
    <cfRule type="expression" dxfId="925" priority="7246">
      <formula>$H968="SUBETAPA"</formula>
    </cfRule>
    <cfRule type="containsText" dxfId="924" priority="7253" operator="containsText" text="em andamento">
      <formula>NOT(ISERROR(SEARCH("em andamento",P968)))</formula>
    </cfRule>
  </conditionalFormatting>
  <conditionalFormatting sqref="P970">
    <cfRule type="expression" dxfId="923" priority="7238">
      <formula>$H970="SUBETAPA"</formula>
    </cfRule>
    <cfRule type="containsText" dxfId="922" priority="7245" operator="containsText" text="em andamento">
      <formula>NOT(ISERROR(SEARCH("em andamento",P970)))</formula>
    </cfRule>
    <cfRule type="containsText" dxfId="921" priority="7241" operator="containsText" text="Lançado">
      <formula>NOT(ISERROR(SEARCH("Lançado",P970)))</formula>
    </cfRule>
    <cfRule type="containsText" dxfId="920" priority="7242" operator="containsText" text="N/A">
      <formula>NOT(ISERROR(SEARCH("N/A",P970)))</formula>
    </cfRule>
    <cfRule type="containsText" dxfId="919" priority="7243" operator="containsText" text="Pendente">
      <formula>NOT(ISERROR(SEARCH("Pendente",P970)))</formula>
    </cfRule>
    <cfRule type="containsText" dxfId="918" priority="7244" operator="containsText" text="Finalizado">
      <formula>NOT(ISERROR(SEARCH("Finalizado",P970)))</formula>
    </cfRule>
    <cfRule type="expression" dxfId="917" priority="7240">
      <formula>$H970="ETAPA"</formula>
    </cfRule>
    <cfRule type="expression" dxfId="916" priority="7239">
      <formula>$H970="CÉLULA CONSTRUTIVA"</formula>
    </cfRule>
  </conditionalFormatting>
  <conditionalFormatting sqref="P972">
    <cfRule type="containsText" dxfId="915" priority="7233" operator="containsText" text="Lançado">
      <formula>NOT(ISERROR(SEARCH("Lançado",P972)))</formula>
    </cfRule>
    <cfRule type="containsText" dxfId="914" priority="7234" operator="containsText" text="N/A">
      <formula>NOT(ISERROR(SEARCH("N/A",P972)))</formula>
    </cfRule>
    <cfRule type="containsText" dxfId="913" priority="7235" operator="containsText" text="Pendente">
      <formula>NOT(ISERROR(SEARCH("Pendente",P972)))</formula>
    </cfRule>
    <cfRule type="expression" dxfId="912" priority="7230">
      <formula>$H972="SUBETAPA"</formula>
    </cfRule>
    <cfRule type="containsText" dxfId="911" priority="7236" operator="containsText" text="Finalizado">
      <formula>NOT(ISERROR(SEARCH("Finalizado",P972)))</formula>
    </cfRule>
    <cfRule type="containsText" dxfId="910" priority="7237" operator="containsText" text="em andamento">
      <formula>NOT(ISERROR(SEARCH("em andamento",P972)))</formula>
    </cfRule>
    <cfRule type="expression" dxfId="909" priority="7231">
      <formula>$H972="CÉLULA CONSTRUTIVA"</formula>
    </cfRule>
    <cfRule type="expression" dxfId="908" priority="7232">
      <formula>$H972="ETAPA"</formula>
    </cfRule>
  </conditionalFormatting>
  <conditionalFormatting sqref="P973">
    <cfRule type="containsText" dxfId="907" priority="8860" operator="containsText" text="N/A">
      <formula>NOT(ISERROR(SEARCH("N/A",P973)))</formula>
    </cfRule>
    <cfRule type="containsText" dxfId="906" priority="8861" operator="containsText" text="Pendente">
      <formula>NOT(ISERROR(SEARCH("Pendente",P973)))</formula>
    </cfRule>
    <cfRule type="containsText" dxfId="905" priority="8862" operator="containsText" text="Finalizado">
      <formula>NOT(ISERROR(SEARCH("Finalizado",P973)))</formula>
    </cfRule>
    <cfRule type="containsText" dxfId="904" priority="8863" operator="containsText" text="em andamento">
      <formula>NOT(ISERROR(SEARCH("em andamento",P973)))</formula>
    </cfRule>
    <cfRule type="containsText" dxfId="903" priority="8859" operator="containsText" text="Lançado">
      <formula>NOT(ISERROR(SEARCH("Lançado",P973)))</formula>
    </cfRule>
  </conditionalFormatting>
  <conditionalFormatting sqref="P974:P975">
    <cfRule type="containsText" dxfId="902" priority="7228" operator="containsText" text="Finalizado">
      <formula>NOT(ISERROR(SEARCH("Finalizado",P974)))</formula>
    </cfRule>
    <cfRule type="containsText" dxfId="901" priority="7229" operator="containsText" text="em andamento">
      <formula>NOT(ISERROR(SEARCH("em andamento",P974)))</formula>
    </cfRule>
    <cfRule type="expression" dxfId="900" priority="7222">
      <formula>$H974="SUBETAPA"</formula>
    </cfRule>
    <cfRule type="expression" dxfId="899" priority="7223">
      <formula>$H974="CÉLULA CONSTRUTIVA"</formula>
    </cfRule>
    <cfRule type="expression" dxfId="898" priority="7224">
      <formula>$H974="ETAPA"</formula>
    </cfRule>
    <cfRule type="containsText" dxfId="897" priority="7225" operator="containsText" text="Lançado">
      <formula>NOT(ISERROR(SEARCH("Lançado",P974)))</formula>
    </cfRule>
    <cfRule type="containsText" dxfId="896" priority="7226" operator="containsText" text="N/A">
      <formula>NOT(ISERROR(SEARCH("N/A",P974)))</formula>
    </cfRule>
    <cfRule type="containsText" dxfId="895" priority="7227" operator="containsText" text="Pendente">
      <formula>NOT(ISERROR(SEARCH("Pendente",P974)))</formula>
    </cfRule>
  </conditionalFormatting>
  <conditionalFormatting sqref="P976 P979 P981 P983">
    <cfRule type="containsText" dxfId="894" priority="8867" operator="containsText" text="Lançado">
      <formula>NOT(ISERROR(SEARCH("Lançado",P976)))</formula>
    </cfRule>
    <cfRule type="containsText" dxfId="893" priority="8868" operator="containsText" text="N/A">
      <formula>NOT(ISERROR(SEARCH("N/A",P976)))</formula>
    </cfRule>
    <cfRule type="containsText" dxfId="892" priority="8869" operator="containsText" text="Pendente">
      <formula>NOT(ISERROR(SEARCH("Pendente",P976)))</formula>
    </cfRule>
    <cfRule type="containsText" dxfId="891" priority="8870" operator="containsText" text="Finalizado">
      <formula>NOT(ISERROR(SEARCH("Finalizado",P976)))</formula>
    </cfRule>
    <cfRule type="containsText" dxfId="890" priority="8871" operator="containsText" text="em andamento">
      <formula>NOT(ISERROR(SEARCH("em andamento",P976)))</formula>
    </cfRule>
  </conditionalFormatting>
  <conditionalFormatting sqref="P977:P978">
    <cfRule type="expression" dxfId="889" priority="7208">
      <formula>$H977="ETAPA"</formula>
    </cfRule>
    <cfRule type="expression" dxfId="888" priority="7207">
      <formula>$H977="CÉLULA CONSTRUTIVA"</formula>
    </cfRule>
    <cfRule type="expression" dxfId="887" priority="7206">
      <formula>$H977="SUBETAPA"</formula>
    </cfRule>
    <cfRule type="containsText" dxfId="886" priority="7213" operator="containsText" text="em andamento">
      <formula>NOT(ISERROR(SEARCH("em andamento",P977)))</formula>
    </cfRule>
    <cfRule type="containsText" dxfId="885" priority="7209" operator="containsText" text="Lançado">
      <formula>NOT(ISERROR(SEARCH("Lançado",P977)))</formula>
    </cfRule>
    <cfRule type="containsText" dxfId="884" priority="7210" operator="containsText" text="N/A">
      <formula>NOT(ISERROR(SEARCH("N/A",P977)))</formula>
    </cfRule>
    <cfRule type="containsText" dxfId="883" priority="7211" operator="containsText" text="Pendente">
      <formula>NOT(ISERROR(SEARCH("Pendente",P977)))</formula>
    </cfRule>
    <cfRule type="containsText" dxfId="882" priority="7212" operator="containsText" text="Finalizado">
      <formula>NOT(ISERROR(SEARCH("Finalizado",P977)))</formula>
    </cfRule>
  </conditionalFormatting>
  <conditionalFormatting sqref="P980">
    <cfRule type="containsText" dxfId="881" priority="7201" operator="containsText" text="Lançado">
      <formula>NOT(ISERROR(SEARCH("Lançado",P980)))</formula>
    </cfRule>
    <cfRule type="containsText" dxfId="880" priority="7203" operator="containsText" text="Pendente">
      <formula>NOT(ISERROR(SEARCH("Pendente",P980)))</formula>
    </cfRule>
    <cfRule type="containsText" dxfId="879" priority="7205" operator="containsText" text="em andamento">
      <formula>NOT(ISERROR(SEARCH("em andamento",P980)))</formula>
    </cfRule>
    <cfRule type="containsText" dxfId="878" priority="7204" operator="containsText" text="Finalizado">
      <formula>NOT(ISERROR(SEARCH("Finalizado",P980)))</formula>
    </cfRule>
    <cfRule type="expression" dxfId="877" priority="7198">
      <formula>$H980="SUBETAPA"</formula>
    </cfRule>
    <cfRule type="expression" dxfId="876" priority="7199">
      <formula>$H980="CÉLULA CONSTRUTIVA"</formula>
    </cfRule>
    <cfRule type="expression" dxfId="875" priority="7200">
      <formula>$H980="ETAPA"</formula>
    </cfRule>
    <cfRule type="containsText" dxfId="874" priority="7202" operator="containsText" text="N/A">
      <formula>NOT(ISERROR(SEARCH("N/A",P980)))</formula>
    </cfRule>
  </conditionalFormatting>
  <conditionalFormatting sqref="P982">
    <cfRule type="expression" dxfId="873" priority="7191">
      <formula>$H982="CÉLULA CONSTRUTIVA"</formula>
    </cfRule>
    <cfRule type="expression" dxfId="872" priority="7190">
      <formula>$H982="SUBETAPA"</formula>
    </cfRule>
    <cfRule type="expression" dxfId="871" priority="7192">
      <formula>$H982="ETAPA"</formula>
    </cfRule>
    <cfRule type="containsText" dxfId="870" priority="7193" operator="containsText" text="Lançado">
      <formula>NOT(ISERROR(SEARCH("Lançado",P982)))</formula>
    </cfRule>
    <cfRule type="containsText" dxfId="869" priority="7194" operator="containsText" text="N/A">
      <formula>NOT(ISERROR(SEARCH("N/A",P982)))</formula>
    </cfRule>
    <cfRule type="containsText" dxfId="868" priority="7195" operator="containsText" text="Pendente">
      <formula>NOT(ISERROR(SEARCH("Pendente",P982)))</formula>
    </cfRule>
    <cfRule type="containsText" dxfId="867" priority="7196" operator="containsText" text="Finalizado">
      <formula>NOT(ISERROR(SEARCH("Finalizado",P982)))</formula>
    </cfRule>
    <cfRule type="containsText" dxfId="866" priority="7197" operator="containsText" text="em andamento">
      <formula>NOT(ISERROR(SEARCH("em andamento",P982)))</formula>
    </cfRule>
  </conditionalFormatting>
  <conditionalFormatting sqref="P984">
    <cfRule type="expression" dxfId="865" priority="7183">
      <formula>$H984="CÉLULA CONSTRUTIVA"</formula>
    </cfRule>
    <cfRule type="expression" dxfId="864" priority="7182">
      <formula>$H984="SUBETAPA"</formula>
    </cfRule>
    <cfRule type="containsText" dxfId="863" priority="7189" operator="containsText" text="em andamento">
      <formula>NOT(ISERROR(SEARCH("em andamento",P984)))</formula>
    </cfRule>
    <cfRule type="containsText" dxfId="862" priority="7188" operator="containsText" text="Finalizado">
      <formula>NOT(ISERROR(SEARCH("Finalizado",P984)))</formula>
    </cfRule>
    <cfRule type="containsText" dxfId="861" priority="7186" operator="containsText" text="N/A">
      <formula>NOT(ISERROR(SEARCH("N/A",P984)))</formula>
    </cfRule>
    <cfRule type="containsText" dxfId="860" priority="7187" operator="containsText" text="Pendente">
      <formula>NOT(ISERROR(SEARCH("Pendente",P984)))</formula>
    </cfRule>
    <cfRule type="containsText" dxfId="859" priority="7185" operator="containsText" text="Lançado">
      <formula>NOT(ISERROR(SEARCH("Lançado",P984)))</formula>
    </cfRule>
    <cfRule type="expression" dxfId="858" priority="7184">
      <formula>$H984="ETAPA"</formula>
    </cfRule>
  </conditionalFormatting>
  <conditionalFormatting sqref="P985">
    <cfRule type="containsText" dxfId="857" priority="9192" operator="containsText" text="em andamento">
      <formula>NOT(ISERROR(SEARCH("em andamento",P985)))</formula>
    </cfRule>
    <cfRule type="containsText" dxfId="856" priority="9191" operator="containsText" text="Finalizado">
      <formula>NOT(ISERROR(SEARCH("Finalizado",P985)))</formula>
    </cfRule>
    <cfRule type="containsText" dxfId="855" priority="9190" operator="containsText" text="Pendente">
      <formula>NOT(ISERROR(SEARCH("Pendente",P985)))</formula>
    </cfRule>
    <cfRule type="containsText" dxfId="854" priority="9189" operator="containsText" text="N/A">
      <formula>NOT(ISERROR(SEARCH("N/A",P985)))</formula>
    </cfRule>
    <cfRule type="containsText" dxfId="853" priority="9188" operator="containsText" text="Lançado">
      <formula>NOT(ISERROR(SEARCH("Lançado",P985)))</formula>
    </cfRule>
  </conditionalFormatting>
  <conditionalFormatting sqref="P986">
    <cfRule type="containsText" dxfId="852" priority="9180" operator="containsText" text="Lançado">
      <formula>NOT(ISERROR(SEARCH("Lançado",P986)))</formula>
    </cfRule>
    <cfRule type="containsText" dxfId="851" priority="9183" operator="containsText" text="Finalizado">
      <formula>NOT(ISERROR(SEARCH("Finalizado",P986)))</formula>
    </cfRule>
    <cfRule type="containsText" dxfId="850" priority="9182" operator="containsText" text="Pendente">
      <formula>NOT(ISERROR(SEARCH("Pendente",P986)))</formula>
    </cfRule>
    <cfRule type="containsText" dxfId="849" priority="9181" operator="containsText" text="N/A">
      <formula>NOT(ISERROR(SEARCH("N/A",P986)))</formula>
    </cfRule>
    <cfRule type="containsText" dxfId="848" priority="9184" operator="containsText" text="em andamento">
      <formula>NOT(ISERROR(SEARCH("em andamento",P986)))</formula>
    </cfRule>
  </conditionalFormatting>
  <conditionalFormatting sqref="P987:P989">
    <cfRule type="containsText" dxfId="847" priority="7179" operator="containsText" text="Pendente">
      <formula>NOT(ISERROR(SEARCH("Pendente",P987)))</formula>
    </cfRule>
    <cfRule type="containsText" dxfId="846" priority="7180" operator="containsText" text="Finalizado">
      <formula>NOT(ISERROR(SEARCH("Finalizado",P987)))</formula>
    </cfRule>
    <cfRule type="expression" dxfId="845" priority="7176">
      <formula>$H987="ETAPA"</formula>
    </cfRule>
    <cfRule type="containsText" dxfId="844" priority="7181" operator="containsText" text="em andamento">
      <formula>NOT(ISERROR(SEARCH("em andamento",P987)))</formula>
    </cfRule>
    <cfRule type="containsText" dxfId="843" priority="7178" operator="containsText" text="N/A">
      <formula>NOT(ISERROR(SEARCH("N/A",P987)))</formula>
    </cfRule>
    <cfRule type="containsText" dxfId="842" priority="7177" operator="containsText" text="Lançado">
      <formula>NOT(ISERROR(SEARCH("Lançado",P987)))</formula>
    </cfRule>
    <cfRule type="expression" dxfId="841" priority="7175">
      <formula>$H987="CÉLULA CONSTRUTIVA"</formula>
    </cfRule>
    <cfRule type="expression" dxfId="840" priority="7174">
      <formula>$H987="SUBETAPA"</formula>
    </cfRule>
  </conditionalFormatting>
  <conditionalFormatting sqref="P990">
    <cfRule type="containsText" dxfId="839" priority="9063" operator="containsText" text="Finalizado">
      <formula>NOT(ISERROR(SEARCH("Finalizado",P990)))</formula>
    </cfRule>
    <cfRule type="containsText" dxfId="838" priority="9064" operator="containsText" text="em andamento">
      <formula>NOT(ISERROR(SEARCH("em andamento",P990)))</formula>
    </cfRule>
    <cfRule type="containsText" dxfId="837" priority="9061" operator="containsText" text="N/A">
      <formula>NOT(ISERROR(SEARCH("N/A",P990)))</formula>
    </cfRule>
    <cfRule type="containsText" dxfId="836" priority="9060" operator="containsText" text="Lançado">
      <formula>NOT(ISERROR(SEARCH("Lançado",P990)))</formula>
    </cfRule>
    <cfRule type="containsText" dxfId="835" priority="9062" operator="containsText" text="Pendente">
      <formula>NOT(ISERROR(SEARCH("Pendente",P990)))</formula>
    </cfRule>
  </conditionalFormatting>
  <conditionalFormatting sqref="P991">
    <cfRule type="expression" dxfId="834" priority="7168">
      <formula>$H991="ETAPA"</formula>
    </cfRule>
    <cfRule type="expression" dxfId="833" priority="7167">
      <formula>$H991="CÉLULA CONSTRUTIVA"</formula>
    </cfRule>
    <cfRule type="expression" dxfId="832" priority="7166">
      <formula>$H991="SUBETAPA"</formula>
    </cfRule>
    <cfRule type="containsText" dxfId="831" priority="7171" operator="containsText" text="Pendente">
      <formula>NOT(ISERROR(SEARCH("Pendente",P991)))</formula>
    </cfRule>
    <cfRule type="containsText" dxfId="830" priority="7173" operator="containsText" text="em andamento">
      <formula>NOT(ISERROR(SEARCH("em andamento",P991)))</formula>
    </cfRule>
    <cfRule type="containsText" dxfId="829" priority="7172" operator="containsText" text="Finalizado">
      <formula>NOT(ISERROR(SEARCH("Finalizado",P991)))</formula>
    </cfRule>
  </conditionalFormatting>
  <conditionalFormatting sqref="P991:P992">
    <cfRule type="containsText" dxfId="828" priority="7169" operator="containsText" text="Lançado">
      <formula>NOT(ISERROR(SEARCH("Lançado",P991)))</formula>
    </cfRule>
    <cfRule type="containsText" dxfId="827" priority="7170" operator="containsText" text="N/A">
      <formula>NOT(ISERROR(SEARCH("N/A",P991)))</formula>
    </cfRule>
  </conditionalFormatting>
  <conditionalFormatting sqref="P992">
    <cfRule type="containsText" dxfId="826" priority="9098" operator="containsText" text="em andamento">
      <formula>NOT(ISERROR(SEARCH("em andamento",P992)))</formula>
    </cfRule>
    <cfRule type="containsText" dxfId="825" priority="9096" operator="containsText" text="Pendente">
      <formula>NOT(ISERROR(SEARCH("Pendente",P992)))</formula>
    </cfRule>
    <cfRule type="containsText" dxfId="824" priority="9097" operator="containsText" text="Finalizado">
      <formula>NOT(ISERROR(SEARCH("Finalizado",P992)))</formula>
    </cfRule>
  </conditionalFormatting>
  <conditionalFormatting sqref="P993">
    <cfRule type="expression" dxfId="823" priority="7158">
      <formula>$H993="SUBETAPA"</formula>
    </cfRule>
    <cfRule type="expression" dxfId="822" priority="7159">
      <formula>$H993="CÉLULA CONSTRUTIVA"</formula>
    </cfRule>
    <cfRule type="containsText" dxfId="821" priority="7163" operator="containsText" text="Pendente">
      <formula>NOT(ISERROR(SEARCH("Pendente",P993)))</formula>
    </cfRule>
    <cfRule type="containsText" dxfId="820" priority="7164" operator="containsText" text="Finalizado">
      <formula>NOT(ISERROR(SEARCH("Finalizado",P993)))</formula>
    </cfRule>
    <cfRule type="containsText" dxfId="819" priority="7165" operator="containsText" text="em andamento">
      <formula>NOT(ISERROR(SEARCH("em andamento",P993)))</formula>
    </cfRule>
    <cfRule type="expression" dxfId="818" priority="7160">
      <formula>$H993="ETAPA"</formula>
    </cfRule>
  </conditionalFormatting>
  <conditionalFormatting sqref="P993:P994">
    <cfRule type="containsText" dxfId="817" priority="7162" operator="containsText" text="N/A">
      <formula>NOT(ISERROR(SEARCH("N/A",P993)))</formula>
    </cfRule>
    <cfRule type="containsText" dxfId="816" priority="7161" operator="containsText" text="Lançado">
      <formula>NOT(ISERROR(SEARCH("Lançado",P993)))</formula>
    </cfRule>
  </conditionalFormatting>
  <conditionalFormatting sqref="P994">
    <cfRule type="containsText" dxfId="815" priority="9175" operator="containsText" text="Finalizado">
      <formula>NOT(ISERROR(SEARCH("Finalizado",P994)))</formula>
    </cfRule>
    <cfRule type="containsText" dxfId="814" priority="9174" operator="containsText" text="Pendente">
      <formula>NOT(ISERROR(SEARCH("Pendente",P994)))</formula>
    </cfRule>
    <cfRule type="containsText" dxfId="813" priority="9176" operator="containsText" text="em andamento">
      <formula>NOT(ISERROR(SEARCH("em andamento",P994)))</formula>
    </cfRule>
  </conditionalFormatting>
  <conditionalFormatting sqref="P995">
    <cfRule type="containsText" dxfId="812" priority="7154" operator="containsText" text="N/A">
      <formula>NOT(ISERROR(SEARCH("N/A",P995)))</formula>
    </cfRule>
    <cfRule type="containsText" dxfId="811" priority="7153" operator="containsText" text="Lançado">
      <formula>NOT(ISERROR(SEARCH("Lançado",P995)))</formula>
    </cfRule>
    <cfRule type="expression" dxfId="810" priority="7152">
      <formula>$H995="ETAPA"</formula>
    </cfRule>
    <cfRule type="expression" dxfId="809" priority="7151">
      <formula>$H995="CÉLULA CONSTRUTIVA"</formula>
    </cfRule>
    <cfRule type="expression" dxfId="808" priority="7150">
      <formula>$H995="SUBETAPA"</formula>
    </cfRule>
    <cfRule type="containsText" dxfId="807" priority="7157" operator="containsText" text="em andamento">
      <formula>NOT(ISERROR(SEARCH("em andamento",P995)))</formula>
    </cfRule>
    <cfRule type="containsText" dxfId="806" priority="7156" operator="containsText" text="Finalizado">
      <formula>NOT(ISERROR(SEARCH("Finalizado",P995)))</formula>
    </cfRule>
    <cfRule type="containsText" dxfId="805" priority="7155" operator="containsText" text="Pendente">
      <formula>NOT(ISERROR(SEARCH("Pendente",P995)))</formula>
    </cfRule>
  </conditionalFormatting>
  <conditionalFormatting sqref="P996 P998">
    <cfRule type="containsText" dxfId="804" priority="9206" operator="containsText" text="em andamento">
      <formula>NOT(ISERROR(SEARCH("em andamento",P996)))</formula>
    </cfRule>
    <cfRule type="containsText" dxfId="803" priority="9203" operator="containsText" text="N/A">
      <formula>NOT(ISERROR(SEARCH("N/A",P996)))</formula>
    </cfRule>
    <cfRule type="containsText" dxfId="802" priority="9204" operator="containsText" text="Pendente">
      <formula>NOT(ISERROR(SEARCH("Pendente",P996)))</formula>
    </cfRule>
    <cfRule type="containsText" dxfId="801" priority="9205" operator="containsText" text="Finalizado">
      <formula>NOT(ISERROR(SEARCH("Finalizado",P996)))</formula>
    </cfRule>
    <cfRule type="containsText" dxfId="800" priority="9202" operator="containsText" text="Lançado">
      <formula>NOT(ISERROR(SEARCH("Lançado",P996)))</formula>
    </cfRule>
  </conditionalFormatting>
  <conditionalFormatting sqref="P997">
    <cfRule type="containsText" dxfId="799" priority="7149" operator="containsText" text="em andamento">
      <formula>NOT(ISERROR(SEARCH("em andamento",P997)))</formula>
    </cfRule>
    <cfRule type="containsText" dxfId="798" priority="7148" operator="containsText" text="Finalizado">
      <formula>NOT(ISERROR(SEARCH("Finalizado",P997)))</formula>
    </cfRule>
    <cfRule type="containsText" dxfId="797" priority="7147" operator="containsText" text="Pendente">
      <formula>NOT(ISERROR(SEARCH("Pendente",P997)))</formula>
    </cfRule>
    <cfRule type="containsText" dxfId="796" priority="7146" operator="containsText" text="N/A">
      <formula>NOT(ISERROR(SEARCH("N/A",P997)))</formula>
    </cfRule>
    <cfRule type="containsText" dxfId="795" priority="7145" operator="containsText" text="Lançado">
      <formula>NOT(ISERROR(SEARCH("Lançado",P997)))</formula>
    </cfRule>
    <cfRule type="expression" dxfId="794" priority="7144">
      <formula>$H997="ETAPA"</formula>
    </cfRule>
    <cfRule type="expression" dxfId="793" priority="7143">
      <formula>$H997="CÉLULA CONSTRUTIVA"</formula>
    </cfRule>
    <cfRule type="expression" dxfId="792" priority="7142">
      <formula>$H997="SUBETAPA"</formula>
    </cfRule>
  </conditionalFormatting>
  <conditionalFormatting sqref="P999:P1000">
    <cfRule type="containsText" dxfId="791" priority="7138" operator="containsText" text="N/A">
      <formula>NOT(ISERROR(SEARCH("N/A",P999)))</formula>
    </cfRule>
    <cfRule type="containsText" dxfId="790" priority="7140" operator="containsText" text="Finalizado">
      <formula>NOT(ISERROR(SEARCH("Finalizado",P999)))</formula>
    </cfRule>
    <cfRule type="containsText" dxfId="789" priority="7139" operator="containsText" text="Pendente">
      <formula>NOT(ISERROR(SEARCH("Pendente",P999)))</formula>
    </cfRule>
    <cfRule type="expression" dxfId="788" priority="7135">
      <formula>$H999="CÉLULA CONSTRUTIVA"</formula>
    </cfRule>
    <cfRule type="containsText" dxfId="787" priority="7137" operator="containsText" text="Lançado">
      <formula>NOT(ISERROR(SEARCH("Lançado",P999)))</formula>
    </cfRule>
    <cfRule type="expression" dxfId="786" priority="7136">
      <formula>$H999="ETAPA"</formula>
    </cfRule>
    <cfRule type="expression" dxfId="785" priority="7134">
      <formula>$H999="SUBETAPA"</formula>
    </cfRule>
    <cfRule type="containsText" dxfId="784" priority="7141" operator="containsText" text="em andamento">
      <formula>NOT(ISERROR(SEARCH("em andamento",P999)))</formula>
    </cfRule>
  </conditionalFormatting>
  <conditionalFormatting sqref="P1001">
    <cfRule type="containsText" dxfId="783" priority="9149" operator="containsText" text="Finalizado">
      <formula>NOT(ISERROR(SEARCH("Finalizado",P1001)))</formula>
    </cfRule>
    <cfRule type="containsText" dxfId="782" priority="9148" operator="containsText" text="Pendente">
      <formula>NOT(ISERROR(SEARCH("Pendente",P1001)))</formula>
    </cfRule>
    <cfRule type="containsText" dxfId="781" priority="9150" operator="containsText" text="em andamento">
      <formula>NOT(ISERROR(SEARCH("em andamento",P1001)))</formula>
    </cfRule>
    <cfRule type="containsText" dxfId="780" priority="9147" operator="containsText" text="N/A">
      <formula>NOT(ISERROR(SEARCH("N/A",P1001)))</formula>
    </cfRule>
    <cfRule type="containsText" dxfId="779" priority="9146" operator="containsText" text="Lançado">
      <formula>NOT(ISERROR(SEARCH("Lançado",P1001)))</formula>
    </cfRule>
  </conditionalFormatting>
  <conditionalFormatting sqref="P1002">
    <cfRule type="containsText" dxfId="778" priority="7131" operator="containsText" text="Pendente">
      <formula>NOT(ISERROR(SEARCH("Pendente",P1002)))</formula>
    </cfRule>
    <cfRule type="expression" dxfId="777" priority="7128">
      <formula>$H1002="ETAPA"</formula>
    </cfRule>
    <cfRule type="containsText" dxfId="776" priority="7129" operator="containsText" text="Lançado">
      <formula>NOT(ISERROR(SEARCH("Lançado",P1002)))</formula>
    </cfRule>
    <cfRule type="containsText" dxfId="775" priority="7130" operator="containsText" text="N/A">
      <formula>NOT(ISERROR(SEARCH("N/A",P1002)))</formula>
    </cfRule>
    <cfRule type="expression" dxfId="774" priority="7127">
      <formula>$H1002="CÉLULA CONSTRUTIVA"</formula>
    </cfRule>
    <cfRule type="expression" dxfId="773" priority="7126">
      <formula>$H1002="SUBETAPA"</formula>
    </cfRule>
    <cfRule type="containsText" dxfId="772" priority="7132" operator="containsText" text="Finalizado">
      <formula>NOT(ISERROR(SEARCH("Finalizado",P1002)))</formula>
    </cfRule>
    <cfRule type="containsText" dxfId="771" priority="7133" operator="containsText" text="em andamento">
      <formula>NOT(ISERROR(SEARCH("em andamento",P1002)))</formula>
    </cfRule>
  </conditionalFormatting>
  <conditionalFormatting sqref="P1003">
    <cfRule type="containsText" dxfId="770" priority="9138" operator="containsText" text="Lançado">
      <formula>NOT(ISERROR(SEARCH("Lançado",P1003)))</formula>
    </cfRule>
    <cfRule type="containsText" dxfId="769" priority="9142" operator="containsText" text="em andamento">
      <formula>NOT(ISERROR(SEARCH("em andamento",P1003)))</formula>
    </cfRule>
    <cfRule type="containsText" dxfId="768" priority="9139" operator="containsText" text="N/A">
      <formula>NOT(ISERROR(SEARCH("N/A",P1003)))</formula>
    </cfRule>
    <cfRule type="containsText" dxfId="767" priority="9140" operator="containsText" text="Pendente">
      <formula>NOT(ISERROR(SEARCH("Pendente",P1003)))</formula>
    </cfRule>
    <cfRule type="containsText" dxfId="766" priority="9141" operator="containsText" text="Finalizado">
      <formula>NOT(ISERROR(SEARCH("Finalizado",P1003)))</formula>
    </cfRule>
  </conditionalFormatting>
  <conditionalFormatting sqref="P1004">
    <cfRule type="containsText" dxfId="765" priority="7122" operator="containsText" text="N/A">
      <formula>NOT(ISERROR(SEARCH("N/A",P1004)))</formula>
    </cfRule>
    <cfRule type="containsText" dxfId="764" priority="7125" operator="containsText" text="em andamento">
      <formula>NOT(ISERROR(SEARCH("em andamento",P1004)))</formula>
    </cfRule>
    <cfRule type="expression" dxfId="763" priority="7120">
      <formula>$H1004="ETAPA"</formula>
    </cfRule>
    <cfRule type="containsText" dxfId="762" priority="7121" operator="containsText" text="Lançado">
      <formula>NOT(ISERROR(SEARCH("Lançado",P1004)))</formula>
    </cfRule>
    <cfRule type="expression" dxfId="761" priority="7118">
      <formula>$H1004="SUBETAPA"</formula>
    </cfRule>
    <cfRule type="expression" dxfId="760" priority="7119">
      <formula>$H1004="CÉLULA CONSTRUTIVA"</formula>
    </cfRule>
    <cfRule type="containsText" dxfId="759" priority="7123" operator="containsText" text="Pendente">
      <formula>NOT(ISERROR(SEARCH("Pendente",P1004)))</formula>
    </cfRule>
    <cfRule type="containsText" dxfId="758" priority="7124" operator="containsText" text="Finalizado">
      <formula>NOT(ISERROR(SEARCH("Finalizado",P1004)))</formula>
    </cfRule>
  </conditionalFormatting>
  <conditionalFormatting sqref="P1005 P1007 P1009 P1011">
    <cfRule type="containsText" dxfId="757" priority="9157" operator="containsText" text="Finalizado">
      <formula>NOT(ISERROR(SEARCH("Finalizado",P1005)))</formula>
    </cfRule>
    <cfRule type="containsText" dxfId="756" priority="9158" operator="containsText" text="em andamento">
      <formula>NOT(ISERROR(SEARCH("em andamento",P1005)))</formula>
    </cfRule>
    <cfRule type="containsText" dxfId="755" priority="9154" operator="containsText" text="Lançado">
      <formula>NOT(ISERROR(SEARCH("Lançado",P1005)))</formula>
    </cfRule>
    <cfRule type="containsText" dxfId="754" priority="9155" operator="containsText" text="N/A">
      <formula>NOT(ISERROR(SEARCH("N/A",P1005)))</formula>
    </cfRule>
    <cfRule type="containsText" dxfId="753" priority="9156" operator="containsText" text="Pendente">
      <formula>NOT(ISERROR(SEARCH("Pendente",P1005)))</formula>
    </cfRule>
  </conditionalFormatting>
  <conditionalFormatting sqref="P1006">
    <cfRule type="containsText" dxfId="752" priority="7113" operator="containsText" text="Lançado">
      <formula>NOT(ISERROR(SEARCH("Lançado",P1006)))</formula>
    </cfRule>
    <cfRule type="containsText" dxfId="751" priority="7115" operator="containsText" text="Pendente">
      <formula>NOT(ISERROR(SEARCH("Pendente",P1006)))</formula>
    </cfRule>
    <cfRule type="containsText" dxfId="750" priority="7116" operator="containsText" text="Finalizado">
      <formula>NOT(ISERROR(SEARCH("Finalizado",P1006)))</formula>
    </cfRule>
    <cfRule type="expression" dxfId="749" priority="7110">
      <formula>$H1006="SUBETAPA"</formula>
    </cfRule>
    <cfRule type="expression" dxfId="748" priority="7111">
      <formula>$H1006="CÉLULA CONSTRUTIVA"</formula>
    </cfRule>
    <cfRule type="expression" dxfId="747" priority="7112">
      <formula>$H1006="ETAPA"</formula>
    </cfRule>
    <cfRule type="containsText" dxfId="746" priority="7117" operator="containsText" text="em andamento">
      <formula>NOT(ISERROR(SEARCH("em andamento",P1006)))</formula>
    </cfRule>
    <cfRule type="containsText" dxfId="745" priority="7114" operator="containsText" text="N/A">
      <formula>NOT(ISERROR(SEARCH("N/A",P1006)))</formula>
    </cfRule>
  </conditionalFormatting>
  <conditionalFormatting sqref="P1008">
    <cfRule type="expression" dxfId="744" priority="7102">
      <formula>$H1008="SUBETAPA"</formula>
    </cfRule>
    <cfRule type="containsText" dxfId="743" priority="7106" operator="containsText" text="N/A">
      <formula>NOT(ISERROR(SEARCH("N/A",P1008)))</formula>
    </cfRule>
    <cfRule type="containsText" dxfId="742" priority="7107" operator="containsText" text="Pendente">
      <formula>NOT(ISERROR(SEARCH("Pendente",P1008)))</formula>
    </cfRule>
    <cfRule type="containsText" dxfId="741" priority="7108" operator="containsText" text="Finalizado">
      <formula>NOT(ISERROR(SEARCH("Finalizado",P1008)))</formula>
    </cfRule>
    <cfRule type="containsText" dxfId="740" priority="7109" operator="containsText" text="em andamento">
      <formula>NOT(ISERROR(SEARCH("em andamento",P1008)))</formula>
    </cfRule>
    <cfRule type="containsText" dxfId="739" priority="7105" operator="containsText" text="Lançado">
      <formula>NOT(ISERROR(SEARCH("Lançado",P1008)))</formula>
    </cfRule>
    <cfRule type="expression" dxfId="738" priority="7104">
      <formula>$H1008="ETAPA"</formula>
    </cfRule>
    <cfRule type="expression" dxfId="737" priority="7103">
      <formula>$H1008="CÉLULA CONSTRUTIVA"</formula>
    </cfRule>
  </conditionalFormatting>
  <conditionalFormatting sqref="P1010">
    <cfRule type="containsText" dxfId="736" priority="7100" operator="containsText" text="Finalizado">
      <formula>NOT(ISERROR(SEARCH("Finalizado",P1010)))</formula>
    </cfRule>
    <cfRule type="containsText" dxfId="735" priority="7101" operator="containsText" text="em andamento">
      <formula>NOT(ISERROR(SEARCH("em andamento",P1010)))</formula>
    </cfRule>
    <cfRule type="containsText" dxfId="734" priority="7097" operator="containsText" text="Lançado">
      <formula>NOT(ISERROR(SEARCH("Lançado",P1010)))</formula>
    </cfRule>
    <cfRule type="expression" dxfId="733" priority="7094">
      <formula>$H1010="SUBETAPA"</formula>
    </cfRule>
    <cfRule type="expression" dxfId="732" priority="7095">
      <formula>$H1010="CÉLULA CONSTRUTIVA"</formula>
    </cfRule>
    <cfRule type="expression" dxfId="731" priority="7096">
      <formula>$H1010="ETAPA"</formula>
    </cfRule>
    <cfRule type="containsText" dxfId="730" priority="7098" operator="containsText" text="N/A">
      <formula>NOT(ISERROR(SEARCH("N/A",P1010)))</formula>
    </cfRule>
    <cfRule type="containsText" dxfId="729" priority="7099" operator="containsText" text="Pendente">
      <formula>NOT(ISERROR(SEARCH("Pendente",P1010)))</formula>
    </cfRule>
  </conditionalFormatting>
  <conditionalFormatting sqref="P1012">
    <cfRule type="expression" dxfId="728" priority="7088">
      <formula>$H1012="ETAPA"</formula>
    </cfRule>
    <cfRule type="expression" dxfId="727" priority="7086">
      <formula>$H1012="SUBETAPA"</formula>
    </cfRule>
    <cfRule type="expression" dxfId="726" priority="7087">
      <formula>$H1012="CÉLULA CONSTRUTIVA"</formula>
    </cfRule>
    <cfRule type="containsText" dxfId="725" priority="7092" operator="containsText" text="Finalizado">
      <formula>NOT(ISERROR(SEARCH("Finalizado",P1012)))</formula>
    </cfRule>
    <cfRule type="containsText" dxfId="724" priority="7090" operator="containsText" text="N/A">
      <formula>NOT(ISERROR(SEARCH("N/A",P1012)))</formula>
    </cfRule>
    <cfRule type="containsText" dxfId="723" priority="7093" operator="containsText" text="em andamento">
      <formula>NOT(ISERROR(SEARCH("em andamento",P1012)))</formula>
    </cfRule>
    <cfRule type="containsText" dxfId="722" priority="7091" operator="containsText" text="Pendente">
      <formula>NOT(ISERROR(SEARCH("Pendente",P1012)))</formula>
    </cfRule>
    <cfRule type="containsText" dxfId="721" priority="7089" operator="containsText" text="Lançado">
      <formula>NOT(ISERROR(SEARCH("Lançado",P1012)))</formula>
    </cfRule>
  </conditionalFormatting>
  <conditionalFormatting sqref="P1016:P1018">
    <cfRule type="containsText" dxfId="720" priority="6586" operator="containsText" text="Finalizado">
      <formula>NOT(ISERROR(SEARCH("Finalizado",P1016)))</formula>
    </cfRule>
    <cfRule type="containsText" dxfId="719" priority="6583" operator="containsText" text="Lançado">
      <formula>NOT(ISERROR(SEARCH("Lançado",P1016)))</formula>
    </cfRule>
    <cfRule type="containsText" dxfId="718" priority="6584" operator="containsText" text="N/A">
      <formula>NOT(ISERROR(SEARCH("N/A",P1016)))</formula>
    </cfRule>
    <cfRule type="containsText" dxfId="717" priority="6585" operator="containsText" text="Pendente">
      <formula>NOT(ISERROR(SEARCH("Pendente",P1016)))</formula>
    </cfRule>
    <cfRule type="containsText" dxfId="716" priority="6587" operator="containsText" text="em andamento">
      <formula>NOT(ISERROR(SEARCH("em andamento",P1016)))</formula>
    </cfRule>
    <cfRule type="expression" dxfId="715" priority="6580">
      <formula>$H1016="SUBETAPA"</formula>
    </cfRule>
    <cfRule type="expression" dxfId="714" priority="6581">
      <formula>$H1016="CÉLULA CONSTRUTIVA"</formula>
    </cfRule>
    <cfRule type="expression" dxfId="713" priority="6582">
      <formula>$H1016="ETAPA"</formula>
    </cfRule>
  </conditionalFormatting>
  <conditionalFormatting sqref="P1020:P1023">
    <cfRule type="expression" dxfId="712" priority="6574">
      <formula>$H1020="ETAPA"</formula>
    </cfRule>
    <cfRule type="containsText" dxfId="711" priority="6575" operator="containsText" text="Lançado">
      <formula>NOT(ISERROR(SEARCH("Lançado",P1020)))</formula>
    </cfRule>
    <cfRule type="expression" dxfId="710" priority="6573">
      <formula>$H1020="CÉLULA CONSTRUTIVA"</formula>
    </cfRule>
    <cfRule type="expression" dxfId="709" priority="6572">
      <formula>$H1020="SUBETAPA"</formula>
    </cfRule>
    <cfRule type="containsText" dxfId="708" priority="6576" operator="containsText" text="N/A">
      <formula>NOT(ISERROR(SEARCH("N/A",P1020)))</formula>
    </cfRule>
    <cfRule type="containsText" dxfId="707" priority="6577" operator="containsText" text="Pendente">
      <formula>NOT(ISERROR(SEARCH("Pendente",P1020)))</formula>
    </cfRule>
    <cfRule type="containsText" dxfId="706" priority="6578" operator="containsText" text="Finalizado">
      <formula>NOT(ISERROR(SEARCH("Finalizado",P1020)))</formula>
    </cfRule>
    <cfRule type="containsText" dxfId="705" priority="6579" operator="containsText" text="em andamento">
      <formula>NOT(ISERROR(SEARCH("em andamento",P1020)))</formula>
    </cfRule>
  </conditionalFormatting>
  <conditionalFormatting sqref="P1025:P1027">
    <cfRule type="containsText" dxfId="704" priority="1513" operator="containsText" text="em andamento">
      <formula>NOT(ISERROR(SEARCH("em andamento",P1025)))</formula>
    </cfRule>
    <cfRule type="containsText" dxfId="703" priority="1512" operator="containsText" text="Finalizado">
      <formula>NOT(ISERROR(SEARCH("Finalizado",P1025)))</formula>
    </cfRule>
    <cfRule type="containsText" dxfId="702" priority="1511" operator="containsText" text="Pendente">
      <formula>NOT(ISERROR(SEARCH("Pendente",P1025)))</formula>
    </cfRule>
    <cfRule type="expression" dxfId="701" priority="1506">
      <formula>$H1025="SUBETAPA"</formula>
    </cfRule>
    <cfRule type="expression" dxfId="700" priority="1507">
      <formula>$H1025="CÉLULA CONSTRUTIVA"</formula>
    </cfRule>
    <cfRule type="expression" dxfId="699" priority="1508">
      <formula>$H1025="ETAPA"</formula>
    </cfRule>
    <cfRule type="containsText" dxfId="698" priority="1509" operator="containsText" text="Lançado">
      <formula>NOT(ISERROR(SEARCH("Lançado",P1025)))</formula>
    </cfRule>
    <cfRule type="containsText" dxfId="697" priority="1510" operator="containsText" text="N/A">
      <formula>NOT(ISERROR(SEARCH("N/A",P1025)))</formula>
    </cfRule>
  </conditionalFormatting>
  <conditionalFormatting sqref="P1029">
    <cfRule type="containsText" dxfId="696" priority="6560" operator="containsText" text="N/A">
      <formula>NOT(ISERROR(SEARCH("N/A",P1029)))</formula>
    </cfRule>
    <cfRule type="containsText" dxfId="695" priority="6559" operator="containsText" text="Lançado">
      <formula>NOT(ISERROR(SEARCH("Lançado",P1029)))</formula>
    </cfRule>
    <cfRule type="expression" dxfId="694" priority="6558">
      <formula>$H1029="ETAPA"</formula>
    </cfRule>
    <cfRule type="expression" dxfId="693" priority="6557">
      <formula>$H1029="CÉLULA CONSTRUTIVA"</formula>
    </cfRule>
    <cfRule type="expression" dxfId="692" priority="6556">
      <formula>$H1029="SUBETAPA"</formula>
    </cfRule>
    <cfRule type="containsText" dxfId="691" priority="6562" operator="containsText" text="Finalizado">
      <formula>NOT(ISERROR(SEARCH("Finalizado",P1029)))</formula>
    </cfRule>
    <cfRule type="containsText" dxfId="690" priority="6563" operator="containsText" text="em andamento">
      <formula>NOT(ISERROR(SEARCH("em andamento",P1029)))</formula>
    </cfRule>
    <cfRule type="containsText" dxfId="689" priority="6561" operator="containsText" text="Pendente">
      <formula>NOT(ISERROR(SEARCH("Pendente",P1029)))</formula>
    </cfRule>
  </conditionalFormatting>
  <conditionalFormatting sqref="P1030">
    <cfRule type="expression" dxfId="688" priority="3065">
      <formula>$H1030="SUBETAPA"</formula>
    </cfRule>
    <cfRule type="containsText" dxfId="687" priority="3068" operator="containsText" text="Lançado">
      <formula>NOT(ISERROR(SEARCH("Lançado",P1030)))</formula>
    </cfRule>
    <cfRule type="containsText" dxfId="686" priority="3071" operator="containsText" text="Finalizado">
      <formula>NOT(ISERROR(SEARCH("Finalizado",P1030)))</formula>
    </cfRule>
    <cfRule type="expression" dxfId="685" priority="3067">
      <formula>$H1030="ETAPA"</formula>
    </cfRule>
    <cfRule type="expression" dxfId="684" priority="3066">
      <formula>$H1030="CÉLULA CONSTRUTIVA"</formula>
    </cfRule>
    <cfRule type="containsText" dxfId="683" priority="3069" operator="containsText" text="N/A">
      <formula>NOT(ISERROR(SEARCH("N/A",P1030)))</formula>
    </cfRule>
    <cfRule type="containsText" dxfId="682" priority="3072" operator="containsText" text="em andamento">
      <formula>NOT(ISERROR(SEARCH("em andamento",P1030)))</formula>
    </cfRule>
    <cfRule type="containsText" dxfId="681" priority="3070" operator="containsText" text="Pendente">
      <formula>NOT(ISERROR(SEARCH("Pendente",P1030)))</formula>
    </cfRule>
  </conditionalFormatting>
  <conditionalFormatting sqref="P1032 M1032">
    <cfRule type="expression" dxfId="680" priority="2953">
      <formula>$H1032="CÉLULA CONSTRUTIVA"</formula>
    </cfRule>
    <cfRule type="expression" dxfId="679" priority="2954">
      <formula>$H1032="ETAPA"</formula>
    </cfRule>
    <cfRule type="expression" dxfId="678" priority="2952">
      <formula>$H1032="SUBETAPA"</formula>
    </cfRule>
  </conditionalFormatting>
  <conditionalFormatting sqref="P1032">
    <cfRule type="containsText" dxfId="677" priority="2958" operator="containsText" text="Finalizado">
      <formula>NOT(ISERROR(SEARCH("Finalizado",P1032)))</formula>
    </cfRule>
    <cfRule type="containsText" dxfId="676" priority="2959" operator="containsText" text="em andamento">
      <formula>NOT(ISERROR(SEARCH("em andamento",P1032)))</formula>
    </cfRule>
    <cfRule type="containsText" dxfId="675" priority="2956" operator="containsText" text="N/A">
      <formula>NOT(ISERROR(SEARCH("N/A",P1032)))</formula>
    </cfRule>
    <cfRule type="containsText" dxfId="674" priority="2957" operator="containsText" text="Pendente">
      <formula>NOT(ISERROR(SEARCH("Pendente",P1032)))</formula>
    </cfRule>
    <cfRule type="containsText" dxfId="673" priority="2955" operator="containsText" text="Lançado">
      <formula>NOT(ISERROR(SEARCH("Lançado",P1032)))</formula>
    </cfRule>
  </conditionalFormatting>
  <conditionalFormatting sqref="P1033 M1033">
    <cfRule type="expression" dxfId="672" priority="2943">
      <formula>$H1033="ETAPA"</formula>
    </cfRule>
    <cfRule type="expression" dxfId="671" priority="2941">
      <formula>$H1033="SUBETAPA"</formula>
    </cfRule>
    <cfRule type="expression" dxfId="670" priority="2942">
      <formula>$H1033="CÉLULA CONSTRUTIVA"</formula>
    </cfRule>
  </conditionalFormatting>
  <conditionalFormatting sqref="P1033">
    <cfRule type="containsText" dxfId="669" priority="2948" operator="containsText" text="em andamento">
      <formula>NOT(ISERROR(SEARCH("em andamento",P1033)))</formula>
    </cfRule>
    <cfRule type="containsText" dxfId="668" priority="2946" operator="containsText" text="Pendente">
      <formula>NOT(ISERROR(SEARCH("Pendente",P1033)))</formula>
    </cfRule>
    <cfRule type="containsText" dxfId="667" priority="2944" operator="containsText" text="Lançado">
      <formula>NOT(ISERROR(SEARCH("Lançado",P1033)))</formula>
    </cfRule>
    <cfRule type="containsText" dxfId="666" priority="2945" operator="containsText" text="N/A">
      <formula>NOT(ISERROR(SEARCH("N/A",P1033)))</formula>
    </cfRule>
    <cfRule type="containsText" dxfId="665" priority="2947" operator="containsText" text="Finalizado">
      <formula>NOT(ISERROR(SEARCH("Finalizado",P1033)))</formula>
    </cfRule>
  </conditionalFormatting>
  <conditionalFormatting sqref="P1036 P1038">
    <cfRule type="expression" dxfId="664" priority="6542">
      <formula>$H1036="ETAPA"</formula>
    </cfRule>
    <cfRule type="expression" dxfId="663" priority="6540">
      <formula>$H1036="SUBETAPA"</formula>
    </cfRule>
    <cfRule type="containsText" dxfId="662" priority="6543" operator="containsText" text="Lançado">
      <formula>NOT(ISERROR(SEARCH("Lançado",P1036)))</formula>
    </cfRule>
    <cfRule type="containsText" dxfId="661" priority="6544" operator="containsText" text="N/A">
      <formula>NOT(ISERROR(SEARCH("N/A",P1036)))</formula>
    </cfRule>
    <cfRule type="containsText" dxfId="660" priority="6545" operator="containsText" text="Pendente">
      <formula>NOT(ISERROR(SEARCH("Pendente",P1036)))</formula>
    </cfRule>
    <cfRule type="containsText" dxfId="659" priority="6546" operator="containsText" text="Finalizado">
      <formula>NOT(ISERROR(SEARCH("Finalizado",P1036)))</formula>
    </cfRule>
    <cfRule type="containsText" dxfId="658" priority="6547" operator="containsText" text="em andamento">
      <formula>NOT(ISERROR(SEARCH("em andamento",P1036)))</formula>
    </cfRule>
    <cfRule type="expression" dxfId="657" priority="6541">
      <formula>$H1036="CÉLULA CONSTRUTIVA"</formula>
    </cfRule>
  </conditionalFormatting>
  <conditionalFormatting sqref="P1037">
    <cfRule type="expression" dxfId="656" priority="3045">
      <formula>$H1037="SUBETAPA"</formula>
    </cfRule>
    <cfRule type="containsText" dxfId="655" priority="3052" operator="containsText" text="em andamento">
      <formula>NOT(ISERROR(SEARCH("em andamento",P1037)))</formula>
    </cfRule>
    <cfRule type="containsText" dxfId="654" priority="3051" operator="containsText" text="Finalizado">
      <formula>NOT(ISERROR(SEARCH("Finalizado",P1037)))</formula>
    </cfRule>
    <cfRule type="containsText" dxfId="653" priority="3050" operator="containsText" text="Pendente">
      <formula>NOT(ISERROR(SEARCH("Pendente",P1037)))</formula>
    </cfRule>
    <cfRule type="containsText" dxfId="652" priority="3049" operator="containsText" text="N/A">
      <formula>NOT(ISERROR(SEARCH("N/A",P1037)))</formula>
    </cfRule>
    <cfRule type="containsText" dxfId="651" priority="3048" operator="containsText" text="Lançado">
      <formula>NOT(ISERROR(SEARCH("Lançado",P1037)))</formula>
    </cfRule>
    <cfRule type="expression" dxfId="650" priority="3047">
      <formula>$H1037="ETAPA"</formula>
    </cfRule>
    <cfRule type="expression" dxfId="649" priority="3046">
      <formula>$H1037="CÉLULA CONSTRUTIVA"</formula>
    </cfRule>
  </conditionalFormatting>
  <conditionalFormatting sqref="P1039 P1044 P1048">
    <cfRule type="containsText" dxfId="648" priority="6552" operator="containsText" text="N/A">
      <formula>NOT(ISERROR(SEARCH("N/A",P1039)))</formula>
    </cfRule>
    <cfRule type="containsText" dxfId="647" priority="6551" operator="containsText" text="Lançado">
      <formula>NOT(ISERROR(SEARCH("Lançado",P1039)))</formula>
    </cfRule>
    <cfRule type="expression" dxfId="646" priority="6550">
      <formula>$H1039="ETAPA"</formula>
    </cfRule>
    <cfRule type="expression" dxfId="645" priority="6549">
      <formula>$H1039="CÉLULA CONSTRUTIVA"</formula>
    </cfRule>
    <cfRule type="expression" dxfId="644" priority="6548">
      <formula>$H1039="SUBETAPA"</formula>
    </cfRule>
  </conditionalFormatting>
  <conditionalFormatting sqref="P1040:P1043">
    <cfRule type="expression" dxfId="643" priority="6532">
      <formula>$H1040="SUBETAPA"</formula>
    </cfRule>
    <cfRule type="containsText" dxfId="642" priority="6539" operator="containsText" text="em andamento">
      <formula>NOT(ISERROR(SEARCH("em andamento",P1040)))</formula>
    </cfRule>
    <cfRule type="containsText" dxfId="641" priority="6538" operator="containsText" text="Finalizado">
      <formula>NOT(ISERROR(SEARCH("Finalizado",P1040)))</formula>
    </cfRule>
    <cfRule type="containsText" dxfId="640" priority="6537" operator="containsText" text="Pendente">
      <formula>NOT(ISERROR(SEARCH("Pendente",P1040)))</formula>
    </cfRule>
    <cfRule type="containsText" dxfId="639" priority="6535" operator="containsText" text="Lançado">
      <formula>NOT(ISERROR(SEARCH("Lançado",P1040)))</formula>
    </cfRule>
    <cfRule type="expression" dxfId="638" priority="6533">
      <formula>$H1040="CÉLULA CONSTRUTIVA"</formula>
    </cfRule>
    <cfRule type="expression" dxfId="637" priority="6534">
      <formula>$H1040="ETAPA"</formula>
    </cfRule>
    <cfRule type="containsText" dxfId="636" priority="6536" operator="containsText" text="N/A">
      <formula>NOT(ISERROR(SEARCH("N/A",P1040)))</formula>
    </cfRule>
  </conditionalFormatting>
  <conditionalFormatting sqref="P1044 P1039 P1048">
    <cfRule type="containsText" dxfId="635" priority="6555" operator="containsText" text="em andamento">
      <formula>NOT(ISERROR(SEARCH("em andamento",P1039)))</formula>
    </cfRule>
    <cfRule type="containsText" dxfId="634" priority="6554" operator="containsText" text="Finalizado">
      <formula>NOT(ISERROR(SEARCH("Finalizado",P1039)))</formula>
    </cfRule>
    <cfRule type="containsText" dxfId="633" priority="6553" operator="containsText" text="Pendente">
      <formula>NOT(ISERROR(SEARCH("Pendente",P1039)))</formula>
    </cfRule>
  </conditionalFormatting>
  <conditionalFormatting sqref="P1045:P1047">
    <cfRule type="containsText" dxfId="632" priority="6531" operator="containsText" text="em andamento">
      <formula>NOT(ISERROR(SEARCH("em andamento",P1045)))</formula>
    </cfRule>
    <cfRule type="containsText" dxfId="631" priority="6530" operator="containsText" text="Finalizado">
      <formula>NOT(ISERROR(SEARCH("Finalizado",P1045)))</formula>
    </cfRule>
    <cfRule type="containsText" dxfId="630" priority="6529" operator="containsText" text="Pendente">
      <formula>NOT(ISERROR(SEARCH("Pendente",P1045)))</formula>
    </cfRule>
    <cfRule type="containsText" dxfId="629" priority="6528" operator="containsText" text="N/A">
      <formula>NOT(ISERROR(SEARCH("N/A",P1045)))</formula>
    </cfRule>
    <cfRule type="expression" dxfId="628" priority="6526">
      <formula>$H1045="ETAPA"</formula>
    </cfRule>
    <cfRule type="expression" dxfId="627" priority="6525">
      <formula>$H1045="CÉLULA CONSTRUTIVA"</formula>
    </cfRule>
    <cfRule type="expression" dxfId="626" priority="6524">
      <formula>$H1045="SUBETAPA"</formula>
    </cfRule>
    <cfRule type="containsText" dxfId="625" priority="6527" operator="containsText" text="Lançado">
      <formula>NOT(ISERROR(SEARCH("Lançado",P1045)))</formula>
    </cfRule>
  </conditionalFormatting>
  <conditionalFormatting sqref="P1049:P1053">
    <cfRule type="containsText" dxfId="624" priority="6521" operator="containsText" text="Pendente">
      <formula>NOT(ISERROR(SEARCH("Pendente",P1049)))</formula>
    </cfRule>
    <cfRule type="containsText" dxfId="623" priority="6523" operator="containsText" text="em andamento">
      <formula>NOT(ISERROR(SEARCH("em andamento",P1049)))</formula>
    </cfRule>
    <cfRule type="containsText" dxfId="622" priority="6522" operator="containsText" text="Finalizado">
      <formula>NOT(ISERROR(SEARCH("Finalizado",P1049)))</formula>
    </cfRule>
    <cfRule type="containsText" dxfId="621" priority="6520" operator="containsText" text="N/A">
      <formula>NOT(ISERROR(SEARCH("N/A",P1049)))</formula>
    </cfRule>
    <cfRule type="containsText" dxfId="620" priority="6519" operator="containsText" text="Lançado">
      <formula>NOT(ISERROR(SEARCH("Lançado",P1049)))</formula>
    </cfRule>
  </conditionalFormatting>
  <conditionalFormatting sqref="P1056 P1058">
    <cfRule type="expression" dxfId="619" priority="6501">
      <formula>$H1056="CÉLULA CONSTRUTIVA"</formula>
    </cfRule>
    <cfRule type="expression" dxfId="618" priority="6500">
      <formula>$H1056="SUBETAPA"</formula>
    </cfRule>
    <cfRule type="containsText" dxfId="617" priority="6507" operator="containsText" text="em andamento">
      <formula>NOT(ISERROR(SEARCH("em andamento",P1056)))</formula>
    </cfRule>
    <cfRule type="containsText" dxfId="616" priority="6506" operator="containsText" text="Finalizado">
      <formula>NOT(ISERROR(SEARCH("Finalizado",P1056)))</formula>
    </cfRule>
    <cfRule type="containsText" dxfId="615" priority="6505" operator="containsText" text="Pendente">
      <formula>NOT(ISERROR(SEARCH("Pendente",P1056)))</formula>
    </cfRule>
    <cfRule type="containsText" dxfId="614" priority="6504" operator="containsText" text="N/A">
      <formula>NOT(ISERROR(SEARCH("N/A",P1056)))</formula>
    </cfRule>
    <cfRule type="containsText" dxfId="613" priority="6503" operator="containsText" text="Lançado">
      <formula>NOT(ISERROR(SEARCH("Lançado",P1056)))</formula>
    </cfRule>
    <cfRule type="expression" dxfId="612" priority="6502">
      <formula>$H1056="ETAPA"</formula>
    </cfRule>
  </conditionalFormatting>
  <conditionalFormatting sqref="P1057">
    <cfRule type="expression" dxfId="611" priority="3018">
      <formula>$H1057="ETAPA"</formula>
    </cfRule>
    <cfRule type="containsText" dxfId="610" priority="3021" operator="containsText" text="Pendente">
      <formula>NOT(ISERROR(SEARCH("Pendente",P1057)))</formula>
    </cfRule>
    <cfRule type="containsText" dxfId="609" priority="3023" operator="containsText" text="em andamento">
      <formula>NOT(ISERROR(SEARCH("em andamento",P1057)))</formula>
    </cfRule>
    <cfRule type="containsText" dxfId="608" priority="3020" operator="containsText" text="N/A">
      <formula>NOT(ISERROR(SEARCH("N/A",P1057)))</formula>
    </cfRule>
    <cfRule type="containsText" dxfId="607" priority="3022" operator="containsText" text="Finalizado">
      <formula>NOT(ISERROR(SEARCH("Finalizado",P1057)))</formula>
    </cfRule>
    <cfRule type="expression" dxfId="606" priority="3017">
      <formula>$H1057="CÉLULA CONSTRUTIVA"</formula>
    </cfRule>
    <cfRule type="containsText" dxfId="605" priority="3019" operator="containsText" text="Lançado">
      <formula>NOT(ISERROR(SEARCH("Lançado",P1057)))</formula>
    </cfRule>
    <cfRule type="expression" dxfId="604" priority="3016">
      <formula>$H1057="SUBETAPA"</formula>
    </cfRule>
  </conditionalFormatting>
  <conditionalFormatting sqref="P1059 P1064 P1068">
    <cfRule type="containsText" dxfId="603" priority="6512" operator="containsText" text="N/A">
      <formula>NOT(ISERROR(SEARCH("N/A",P1059)))</formula>
    </cfRule>
    <cfRule type="containsText" dxfId="602" priority="6511" operator="containsText" text="Lançado">
      <formula>NOT(ISERROR(SEARCH("Lançado",P1059)))</formula>
    </cfRule>
    <cfRule type="expression" dxfId="601" priority="6509">
      <formula>$H1059="CÉLULA CONSTRUTIVA"</formula>
    </cfRule>
    <cfRule type="expression" dxfId="600" priority="6510">
      <formula>$H1059="ETAPA"</formula>
    </cfRule>
    <cfRule type="expression" dxfId="599" priority="6508">
      <formula>$H1059="SUBETAPA"</formula>
    </cfRule>
  </conditionalFormatting>
  <conditionalFormatting sqref="P1060:P1063">
    <cfRule type="containsText" dxfId="598" priority="6499" operator="containsText" text="em andamento">
      <formula>NOT(ISERROR(SEARCH("em andamento",P1060)))</formula>
    </cfRule>
    <cfRule type="expression" dxfId="597" priority="6492">
      <formula>$H1060="SUBETAPA"</formula>
    </cfRule>
    <cfRule type="expression" dxfId="596" priority="6494">
      <formula>$H1060="ETAPA"</formula>
    </cfRule>
    <cfRule type="containsText" dxfId="595" priority="6495" operator="containsText" text="Lançado">
      <formula>NOT(ISERROR(SEARCH("Lançado",P1060)))</formula>
    </cfRule>
    <cfRule type="containsText" dxfId="594" priority="6498" operator="containsText" text="Finalizado">
      <formula>NOT(ISERROR(SEARCH("Finalizado",P1060)))</formula>
    </cfRule>
    <cfRule type="containsText" dxfId="593" priority="6497" operator="containsText" text="Pendente">
      <formula>NOT(ISERROR(SEARCH("Pendente",P1060)))</formula>
    </cfRule>
    <cfRule type="containsText" dxfId="592" priority="6496" operator="containsText" text="N/A">
      <formula>NOT(ISERROR(SEARCH("N/A",P1060)))</formula>
    </cfRule>
    <cfRule type="expression" dxfId="591" priority="6493">
      <formula>$H1060="CÉLULA CONSTRUTIVA"</formula>
    </cfRule>
  </conditionalFormatting>
  <conditionalFormatting sqref="P1064 P1059 P1068">
    <cfRule type="containsText" dxfId="590" priority="6515" operator="containsText" text="em andamento">
      <formula>NOT(ISERROR(SEARCH("em andamento",P1059)))</formula>
    </cfRule>
    <cfRule type="containsText" dxfId="589" priority="6513" operator="containsText" text="Pendente">
      <formula>NOT(ISERROR(SEARCH("Pendente",P1059)))</formula>
    </cfRule>
    <cfRule type="containsText" dxfId="588" priority="6514" operator="containsText" text="Finalizado">
      <formula>NOT(ISERROR(SEARCH("Finalizado",P1059)))</formula>
    </cfRule>
  </conditionalFormatting>
  <conditionalFormatting sqref="P1065:P1067">
    <cfRule type="expression" dxfId="587" priority="6484">
      <formula>$H1065="SUBETAPA"</formula>
    </cfRule>
    <cfRule type="expression" dxfId="586" priority="6485">
      <formula>$H1065="CÉLULA CONSTRUTIVA"</formula>
    </cfRule>
    <cfRule type="expression" dxfId="585" priority="6486">
      <formula>$H1065="ETAPA"</formula>
    </cfRule>
    <cfRule type="containsText" dxfId="584" priority="6488" operator="containsText" text="N/A">
      <formula>NOT(ISERROR(SEARCH("N/A",P1065)))</formula>
    </cfRule>
    <cfRule type="containsText" dxfId="583" priority="6489" operator="containsText" text="Pendente">
      <formula>NOT(ISERROR(SEARCH("Pendente",P1065)))</formula>
    </cfRule>
    <cfRule type="containsText" dxfId="582" priority="6491" operator="containsText" text="em andamento">
      <formula>NOT(ISERROR(SEARCH("em andamento",P1065)))</formula>
    </cfRule>
    <cfRule type="containsText" dxfId="581" priority="6487" operator="containsText" text="Lançado">
      <formula>NOT(ISERROR(SEARCH("Lançado",P1065)))</formula>
    </cfRule>
    <cfRule type="containsText" dxfId="580" priority="6490" operator="containsText" text="Finalizado">
      <formula>NOT(ISERROR(SEARCH("Finalizado",P1065)))</formula>
    </cfRule>
  </conditionalFormatting>
  <conditionalFormatting sqref="P1069:P1073">
    <cfRule type="containsText" dxfId="579" priority="6483" operator="containsText" text="em andamento">
      <formula>NOT(ISERROR(SEARCH("em andamento",P1069)))</formula>
    </cfRule>
    <cfRule type="containsText" dxfId="578" priority="6480" operator="containsText" text="N/A">
      <formula>NOT(ISERROR(SEARCH("N/A",P1069)))</formula>
    </cfRule>
    <cfRule type="containsText" dxfId="577" priority="6482" operator="containsText" text="Finalizado">
      <formula>NOT(ISERROR(SEARCH("Finalizado",P1069)))</formula>
    </cfRule>
    <cfRule type="containsText" dxfId="576" priority="6481" operator="containsText" text="Pendente">
      <formula>NOT(ISERROR(SEARCH("Pendente",P1069)))</formula>
    </cfRule>
    <cfRule type="containsText" dxfId="575" priority="6479" operator="containsText" text="Lançado">
      <formula>NOT(ISERROR(SEARCH("Lançado",P1069)))</formula>
    </cfRule>
  </conditionalFormatting>
  <conditionalFormatting sqref="P1076 P1078">
    <cfRule type="containsText" dxfId="574" priority="6463" operator="containsText" text="Lançado">
      <formula>NOT(ISERROR(SEARCH("Lançado",P1076)))</formula>
    </cfRule>
    <cfRule type="expression" dxfId="573" priority="6461">
      <formula>$H1076="CÉLULA CONSTRUTIVA"</formula>
    </cfRule>
    <cfRule type="containsText" dxfId="572" priority="6465" operator="containsText" text="Pendente">
      <formula>NOT(ISERROR(SEARCH("Pendente",P1076)))</formula>
    </cfRule>
    <cfRule type="containsText" dxfId="571" priority="6466" operator="containsText" text="Finalizado">
      <formula>NOT(ISERROR(SEARCH("Finalizado",P1076)))</formula>
    </cfRule>
    <cfRule type="containsText" dxfId="570" priority="6467" operator="containsText" text="em andamento">
      <formula>NOT(ISERROR(SEARCH("em andamento",P1076)))</formula>
    </cfRule>
    <cfRule type="containsText" dxfId="569" priority="6464" operator="containsText" text="N/A">
      <formula>NOT(ISERROR(SEARCH("N/A",P1076)))</formula>
    </cfRule>
    <cfRule type="expression" dxfId="568" priority="6462">
      <formula>$H1076="ETAPA"</formula>
    </cfRule>
    <cfRule type="expression" dxfId="567" priority="6460">
      <formula>$H1076="SUBETAPA"</formula>
    </cfRule>
  </conditionalFormatting>
  <conditionalFormatting sqref="P1077">
    <cfRule type="containsText" dxfId="566" priority="2999" operator="containsText" text="Finalizado">
      <formula>NOT(ISERROR(SEARCH("Finalizado",P1077)))</formula>
    </cfRule>
    <cfRule type="containsText" dxfId="565" priority="2998" operator="containsText" text="Pendente">
      <formula>NOT(ISERROR(SEARCH("Pendente",P1077)))</formula>
    </cfRule>
    <cfRule type="containsText" dxfId="564" priority="2997" operator="containsText" text="N/A">
      <formula>NOT(ISERROR(SEARCH("N/A",P1077)))</formula>
    </cfRule>
    <cfRule type="containsText" dxfId="563" priority="2996" operator="containsText" text="Lançado">
      <formula>NOT(ISERROR(SEARCH("Lançado",P1077)))</formula>
    </cfRule>
    <cfRule type="expression" dxfId="562" priority="2995">
      <formula>$H1077="ETAPA"</formula>
    </cfRule>
    <cfRule type="expression" dxfId="561" priority="2994">
      <formula>$H1077="CÉLULA CONSTRUTIVA"</formula>
    </cfRule>
    <cfRule type="containsText" dxfId="560" priority="3000" operator="containsText" text="em andamento">
      <formula>NOT(ISERROR(SEARCH("em andamento",P1077)))</formula>
    </cfRule>
    <cfRule type="expression" dxfId="559" priority="2993">
      <formula>$H1077="SUBETAPA"</formula>
    </cfRule>
  </conditionalFormatting>
  <conditionalFormatting sqref="P1079 P1084 P1088">
    <cfRule type="expression" dxfId="558" priority="6468">
      <formula>$H1079="SUBETAPA"</formula>
    </cfRule>
    <cfRule type="containsText" dxfId="557" priority="6472" operator="containsText" text="N/A">
      <formula>NOT(ISERROR(SEARCH("N/A",P1079)))</formula>
    </cfRule>
    <cfRule type="containsText" dxfId="556" priority="6471" operator="containsText" text="Lançado">
      <formula>NOT(ISERROR(SEARCH("Lançado",P1079)))</formula>
    </cfRule>
    <cfRule type="expression" dxfId="555" priority="6470">
      <formula>$H1079="ETAPA"</formula>
    </cfRule>
    <cfRule type="expression" dxfId="554" priority="6469">
      <formula>$H1079="CÉLULA CONSTRUTIVA"</formula>
    </cfRule>
  </conditionalFormatting>
  <conditionalFormatting sqref="P1080:P1083">
    <cfRule type="containsText" dxfId="553" priority="6459" operator="containsText" text="em andamento">
      <formula>NOT(ISERROR(SEARCH("em andamento",P1080)))</formula>
    </cfRule>
    <cfRule type="containsText" dxfId="552" priority="6458" operator="containsText" text="Finalizado">
      <formula>NOT(ISERROR(SEARCH("Finalizado",P1080)))</formula>
    </cfRule>
    <cfRule type="containsText" dxfId="551" priority="6457" operator="containsText" text="Pendente">
      <formula>NOT(ISERROR(SEARCH("Pendente",P1080)))</formula>
    </cfRule>
    <cfRule type="containsText" dxfId="550" priority="6456" operator="containsText" text="N/A">
      <formula>NOT(ISERROR(SEARCH("N/A",P1080)))</formula>
    </cfRule>
    <cfRule type="containsText" dxfId="549" priority="6455" operator="containsText" text="Lançado">
      <formula>NOT(ISERROR(SEARCH("Lançado",P1080)))</formula>
    </cfRule>
    <cfRule type="expression" dxfId="548" priority="6453">
      <formula>$H1080="CÉLULA CONSTRUTIVA"</formula>
    </cfRule>
    <cfRule type="expression" dxfId="547" priority="6452">
      <formula>$H1080="SUBETAPA"</formula>
    </cfRule>
    <cfRule type="expression" dxfId="546" priority="6454">
      <formula>$H1080="ETAPA"</formula>
    </cfRule>
  </conditionalFormatting>
  <conditionalFormatting sqref="P1084 P1079 P1088">
    <cfRule type="containsText" dxfId="545" priority="6475" operator="containsText" text="em andamento">
      <formula>NOT(ISERROR(SEARCH("em andamento",P1079)))</formula>
    </cfRule>
    <cfRule type="containsText" dxfId="544" priority="6474" operator="containsText" text="Finalizado">
      <formula>NOT(ISERROR(SEARCH("Finalizado",P1079)))</formula>
    </cfRule>
    <cfRule type="containsText" dxfId="543" priority="6473" operator="containsText" text="Pendente">
      <formula>NOT(ISERROR(SEARCH("Pendente",P1079)))</formula>
    </cfRule>
  </conditionalFormatting>
  <conditionalFormatting sqref="P1085:P1087">
    <cfRule type="containsText" dxfId="542" priority="6451" operator="containsText" text="em andamento">
      <formula>NOT(ISERROR(SEARCH("em andamento",P1085)))</formula>
    </cfRule>
    <cfRule type="containsText" dxfId="541" priority="6450" operator="containsText" text="Finalizado">
      <formula>NOT(ISERROR(SEARCH("Finalizado",P1085)))</formula>
    </cfRule>
    <cfRule type="containsText" dxfId="540" priority="6449" operator="containsText" text="Pendente">
      <formula>NOT(ISERROR(SEARCH("Pendente",P1085)))</formula>
    </cfRule>
    <cfRule type="containsText" dxfId="539" priority="6448" operator="containsText" text="N/A">
      <formula>NOT(ISERROR(SEARCH("N/A",P1085)))</formula>
    </cfRule>
    <cfRule type="containsText" dxfId="538" priority="6447" operator="containsText" text="Lançado">
      <formula>NOT(ISERROR(SEARCH("Lançado",P1085)))</formula>
    </cfRule>
    <cfRule type="expression" dxfId="537" priority="6446">
      <formula>$H1085="ETAPA"</formula>
    </cfRule>
    <cfRule type="expression" dxfId="536" priority="6445">
      <formula>$H1085="CÉLULA CONSTRUTIVA"</formula>
    </cfRule>
    <cfRule type="expression" dxfId="535" priority="6444">
      <formula>$H1085="SUBETAPA"</formula>
    </cfRule>
  </conditionalFormatting>
  <conditionalFormatting sqref="P1089:P1093">
    <cfRule type="containsText" dxfId="534" priority="6440" operator="containsText" text="N/A">
      <formula>NOT(ISERROR(SEARCH("N/A",P1089)))</formula>
    </cfRule>
    <cfRule type="containsText" dxfId="533" priority="6441" operator="containsText" text="Pendente">
      <formula>NOT(ISERROR(SEARCH("Pendente",P1089)))</formula>
    </cfRule>
    <cfRule type="containsText" dxfId="532" priority="6442" operator="containsText" text="Finalizado">
      <formula>NOT(ISERROR(SEARCH("Finalizado",P1089)))</formula>
    </cfRule>
    <cfRule type="containsText" dxfId="531" priority="6443" operator="containsText" text="em andamento">
      <formula>NOT(ISERROR(SEARCH("em andamento",P1089)))</formula>
    </cfRule>
    <cfRule type="containsText" dxfId="530" priority="6439" operator="containsText" text="Lançado">
      <formula>NOT(ISERROR(SEARCH("Lançado",P1089)))</formula>
    </cfRule>
  </conditionalFormatting>
  <conditionalFormatting sqref="P1096">
    <cfRule type="containsText" dxfId="529" priority="6434" operator="containsText" text="Finalizado">
      <formula>NOT(ISERROR(SEARCH("Finalizado",P1096)))</formula>
    </cfRule>
    <cfRule type="containsText" dxfId="528" priority="6433" operator="containsText" text="Pendente">
      <formula>NOT(ISERROR(SEARCH("Pendente",P1096)))</formula>
    </cfRule>
    <cfRule type="containsText" dxfId="527" priority="6432" operator="containsText" text="N/A">
      <formula>NOT(ISERROR(SEARCH("N/A",P1096)))</formula>
    </cfRule>
    <cfRule type="containsText" dxfId="526" priority="6431" operator="containsText" text="Lançado">
      <formula>NOT(ISERROR(SEARCH("Lançado",P1096)))</formula>
    </cfRule>
    <cfRule type="expression" dxfId="525" priority="6430">
      <formula>$H1096="ETAPA"</formula>
    </cfRule>
    <cfRule type="expression" dxfId="524" priority="6429">
      <formula>$H1096="CÉLULA CONSTRUTIVA"</formula>
    </cfRule>
    <cfRule type="expression" dxfId="523" priority="6428">
      <formula>$H1096="SUBETAPA"</formula>
    </cfRule>
    <cfRule type="containsText" dxfId="522" priority="6435" operator="containsText" text="em andamento">
      <formula>NOT(ISERROR(SEARCH("em andamento",P1096)))</formula>
    </cfRule>
  </conditionalFormatting>
  <conditionalFormatting sqref="P1098:P1101">
    <cfRule type="containsText" dxfId="521" priority="6423" operator="containsText" text="Lançado">
      <formula>NOT(ISERROR(SEARCH("Lançado",P1098)))</formula>
    </cfRule>
    <cfRule type="containsText" dxfId="520" priority="6427" operator="containsText" text="em andamento">
      <formula>NOT(ISERROR(SEARCH("em andamento",P1098)))</formula>
    </cfRule>
    <cfRule type="containsText" dxfId="519" priority="6426" operator="containsText" text="Finalizado">
      <formula>NOT(ISERROR(SEARCH("Finalizado",P1098)))</formula>
    </cfRule>
    <cfRule type="containsText" dxfId="518" priority="6425" operator="containsText" text="Pendente">
      <formula>NOT(ISERROR(SEARCH("Pendente",P1098)))</formula>
    </cfRule>
    <cfRule type="containsText" dxfId="517" priority="6424" operator="containsText" text="N/A">
      <formula>NOT(ISERROR(SEARCH("N/A",P1098)))</formula>
    </cfRule>
    <cfRule type="expression" dxfId="516" priority="6422">
      <formula>$H1098="ETAPA"</formula>
    </cfRule>
    <cfRule type="expression" dxfId="515" priority="6421">
      <formula>$H1098="CÉLULA CONSTRUTIVA"</formula>
    </cfRule>
    <cfRule type="expression" dxfId="514" priority="6420">
      <formula>$H1098="SUBETAPA"</formula>
    </cfRule>
  </conditionalFormatting>
  <conditionalFormatting sqref="P1103:P1105">
    <cfRule type="containsText" dxfId="513" priority="6419" operator="containsText" text="em andamento">
      <formula>NOT(ISERROR(SEARCH("em andamento",P1103)))</formula>
    </cfRule>
    <cfRule type="containsText" dxfId="512" priority="6416" operator="containsText" text="N/A">
      <formula>NOT(ISERROR(SEARCH("N/A",P1103)))</formula>
    </cfRule>
    <cfRule type="containsText" dxfId="511" priority="6418" operator="containsText" text="Finalizado">
      <formula>NOT(ISERROR(SEARCH("Finalizado",P1103)))</formula>
    </cfRule>
    <cfRule type="containsText" dxfId="510" priority="6417" operator="containsText" text="Pendente">
      <formula>NOT(ISERROR(SEARCH("Pendente",P1103)))</formula>
    </cfRule>
    <cfRule type="containsText" dxfId="509" priority="6415" operator="containsText" text="Lançado">
      <formula>NOT(ISERROR(SEARCH("Lançado",P1103)))</formula>
    </cfRule>
    <cfRule type="expression" dxfId="508" priority="6414">
      <formula>$H1103="ETAPA"</formula>
    </cfRule>
    <cfRule type="expression" dxfId="507" priority="6413">
      <formula>$H1103="CÉLULA CONSTRUTIVA"</formula>
    </cfRule>
    <cfRule type="expression" dxfId="506" priority="6412">
      <formula>$H1103="SUBETAPA"</formula>
    </cfRule>
  </conditionalFormatting>
  <conditionalFormatting sqref="P1113">
    <cfRule type="containsText" dxfId="505" priority="6403" operator="containsText" text="em andamento">
      <formula>NOT(ISERROR(SEARCH("em andamento",P1113)))</formula>
    </cfRule>
    <cfRule type="containsText" dxfId="504" priority="6402" operator="containsText" text="Finalizado">
      <formula>NOT(ISERROR(SEARCH("Finalizado",P1113)))</formula>
    </cfRule>
    <cfRule type="containsText" dxfId="503" priority="6401" operator="containsText" text="Pendente">
      <formula>NOT(ISERROR(SEARCH("Pendente",P1113)))</formula>
    </cfRule>
    <cfRule type="containsText" dxfId="502" priority="6400" operator="containsText" text="N/A">
      <formula>NOT(ISERROR(SEARCH("N/A",P1113)))</formula>
    </cfRule>
    <cfRule type="containsText" dxfId="501" priority="6399" operator="containsText" text="Lançado">
      <formula>NOT(ISERROR(SEARCH("Lançado",P1113)))</formula>
    </cfRule>
    <cfRule type="expression" dxfId="500" priority="6398">
      <formula>$H1113="ETAPA"</formula>
    </cfRule>
    <cfRule type="expression" dxfId="499" priority="6397">
      <formula>$H1113="CÉLULA CONSTRUTIVA"</formula>
    </cfRule>
    <cfRule type="expression" dxfId="498" priority="6396">
      <formula>$H1113="SUBETAPA"</formula>
    </cfRule>
  </conditionalFormatting>
  <conditionalFormatting sqref="P1115:P1117">
    <cfRule type="containsText" dxfId="497" priority="6395" operator="containsText" text="em andamento">
      <formula>NOT(ISERROR(SEARCH("em andamento",P1115)))</formula>
    </cfRule>
    <cfRule type="containsText" dxfId="496" priority="6394" operator="containsText" text="Finalizado">
      <formula>NOT(ISERROR(SEARCH("Finalizado",P1115)))</formula>
    </cfRule>
    <cfRule type="containsText" dxfId="495" priority="6393" operator="containsText" text="Pendente">
      <formula>NOT(ISERROR(SEARCH("Pendente",P1115)))</formula>
    </cfRule>
    <cfRule type="containsText" dxfId="494" priority="6391" operator="containsText" text="Lançado">
      <formula>NOT(ISERROR(SEARCH("Lançado",P1115)))</formula>
    </cfRule>
    <cfRule type="expression" dxfId="493" priority="6390">
      <formula>$H1115="ETAPA"</formula>
    </cfRule>
    <cfRule type="expression" dxfId="492" priority="6389">
      <formula>$H1115="CÉLULA CONSTRUTIVA"</formula>
    </cfRule>
    <cfRule type="expression" dxfId="491" priority="6388">
      <formula>$H1115="SUBETAPA"</formula>
    </cfRule>
    <cfRule type="containsText" dxfId="490" priority="6392" operator="containsText" text="N/A">
      <formula>NOT(ISERROR(SEARCH("N/A",P1115)))</formula>
    </cfRule>
  </conditionalFormatting>
  <conditionalFormatting sqref="P1119:P1121">
    <cfRule type="containsText" dxfId="489" priority="6384" operator="containsText" text="N/A">
      <formula>NOT(ISERROR(SEARCH("N/A",P1119)))</formula>
    </cfRule>
    <cfRule type="containsText" dxfId="488" priority="6387" operator="containsText" text="em andamento">
      <formula>NOT(ISERROR(SEARCH("em andamento",P1119)))</formula>
    </cfRule>
    <cfRule type="containsText" dxfId="487" priority="6383" operator="containsText" text="Lançado">
      <formula>NOT(ISERROR(SEARCH("Lançado",P1119)))</formula>
    </cfRule>
    <cfRule type="expression" dxfId="486" priority="6382">
      <formula>$H1119="ETAPA"</formula>
    </cfRule>
    <cfRule type="expression" dxfId="485" priority="6381">
      <formula>$H1119="CÉLULA CONSTRUTIVA"</formula>
    </cfRule>
    <cfRule type="expression" dxfId="484" priority="6380">
      <formula>$H1119="SUBETAPA"</formula>
    </cfRule>
    <cfRule type="containsText" dxfId="483" priority="6385" operator="containsText" text="Pendente">
      <formula>NOT(ISERROR(SEARCH("Pendente",P1119)))</formula>
    </cfRule>
    <cfRule type="containsText" dxfId="482" priority="6386" operator="containsText" text="Finalizado">
      <formula>NOT(ISERROR(SEARCH("Finalizado",P1119)))</formula>
    </cfRule>
  </conditionalFormatting>
  <conditionalFormatting sqref="P1123:P1125">
    <cfRule type="containsText" dxfId="481" priority="6378" operator="containsText" text="Finalizado">
      <formula>NOT(ISERROR(SEARCH("Finalizado",P1123)))</formula>
    </cfRule>
    <cfRule type="containsText" dxfId="480" priority="6377" operator="containsText" text="Pendente">
      <formula>NOT(ISERROR(SEARCH("Pendente",P1123)))</formula>
    </cfRule>
    <cfRule type="containsText" dxfId="479" priority="6376" operator="containsText" text="N/A">
      <formula>NOT(ISERROR(SEARCH("N/A",P1123)))</formula>
    </cfRule>
    <cfRule type="containsText" dxfId="478" priority="6375" operator="containsText" text="Lançado">
      <formula>NOT(ISERROR(SEARCH("Lançado",P1123)))</formula>
    </cfRule>
    <cfRule type="containsText" dxfId="477" priority="6379" operator="containsText" text="em andamento">
      <formula>NOT(ISERROR(SEARCH("em andamento",P1123)))</formula>
    </cfRule>
  </conditionalFormatting>
  <conditionalFormatting sqref="P1128">
    <cfRule type="containsText" dxfId="476" priority="6371" operator="containsText" text="em andamento">
      <formula>NOT(ISERROR(SEARCH("em andamento",P1128)))</formula>
    </cfRule>
    <cfRule type="containsText" dxfId="475" priority="6370" operator="containsText" text="Finalizado">
      <formula>NOT(ISERROR(SEARCH("Finalizado",P1128)))</formula>
    </cfRule>
    <cfRule type="containsText" dxfId="474" priority="6369" operator="containsText" text="Pendente">
      <formula>NOT(ISERROR(SEARCH("Pendente",P1128)))</formula>
    </cfRule>
    <cfRule type="containsText" dxfId="473" priority="6368" operator="containsText" text="N/A">
      <formula>NOT(ISERROR(SEARCH("N/A",P1128)))</formula>
    </cfRule>
    <cfRule type="containsText" dxfId="472" priority="6367" operator="containsText" text="Lançado">
      <formula>NOT(ISERROR(SEARCH("Lançado",P1128)))</formula>
    </cfRule>
    <cfRule type="expression" dxfId="471" priority="6366">
      <formula>$H1128="ETAPA"</formula>
    </cfRule>
    <cfRule type="expression" dxfId="470" priority="6365">
      <formula>$H1128="CÉLULA CONSTRUTIVA"</formula>
    </cfRule>
    <cfRule type="expression" dxfId="469" priority="6364">
      <formula>$H1128="SUBETAPA"</formula>
    </cfRule>
  </conditionalFormatting>
  <conditionalFormatting sqref="P1130:P1133">
    <cfRule type="containsText" dxfId="468" priority="6363" operator="containsText" text="em andamento">
      <formula>NOT(ISERROR(SEARCH("em andamento",P1130)))</formula>
    </cfRule>
    <cfRule type="containsText" dxfId="467" priority="6362" operator="containsText" text="Finalizado">
      <formula>NOT(ISERROR(SEARCH("Finalizado",P1130)))</formula>
    </cfRule>
    <cfRule type="containsText" dxfId="466" priority="6361" operator="containsText" text="Pendente">
      <formula>NOT(ISERROR(SEARCH("Pendente",P1130)))</formula>
    </cfRule>
    <cfRule type="containsText" dxfId="465" priority="6360" operator="containsText" text="N/A">
      <formula>NOT(ISERROR(SEARCH("N/A",P1130)))</formula>
    </cfRule>
    <cfRule type="containsText" dxfId="464" priority="6359" operator="containsText" text="Lançado">
      <formula>NOT(ISERROR(SEARCH("Lançado",P1130)))</formula>
    </cfRule>
    <cfRule type="expression" dxfId="463" priority="6358">
      <formula>$H1130="ETAPA"</formula>
    </cfRule>
    <cfRule type="expression" dxfId="462" priority="6357">
      <formula>$H1130="CÉLULA CONSTRUTIVA"</formula>
    </cfRule>
    <cfRule type="expression" dxfId="461" priority="6356">
      <formula>$H1130="SUBETAPA"</formula>
    </cfRule>
  </conditionalFormatting>
  <conditionalFormatting sqref="P1135 P1137">
    <cfRule type="containsText" dxfId="460" priority="6355" operator="containsText" text="em andamento">
      <formula>NOT(ISERROR(SEARCH("em andamento",P1135)))</formula>
    </cfRule>
    <cfRule type="containsText" dxfId="459" priority="6354" operator="containsText" text="Finalizado">
      <formula>NOT(ISERROR(SEARCH("Finalizado",P1135)))</formula>
    </cfRule>
    <cfRule type="containsText" dxfId="458" priority="6353" operator="containsText" text="Pendente">
      <formula>NOT(ISERROR(SEARCH("Pendente",P1135)))</formula>
    </cfRule>
    <cfRule type="containsText" dxfId="457" priority="6352" operator="containsText" text="N/A">
      <formula>NOT(ISERROR(SEARCH("N/A",P1135)))</formula>
    </cfRule>
    <cfRule type="containsText" dxfId="456" priority="6351" operator="containsText" text="Lançado">
      <formula>NOT(ISERROR(SEARCH("Lançado",P1135)))</formula>
    </cfRule>
    <cfRule type="expression" dxfId="455" priority="6350">
      <formula>$H1135="ETAPA"</formula>
    </cfRule>
    <cfRule type="expression" dxfId="454" priority="6349">
      <formula>$H1135="CÉLULA CONSTRUTIVA"</formula>
    </cfRule>
    <cfRule type="expression" dxfId="453" priority="6348">
      <formula>$H1135="SUBETAPA"</formula>
    </cfRule>
  </conditionalFormatting>
  <conditionalFormatting sqref="P1136">
    <cfRule type="containsText" dxfId="452" priority="1505" operator="containsText" text="em andamento">
      <formula>NOT(ISERROR(SEARCH("em andamento",P1136)))</formula>
    </cfRule>
    <cfRule type="expression" dxfId="451" priority="1498">
      <formula>$H1136="SUBETAPA"</formula>
    </cfRule>
    <cfRule type="expression" dxfId="450" priority="1499">
      <formula>$H1136="CÉLULA CONSTRUTIVA"</formula>
    </cfRule>
    <cfRule type="expression" dxfId="449" priority="1500">
      <formula>$H1136="ETAPA"</formula>
    </cfRule>
    <cfRule type="containsText" dxfId="448" priority="1501" operator="containsText" text="Lançado">
      <formula>NOT(ISERROR(SEARCH("Lançado",P1136)))</formula>
    </cfRule>
    <cfRule type="containsText" dxfId="447" priority="1502" operator="containsText" text="N/A">
      <formula>NOT(ISERROR(SEARCH("N/A",P1136)))</formula>
    </cfRule>
    <cfRule type="containsText" dxfId="446" priority="1503" operator="containsText" text="Pendente">
      <formula>NOT(ISERROR(SEARCH("Pendente",P1136)))</formula>
    </cfRule>
    <cfRule type="containsText" dxfId="445" priority="1504" operator="containsText" text="Finalizado">
      <formula>NOT(ISERROR(SEARCH("Finalizado",P1136)))</formula>
    </cfRule>
  </conditionalFormatting>
  <conditionalFormatting sqref="P1139:P1141">
    <cfRule type="containsText" dxfId="444" priority="6347" operator="containsText" text="em andamento">
      <formula>NOT(ISERROR(SEARCH("em andamento",P1139)))</formula>
    </cfRule>
    <cfRule type="containsText" dxfId="443" priority="6343" operator="containsText" text="Lançado">
      <formula>NOT(ISERROR(SEARCH("Lançado",P1139)))</formula>
    </cfRule>
    <cfRule type="containsText" dxfId="442" priority="6344" operator="containsText" text="N/A">
      <formula>NOT(ISERROR(SEARCH("N/A",P1139)))</formula>
    </cfRule>
    <cfRule type="containsText" dxfId="441" priority="6345" operator="containsText" text="Pendente">
      <formula>NOT(ISERROR(SEARCH("Pendente",P1139)))</formula>
    </cfRule>
    <cfRule type="containsText" dxfId="440" priority="6346" operator="containsText" text="Finalizado">
      <formula>NOT(ISERROR(SEARCH("Finalizado",P1139)))</formula>
    </cfRule>
  </conditionalFormatting>
  <conditionalFormatting sqref="P1144:P1145">
    <cfRule type="containsText" dxfId="439" priority="6339" operator="containsText" text="em andamento">
      <formula>NOT(ISERROR(SEARCH("em andamento",P1144)))</formula>
    </cfRule>
    <cfRule type="expression" dxfId="438" priority="6333">
      <formula>$H1144="CÉLULA CONSTRUTIVA"</formula>
    </cfRule>
    <cfRule type="expression" dxfId="437" priority="6334">
      <formula>$H1144="ETAPA"</formula>
    </cfRule>
    <cfRule type="containsText" dxfId="436" priority="6335" operator="containsText" text="Lançado">
      <formula>NOT(ISERROR(SEARCH("Lançado",P1144)))</formula>
    </cfRule>
    <cfRule type="containsText" dxfId="435" priority="6336" operator="containsText" text="N/A">
      <formula>NOT(ISERROR(SEARCH("N/A",P1144)))</formula>
    </cfRule>
    <cfRule type="containsText" dxfId="434" priority="6337" operator="containsText" text="Pendente">
      <formula>NOT(ISERROR(SEARCH("Pendente",P1144)))</formula>
    </cfRule>
    <cfRule type="containsText" dxfId="433" priority="6338" operator="containsText" text="Finalizado">
      <formula>NOT(ISERROR(SEARCH("Finalizado",P1144)))</formula>
    </cfRule>
    <cfRule type="expression" dxfId="432" priority="6332">
      <formula>$H1144="SUBETAPA"</formula>
    </cfRule>
  </conditionalFormatting>
  <conditionalFormatting sqref="P1147 P1149">
    <cfRule type="containsText" dxfId="431" priority="6331" operator="containsText" text="em andamento">
      <formula>NOT(ISERROR(SEARCH("em andamento",P1147)))</formula>
    </cfRule>
    <cfRule type="containsText" dxfId="430" priority="6330" operator="containsText" text="Finalizado">
      <formula>NOT(ISERROR(SEARCH("Finalizado",P1147)))</formula>
    </cfRule>
    <cfRule type="containsText" dxfId="429" priority="6329" operator="containsText" text="Pendente">
      <formula>NOT(ISERROR(SEARCH("Pendente",P1147)))</formula>
    </cfRule>
    <cfRule type="containsText" dxfId="428" priority="6328" operator="containsText" text="N/A">
      <formula>NOT(ISERROR(SEARCH("N/A",P1147)))</formula>
    </cfRule>
    <cfRule type="containsText" dxfId="427" priority="6327" operator="containsText" text="Lançado">
      <formula>NOT(ISERROR(SEARCH("Lançado",P1147)))</formula>
    </cfRule>
    <cfRule type="expression" dxfId="426" priority="6326">
      <formula>$H1147="ETAPA"</formula>
    </cfRule>
    <cfRule type="expression" dxfId="425" priority="6325">
      <formula>$H1147="CÉLULA CONSTRUTIVA"</formula>
    </cfRule>
    <cfRule type="expression" dxfId="424" priority="6324">
      <formula>$H1147="SUBETAPA"</formula>
    </cfRule>
  </conditionalFormatting>
  <conditionalFormatting sqref="P1148">
    <cfRule type="containsText" dxfId="423" priority="1497" operator="containsText" text="em andamento">
      <formula>NOT(ISERROR(SEARCH("em andamento",P1148)))</formula>
    </cfRule>
    <cfRule type="containsText" dxfId="422" priority="1496" operator="containsText" text="Finalizado">
      <formula>NOT(ISERROR(SEARCH("Finalizado",P1148)))</formula>
    </cfRule>
    <cfRule type="containsText" dxfId="421" priority="1495" operator="containsText" text="Pendente">
      <formula>NOT(ISERROR(SEARCH("Pendente",P1148)))</formula>
    </cfRule>
    <cfRule type="containsText" dxfId="420" priority="1494" operator="containsText" text="N/A">
      <formula>NOT(ISERROR(SEARCH("N/A",P1148)))</formula>
    </cfRule>
    <cfRule type="containsText" dxfId="419" priority="1493" operator="containsText" text="Lançado">
      <formula>NOT(ISERROR(SEARCH("Lançado",P1148)))</formula>
    </cfRule>
    <cfRule type="expression" dxfId="418" priority="1492">
      <formula>$H1148="ETAPA"</formula>
    </cfRule>
    <cfRule type="expression" dxfId="417" priority="1491">
      <formula>$H1148="CÉLULA CONSTRUTIVA"</formula>
    </cfRule>
    <cfRule type="expression" dxfId="416" priority="1490">
      <formula>$H1148="SUBETAPA"</formula>
    </cfRule>
  </conditionalFormatting>
  <conditionalFormatting sqref="P1156:P1157">
    <cfRule type="containsText" dxfId="415" priority="6116" operator="containsText" text="N/A">
      <formula>NOT(ISERROR(SEARCH("N/A",P1156)))</formula>
    </cfRule>
    <cfRule type="containsText" dxfId="414" priority="6117" operator="containsText" text="Pendente">
      <formula>NOT(ISERROR(SEARCH("Pendente",P1156)))</formula>
    </cfRule>
    <cfRule type="containsText" dxfId="413" priority="6118" operator="containsText" text="Finalizado">
      <formula>NOT(ISERROR(SEARCH("Finalizado",P1156)))</formula>
    </cfRule>
    <cfRule type="containsText" dxfId="412" priority="6119" operator="containsText" text="em andamento">
      <formula>NOT(ISERROR(SEARCH("em andamento",P1156)))</formula>
    </cfRule>
    <cfRule type="expression" dxfId="411" priority="6112">
      <formula>$H1156="SUBETAPA"</formula>
    </cfRule>
    <cfRule type="expression" dxfId="410" priority="6113">
      <formula>$H1156="CÉLULA CONSTRUTIVA"</formula>
    </cfRule>
    <cfRule type="expression" dxfId="409" priority="6114">
      <formula>$H1156="ETAPA"</formula>
    </cfRule>
    <cfRule type="containsText" dxfId="408" priority="6115" operator="containsText" text="Lançado">
      <formula>NOT(ISERROR(SEARCH("Lançado",P1156)))</formula>
    </cfRule>
  </conditionalFormatting>
  <conditionalFormatting sqref="P1159:P1162">
    <cfRule type="containsText" dxfId="407" priority="6124" operator="containsText" text="N/A">
      <formula>NOT(ISERROR(SEARCH("N/A",P1159)))</formula>
    </cfRule>
    <cfRule type="expression" dxfId="406" priority="6122">
      <formula>$H1159="ETAPA"</formula>
    </cfRule>
    <cfRule type="expression" dxfId="405" priority="6121">
      <formula>$H1159="CÉLULA CONSTRUTIVA"</formula>
    </cfRule>
    <cfRule type="expression" dxfId="404" priority="6120">
      <formula>$H1159="SUBETAPA"</formula>
    </cfRule>
    <cfRule type="containsText" dxfId="403" priority="6127" operator="containsText" text="em andamento">
      <formula>NOT(ISERROR(SEARCH("em andamento",P1159)))</formula>
    </cfRule>
    <cfRule type="containsText" dxfId="402" priority="6126" operator="containsText" text="Finalizado">
      <formula>NOT(ISERROR(SEARCH("Finalizado",P1159)))</formula>
    </cfRule>
    <cfRule type="containsText" dxfId="401" priority="6125" operator="containsText" text="Pendente">
      <formula>NOT(ISERROR(SEARCH("Pendente",P1159)))</formula>
    </cfRule>
    <cfRule type="containsText" dxfId="400" priority="6123" operator="containsText" text="Lançado">
      <formula>NOT(ISERROR(SEARCH("Lançado",P1159)))</formula>
    </cfRule>
  </conditionalFormatting>
  <conditionalFormatting sqref="P1164:P1168">
    <cfRule type="expression" dxfId="399" priority="6129">
      <formula>$H1164="CÉLULA CONSTRUTIVA"</formula>
    </cfRule>
    <cfRule type="expression" dxfId="398" priority="6128">
      <formula>$H1164="SUBETAPA"</formula>
    </cfRule>
    <cfRule type="containsText" dxfId="397" priority="6135" operator="containsText" text="em andamento">
      <formula>NOT(ISERROR(SEARCH("em andamento",P1164)))</formula>
    </cfRule>
    <cfRule type="expression" dxfId="396" priority="6130">
      <formula>$H1164="ETAPA"</formula>
    </cfRule>
    <cfRule type="containsText" dxfId="395" priority="6132" operator="containsText" text="N/A">
      <formula>NOT(ISERROR(SEARCH("N/A",P1164)))</formula>
    </cfRule>
    <cfRule type="containsText" dxfId="394" priority="6133" operator="containsText" text="Pendente">
      <formula>NOT(ISERROR(SEARCH("Pendente",P1164)))</formula>
    </cfRule>
    <cfRule type="containsText" dxfId="393" priority="6134" operator="containsText" text="Finalizado">
      <formula>NOT(ISERROR(SEARCH("Finalizado",P1164)))</formula>
    </cfRule>
    <cfRule type="containsText" dxfId="392" priority="6131" operator="containsText" text="Lançado">
      <formula>NOT(ISERROR(SEARCH("Lançado",P1164)))</formula>
    </cfRule>
  </conditionalFormatting>
  <conditionalFormatting sqref="P1169">
    <cfRule type="containsText" dxfId="391" priority="1547" operator="containsText" text="N/A">
      <formula>NOT(ISERROR(SEARCH("N/A",P1169)))</formula>
    </cfRule>
    <cfRule type="containsText" dxfId="390" priority="1549" operator="containsText" text="Finalizado">
      <formula>NOT(ISERROR(SEARCH("Finalizado",P1169)))</formula>
    </cfRule>
    <cfRule type="containsText" dxfId="389" priority="1548" operator="containsText" text="Pendente">
      <formula>NOT(ISERROR(SEARCH("Pendente",P1169)))</formula>
    </cfRule>
    <cfRule type="containsText" dxfId="388" priority="1550" operator="containsText" text="em andamento">
      <formula>NOT(ISERROR(SEARCH("em andamento",P1169)))</formula>
    </cfRule>
    <cfRule type="containsText" dxfId="387" priority="1546" operator="containsText" text="Lançado">
      <formula>NOT(ISERROR(SEARCH("Lançado",P1169)))</formula>
    </cfRule>
  </conditionalFormatting>
  <conditionalFormatting sqref="P1170">
    <cfRule type="expression" dxfId="386" priority="1534">
      <formula>$H1170="ETAPA"</formula>
    </cfRule>
    <cfRule type="containsText" dxfId="385" priority="1535" operator="containsText" text="Lançado">
      <formula>NOT(ISERROR(SEARCH("Lançado",P1170)))</formula>
    </cfRule>
    <cfRule type="containsText" dxfId="384" priority="1539" operator="containsText" text="em andamento">
      <formula>NOT(ISERROR(SEARCH("em andamento",P1170)))</formula>
    </cfRule>
    <cfRule type="expression" dxfId="383" priority="1533">
      <formula>$H1170="CÉLULA CONSTRUTIVA"</formula>
    </cfRule>
    <cfRule type="expression" dxfId="382" priority="1532">
      <formula>$H1170="SUBETAPA"</formula>
    </cfRule>
    <cfRule type="containsText" dxfId="381" priority="1538" operator="containsText" text="Finalizado">
      <formula>NOT(ISERROR(SEARCH("Finalizado",P1170)))</formula>
    </cfRule>
    <cfRule type="containsText" dxfId="380" priority="1537" operator="containsText" text="Pendente">
      <formula>NOT(ISERROR(SEARCH("Pendente",P1170)))</formula>
    </cfRule>
    <cfRule type="containsText" dxfId="379" priority="1536" operator="containsText" text="N/A">
      <formula>NOT(ISERROR(SEARCH("N/A",P1170)))</formula>
    </cfRule>
  </conditionalFormatting>
  <conditionalFormatting sqref="P1172">
    <cfRule type="expression" dxfId="378" priority="6136">
      <formula>$H1172="SUBETAPA"</formula>
    </cfRule>
    <cfRule type="expression" dxfId="377" priority="6137">
      <formula>$H1172="CÉLULA CONSTRUTIVA"</formula>
    </cfRule>
    <cfRule type="expression" dxfId="376" priority="6138">
      <formula>$H1172="ETAPA"</formula>
    </cfRule>
    <cfRule type="containsText" dxfId="375" priority="6139" operator="containsText" text="Lançado">
      <formula>NOT(ISERROR(SEARCH("Lançado",P1172)))</formula>
    </cfRule>
    <cfRule type="containsText" dxfId="374" priority="6143" operator="containsText" text="em andamento">
      <formula>NOT(ISERROR(SEARCH("em andamento",P1172)))</formula>
    </cfRule>
    <cfRule type="containsText" dxfId="373" priority="6142" operator="containsText" text="Finalizado">
      <formula>NOT(ISERROR(SEARCH("Finalizado",P1172)))</formula>
    </cfRule>
    <cfRule type="containsText" dxfId="372" priority="6141" operator="containsText" text="Pendente">
      <formula>NOT(ISERROR(SEARCH("Pendente",P1172)))</formula>
    </cfRule>
    <cfRule type="containsText" dxfId="371" priority="6140" operator="containsText" text="N/A">
      <formula>NOT(ISERROR(SEARCH("N/A",P1172)))</formula>
    </cfRule>
  </conditionalFormatting>
  <conditionalFormatting sqref="P1178">
    <cfRule type="containsText" dxfId="370" priority="6243" operator="containsText" text="Lançado">
      <formula>NOT(ISERROR(SEARCH("Lançado",P1178)))</formula>
    </cfRule>
    <cfRule type="containsText" dxfId="369" priority="6244" operator="containsText" text="N/A">
      <formula>NOT(ISERROR(SEARCH("N/A",P1178)))</formula>
    </cfRule>
    <cfRule type="containsText" dxfId="368" priority="6245" operator="containsText" text="Pendente">
      <formula>NOT(ISERROR(SEARCH("Pendente",P1178)))</formula>
    </cfRule>
    <cfRule type="containsText" dxfId="367" priority="6246" operator="containsText" text="Finalizado">
      <formula>NOT(ISERROR(SEARCH("Finalizado",P1178)))</formula>
    </cfRule>
    <cfRule type="containsText" dxfId="366" priority="6247" operator="containsText" text="em andamento">
      <formula>NOT(ISERROR(SEARCH("em andamento",P1178)))</formula>
    </cfRule>
  </conditionalFormatting>
  <conditionalFormatting sqref="P1179">
    <cfRule type="containsText" dxfId="365" priority="6159" operator="containsText" text="em andamento">
      <formula>NOT(ISERROR(SEARCH("em andamento",P1179)))</formula>
    </cfRule>
    <cfRule type="expression" dxfId="364" priority="6152">
      <formula>$H1179="SUBETAPA"</formula>
    </cfRule>
    <cfRule type="expression" dxfId="363" priority="6153">
      <formula>$H1179="CÉLULA CONSTRUTIVA"</formula>
    </cfRule>
    <cfRule type="containsText" dxfId="362" priority="6158" operator="containsText" text="Finalizado">
      <formula>NOT(ISERROR(SEARCH("Finalizado",P1179)))</formula>
    </cfRule>
    <cfRule type="containsText" dxfId="361" priority="6157" operator="containsText" text="Pendente">
      <formula>NOT(ISERROR(SEARCH("Pendente",P1179)))</formula>
    </cfRule>
    <cfRule type="containsText" dxfId="360" priority="6156" operator="containsText" text="N/A">
      <formula>NOT(ISERROR(SEARCH("N/A",P1179)))</formula>
    </cfRule>
    <cfRule type="containsText" dxfId="359" priority="6155" operator="containsText" text="Lançado">
      <formula>NOT(ISERROR(SEARCH("Lançado",P1179)))</formula>
    </cfRule>
    <cfRule type="expression" dxfId="358" priority="6154">
      <formula>$H1179="ETAPA"</formula>
    </cfRule>
  </conditionalFormatting>
  <conditionalFormatting sqref="P1181:P1182">
    <cfRule type="containsText" dxfId="357" priority="6171" operator="containsText" text="Lançado">
      <formula>NOT(ISERROR(SEARCH("Lançado",P1181)))</formula>
    </cfRule>
    <cfRule type="containsText" dxfId="356" priority="6172" operator="containsText" text="N/A">
      <formula>NOT(ISERROR(SEARCH("N/A",P1181)))</formula>
    </cfRule>
    <cfRule type="containsText" dxfId="355" priority="6173" operator="containsText" text="Pendente">
      <formula>NOT(ISERROR(SEARCH("Pendente",P1181)))</formula>
    </cfRule>
    <cfRule type="containsText" dxfId="354" priority="6174" operator="containsText" text="Finalizado">
      <formula>NOT(ISERROR(SEARCH("Finalizado",P1181)))</formula>
    </cfRule>
    <cfRule type="containsText" dxfId="353" priority="6175" operator="containsText" text="em andamento">
      <formula>NOT(ISERROR(SEARCH("em andamento",P1181)))</formula>
    </cfRule>
    <cfRule type="expression" dxfId="352" priority="6169">
      <formula>$H1181="CÉLULA CONSTRUTIVA"</formula>
    </cfRule>
    <cfRule type="expression" dxfId="351" priority="6168">
      <formula>$H1181="SUBETAPA"</formula>
    </cfRule>
    <cfRule type="expression" dxfId="350" priority="6170">
      <formula>$H1181="ETAPA"</formula>
    </cfRule>
  </conditionalFormatting>
  <conditionalFormatting sqref="P1184">
    <cfRule type="expression" dxfId="349" priority="6161">
      <formula>$H1184="CÉLULA CONSTRUTIVA"</formula>
    </cfRule>
    <cfRule type="containsText" dxfId="348" priority="6167" operator="containsText" text="em andamento">
      <formula>NOT(ISERROR(SEARCH("em andamento",P1184)))</formula>
    </cfRule>
    <cfRule type="containsText" dxfId="347" priority="6166" operator="containsText" text="Finalizado">
      <formula>NOT(ISERROR(SEARCH("Finalizado",P1184)))</formula>
    </cfRule>
    <cfRule type="containsText" dxfId="346" priority="6165" operator="containsText" text="Pendente">
      <formula>NOT(ISERROR(SEARCH("Pendente",P1184)))</formula>
    </cfRule>
    <cfRule type="expression" dxfId="345" priority="6162">
      <formula>$H1184="ETAPA"</formula>
    </cfRule>
    <cfRule type="expression" dxfId="344" priority="6160">
      <formula>$H1184="SUBETAPA"</formula>
    </cfRule>
    <cfRule type="containsText" dxfId="343" priority="6164" operator="containsText" text="N/A">
      <formula>NOT(ISERROR(SEARCH("N/A",P1184)))</formula>
    </cfRule>
    <cfRule type="containsText" dxfId="342" priority="6163" operator="containsText" text="Lançado">
      <formula>NOT(ISERROR(SEARCH("Lançado",P1184)))</formula>
    </cfRule>
  </conditionalFormatting>
  <conditionalFormatting sqref="P1188">
    <cfRule type="containsText" dxfId="341" priority="4848" operator="containsText" text="Pendente">
      <formula>NOT(ISERROR(SEARCH("Pendente",P1188)))</formula>
    </cfRule>
    <cfRule type="containsText" dxfId="340" priority="4850" operator="containsText" text="em andamento">
      <formula>NOT(ISERROR(SEARCH("em andamento",P1188)))</formula>
    </cfRule>
    <cfRule type="containsText" dxfId="339" priority="4849" operator="containsText" text="Finalizado">
      <formula>NOT(ISERROR(SEARCH("Finalizado",P1188)))</formula>
    </cfRule>
    <cfRule type="containsText" dxfId="338" priority="4847" operator="containsText" text="N/A">
      <formula>NOT(ISERROR(SEARCH("N/A",P1188)))</formula>
    </cfRule>
    <cfRule type="containsText" dxfId="337" priority="4846" operator="containsText" text="Lançado">
      <formula>NOT(ISERROR(SEARCH("Lançado",P1188)))</formula>
    </cfRule>
    <cfRule type="expression" dxfId="336" priority="4845">
      <formula>$H1188="ETAPA"</formula>
    </cfRule>
    <cfRule type="expression" dxfId="335" priority="4844">
      <formula>$H1188="CÉLULA CONSTRUTIVA"</formula>
    </cfRule>
    <cfRule type="expression" dxfId="334" priority="4843">
      <formula>$H1188="SUBETAPA"</formula>
    </cfRule>
  </conditionalFormatting>
  <conditionalFormatting sqref="P1189">
    <cfRule type="containsText" dxfId="333" priority="6258" operator="containsText" text="em andamento">
      <formula>NOT(ISERROR(SEARCH("em andamento",P1189)))</formula>
    </cfRule>
    <cfRule type="containsText" dxfId="332" priority="6257" operator="containsText" text="Finalizado">
      <formula>NOT(ISERROR(SEARCH("Finalizado",P1189)))</formula>
    </cfRule>
    <cfRule type="containsText" dxfId="331" priority="6254" operator="containsText" text="Lançado">
      <formula>NOT(ISERROR(SEARCH("Lançado",P1189)))</formula>
    </cfRule>
    <cfRule type="containsText" dxfId="330" priority="6255" operator="containsText" text="N/A">
      <formula>NOT(ISERROR(SEARCH("N/A",P1189)))</formula>
    </cfRule>
    <cfRule type="containsText" dxfId="329" priority="6256" operator="containsText" text="Pendente">
      <formula>NOT(ISERROR(SEARCH("Pendente",P1189)))</formula>
    </cfRule>
  </conditionalFormatting>
  <conditionalFormatting sqref="P1190">
    <cfRule type="containsText" dxfId="328" priority="1588" operator="containsText" text="em andamento">
      <formula>NOT(ISERROR(SEARCH("em andamento",P1190)))</formula>
    </cfRule>
    <cfRule type="containsText" dxfId="327" priority="1587" operator="containsText" text="Finalizado">
      <formula>NOT(ISERROR(SEARCH("Finalizado",P1190)))</formula>
    </cfRule>
    <cfRule type="containsText" dxfId="326" priority="1586" operator="containsText" text="Pendente">
      <formula>NOT(ISERROR(SEARCH("Pendente",P1190)))</formula>
    </cfRule>
    <cfRule type="containsText" dxfId="325" priority="1585" operator="containsText" text="N/A">
      <formula>NOT(ISERROR(SEARCH("N/A",P1190)))</formula>
    </cfRule>
    <cfRule type="containsText" dxfId="324" priority="1584" operator="containsText" text="Lançado">
      <formula>NOT(ISERROR(SEARCH("Lançado",P1190)))</formula>
    </cfRule>
    <cfRule type="expression" dxfId="323" priority="1583">
      <formula>$H1190="ETAPA"</formula>
    </cfRule>
    <cfRule type="expression" dxfId="322" priority="1582">
      <formula>$H1190="CÉLULA CONSTRUTIVA"</formula>
    </cfRule>
    <cfRule type="expression" dxfId="321" priority="1581">
      <formula>$H1190="SUBETAPA"</formula>
    </cfRule>
  </conditionalFormatting>
  <conditionalFormatting sqref="P1194:P1197">
    <cfRule type="expression" dxfId="320" priority="2627">
      <formula>$H1194="CÉLULA CONSTRUTIVA"</formula>
    </cfRule>
    <cfRule type="containsText" dxfId="319" priority="2631" operator="containsText" text="Pendente">
      <formula>NOT(ISERROR(SEARCH("Pendente",P1194)))</formula>
    </cfRule>
    <cfRule type="containsText" dxfId="318" priority="2630" operator="containsText" text="N/A">
      <formula>NOT(ISERROR(SEARCH("N/A",P1194)))</formula>
    </cfRule>
    <cfRule type="containsText" dxfId="317" priority="2632" operator="containsText" text="Finalizado">
      <formula>NOT(ISERROR(SEARCH("Finalizado",P1194)))</formula>
    </cfRule>
    <cfRule type="containsText" dxfId="316" priority="2629" operator="containsText" text="Lançado">
      <formula>NOT(ISERROR(SEARCH("Lançado",P1194)))</formula>
    </cfRule>
    <cfRule type="expression" dxfId="315" priority="2626">
      <formula>$H1194="SUBETAPA"</formula>
    </cfRule>
    <cfRule type="expression" dxfId="314" priority="2628">
      <formula>$H1194="ETAPA"</formula>
    </cfRule>
    <cfRule type="containsText" dxfId="313" priority="2633" operator="containsText" text="em andamento">
      <formula>NOT(ISERROR(SEARCH("em andamento",P1194)))</formula>
    </cfRule>
  </conditionalFormatting>
  <conditionalFormatting sqref="P1199">
    <cfRule type="expression" dxfId="312" priority="574">
      <formula>$H1199="CÉLULA CONSTRUTIVA"</formula>
    </cfRule>
    <cfRule type="expression" dxfId="311" priority="575">
      <formula>$H1199="ETAPA"</formula>
    </cfRule>
    <cfRule type="containsText" dxfId="310" priority="576" operator="containsText" text="Lançado">
      <formula>NOT(ISERROR(SEARCH("Lançado",P1199)))</formula>
    </cfRule>
    <cfRule type="containsText" dxfId="309" priority="577" operator="containsText" text="N/A">
      <formula>NOT(ISERROR(SEARCH("N/A",P1199)))</formula>
    </cfRule>
    <cfRule type="containsText" dxfId="308" priority="578" operator="containsText" text="Pendente">
      <formula>NOT(ISERROR(SEARCH("Pendente",P1199)))</formula>
    </cfRule>
    <cfRule type="containsText" dxfId="307" priority="580" operator="containsText" text="em andamento">
      <formula>NOT(ISERROR(SEARCH("em andamento",P1199)))</formula>
    </cfRule>
    <cfRule type="containsText" dxfId="306" priority="579" operator="containsText" text="Finalizado">
      <formula>NOT(ISERROR(SEARCH("Finalizado",P1199)))</formula>
    </cfRule>
    <cfRule type="expression" dxfId="305" priority="573">
      <formula>$H1199="SUBETAPA"</formula>
    </cfRule>
  </conditionalFormatting>
  <conditionalFormatting sqref="P1200:P1204">
    <cfRule type="expression" dxfId="304" priority="2618">
      <formula>$H1200="SUBETAPA"</formula>
    </cfRule>
    <cfRule type="expression" dxfId="303" priority="2619">
      <formula>$H1200="CÉLULA CONSTRUTIVA"</formula>
    </cfRule>
    <cfRule type="containsText" dxfId="302" priority="2625" operator="containsText" text="em andamento">
      <formula>NOT(ISERROR(SEARCH("em andamento",P1200)))</formula>
    </cfRule>
    <cfRule type="containsText" dxfId="301" priority="2624" operator="containsText" text="Finalizado">
      <formula>NOT(ISERROR(SEARCH("Finalizado",P1200)))</formula>
    </cfRule>
    <cfRule type="containsText" dxfId="300" priority="2623" operator="containsText" text="Pendente">
      <formula>NOT(ISERROR(SEARCH("Pendente",P1200)))</formula>
    </cfRule>
    <cfRule type="containsText" dxfId="299" priority="2622" operator="containsText" text="N/A">
      <formula>NOT(ISERROR(SEARCH("N/A",P1200)))</formula>
    </cfRule>
    <cfRule type="containsText" dxfId="298" priority="2621" operator="containsText" text="Lançado">
      <formula>NOT(ISERROR(SEARCH("Lançado",P1200)))</formula>
    </cfRule>
    <cfRule type="expression" dxfId="297" priority="2620">
      <formula>$H1200="ETAPA"</formula>
    </cfRule>
  </conditionalFormatting>
  <conditionalFormatting sqref="P1206:P1207">
    <cfRule type="expression" dxfId="296" priority="589">
      <formula>$H1206="ETAPA"</formula>
    </cfRule>
    <cfRule type="containsText" dxfId="295" priority="594" operator="containsText" text="em andamento">
      <formula>NOT(ISERROR(SEARCH("em andamento",P1206)))</formula>
    </cfRule>
    <cfRule type="containsText" dxfId="294" priority="592" operator="containsText" text="Pendente">
      <formula>NOT(ISERROR(SEARCH("Pendente",P1206)))</formula>
    </cfRule>
    <cfRule type="expression" dxfId="293" priority="588">
      <formula>$H1206="CÉLULA CONSTRUTIVA"</formula>
    </cfRule>
    <cfRule type="expression" dxfId="292" priority="587">
      <formula>$H1206="SUBETAPA"</formula>
    </cfRule>
    <cfRule type="containsText" dxfId="291" priority="591" operator="containsText" text="N/A">
      <formula>NOT(ISERROR(SEARCH("N/A",P1206)))</formula>
    </cfRule>
    <cfRule type="containsText" dxfId="290" priority="593" operator="containsText" text="Finalizado">
      <formula>NOT(ISERROR(SEARCH("Finalizado",P1206)))</formula>
    </cfRule>
    <cfRule type="containsText" dxfId="289" priority="590" operator="containsText" text="Lançado">
      <formula>NOT(ISERROR(SEARCH("Lançado",P1206)))</formula>
    </cfRule>
  </conditionalFormatting>
  <conditionalFormatting sqref="P1209">
    <cfRule type="containsText" dxfId="288" priority="2609" operator="containsText" text="em andamento">
      <formula>NOT(ISERROR(SEARCH("em andamento",P1209)))</formula>
    </cfRule>
    <cfRule type="expression" dxfId="287" priority="2602">
      <formula>$H1209="SUBETAPA"</formula>
    </cfRule>
    <cfRule type="expression" dxfId="286" priority="2603">
      <formula>$H1209="CÉLULA CONSTRUTIVA"</formula>
    </cfRule>
    <cfRule type="expression" dxfId="285" priority="2604">
      <formula>$H1209="ETAPA"</formula>
    </cfRule>
    <cfRule type="containsText" dxfId="284" priority="2605" operator="containsText" text="Lançado">
      <formula>NOT(ISERROR(SEARCH("Lançado",P1209)))</formula>
    </cfRule>
    <cfRule type="containsText" dxfId="283" priority="2606" operator="containsText" text="N/A">
      <formula>NOT(ISERROR(SEARCH("N/A",P1209)))</formula>
    </cfRule>
    <cfRule type="containsText" dxfId="282" priority="2607" operator="containsText" text="Pendente">
      <formula>NOT(ISERROR(SEARCH("Pendente",P1209)))</formula>
    </cfRule>
    <cfRule type="containsText" dxfId="281" priority="2608" operator="containsText" text="Finalizado">
      <formula>NOT(ISERROR(SEARCH("Finalizado",P1209)))</formula>
    </cfRule>
  </conditionalFormatting>
  <conditionalFormatting sqref="P1211:P1215">
    <cfRule type="containsText" dxfId="280" priority="2598" operator="containsText" text="N/A">
      <formula>NOT(ISERROR(SEARCH("N/A",P1211)))</formula>
    </cfRule>
    <cfRule type="containsText" dxfId="279" priority="2600" operator="containsText" text="Finalizado">
      <formula>NOT(ISERROR(SEARCH("Finalizado",P1211)))</formula>
    </cfRule>
    <cfRule type="containsText" dxfId="278" priority="2601" operator="containsText" text="em andamento">
      <formula>NOT(ISERROR(SEARCH("em andamento",P1211)))</formula>
    </cfRule>
    <cfRule type="containsText" dxfId="277" priority="2599" operator="containsText" text="Pendente">
      <formula>NOT(ISERROR(SEARCH("Pendente",P1211)))</formula>
    </cfRule>
    <cfRule type="expression" dxfId="276" priority="2594">
      <formula>$H1211="SUBETAPA"</formula>
    </cfRule>
    <cfRule type="expression" dxfId="275" priority="2595">
      <formula>$H1211="CÉLULA CONSTRUTIVA"</formula>
    </cfRule>
    <cfRule type="expression" dxfId="274" priority="2596">
      <formula>$H1211="ETAPA"</formula>
    </cfRule>
    <cfRule type="containsText" dxfId="273" priority="2597" operator="containsText" text="Lançado">
      <formula>NOT(ISERROR(SEARCH("Lançado",P1211)))</formula>
    </cfRule>
  </conditionalFormatting>
  <conditionalFormatting sqref="P1216:P1217 P1222 P1227">
    <cfRule type="containsText" dxfId="272" priority="3450" operator="containsText" text="Lançado">
      <formula>NOT(ISERROR(SEARCH("Lançado",P1216)))</formula>
    </cfRule>
    <cfRule type="containsText" dxfId="271" priority="3451" operator="containsText" text="N/A">
      <formula>NOT(ISERROR(SEARCH("N/A",P1216)))</formula>
    </cfRule>
  </conditionalFormatting>
  <conditionalFormatting sqref="P1218:P1221">
    <cfRule type="containsText" dxfId="270" priority="2589" operator="containsText" text="Lançado">
      <formula>NOT(ISERROR(SEARCH("Lançado",P1218)))</formula>
    </cfRule>
    <cfRule type="expression" dxfId="269" priority="2588">
      <formula>$H1218="ETAPA"</formula>
    </cfRule>
    <cfRule type="expression" dxfId="268" priority="2587">
      <formula>$H1218="CÉLULA CONSTRUTIVA"</formula>
    </cfRule>
    <cfRule type="expression" dxfId="267" priority="2586">
      <formula>$H1218="SUBETAPA"</formula>
    </cfRule>
    <cfRule type="containsText" dxfId="266" priority="2590" operator="containsText" text="N/A">
      <formula>NOT(ISERROR(SEARCH("N/A",P1218)))</formula>
    </cfRule>
    <cfRule type="containsText" dxfId="265" priority="2591" operator="containsText" text="Pendente">
      <formula>NOT(ISERROR(SEARCH("Pendente",P1218)))</formula>
    </cfRule>
    <cfRule type="containsText" dxfId="264" priority="2592" operator="containsText" text="Finalizado">
      <formula>NOT(ISERROR(SEARCH("Finalizado",P1218)))</formula>
    </cfRule>
    <cfRule type="containsText" dxfId="263" priority="2593" operator="containsText" text="em andamento">
      <formula>NOT(ISERROR(SEARCH("em andamento",P1218)))</formula>
    </cfRule>
  </conditionalFormatting>
  <conditionalFormatting sqref="P1223:P1226">
    <cfRule type="expression" dxfId="262" priority="2578">
      <formula>$H1223="SUBETAPA"</formula>
    </cfRule>
    <cfRule type="containsText" dxfId="261" priority="2584" operator="containsText" text="Finalizado">
      <formula>NOT(ISERROR(SEARCH("Finalizado",P1223)))</formula>
    </cfRule>
    <cfRule type="containsText" dxfId="260" priority="2583" operator="containsText" text="Pendente">
      <formula>NOT(ISERROR(SEARCH("Pendente",P1223)))</formula>
    </cfRule>
    <cfRule type="containsText" dxfId="259" priority="2582" operator="containsText" text="N/A">
      <formula>NOT(ISERROR(SEARCH("N/A",P1223)))</formula>
    </cfRule>
    <cfRule type="containsText" dxfId="258" priority="2585" operator="containsText" text="em andamento">
      <formula>NOT(ISERROR(SEARCH("em andamento",P1223)))</formula>
    </cfRule>
    <cfRule type="containsText" dxfId="257" priority="2581" operator="containsText" text="Lançado">
      <formula>NOT(ISERROR(SEARCH("Lançado",P1223)))</formula>
    </cfRule>
    <cfRule type="expression" dxfId="256" priority="2580">
      <formula>$H1223="ETAPA"</formula>
    </cfRule>
    <cfRule type="expression" dxfId="255" priority="2579">
      <formula>$H1223="CÉLULA CONSTRUTIVA"</formula>
    </cfRule>
  </conditionalFormatting>
  <conditionalFormatting sqref="P1227 P1216:P1217 P1222">
    <cfRule type="containsText" dxfId="254" priority="3452" operator="containsText" text="Pendente">
      <formula>NOT(ISERROR(SEARCH("Pendente",P1216)))</formula>
    </cfRule>
    <cfRule type="containsText" dxfId="253" priority="3453" operator="containsText" text="Finalizado">
      <formula>NOT(ISERROR(SEARCH("Finalizado",P1216)))</formula>
    </cfRule>
    <cfRule type="containsText" dxfId="252" priority="3454" operator="containsText" text="em andamento">
      <formula>NOT(ISERROR(SEARCH("em andamento",P1216)))</formula>
    </cfRule>
  </conditionalFormatting>
  <conditionalFormatting sqref="P1228">
    <cfRule type="expression" dxfId="251" priority="2572">
      <formula>$H1228="ETAPA"</formula>
    </cfRule>
    <cfRule type="expression" dxfId="250" priority="2571">
      <formula>$H1228="CÉLULA CONSTRUTIVA"</formula>
    </cfRule>
    <cfRule type="containsText" dxfId="249" priority="2574" operator="containsText" text="N/A">
      <formula>NOT(ISERROR(SEARCH("N/A",P1228)))</formula>
    </cfRule>
    <cfRule type="containsText" dxfId="248" priority="2575" operator="containsText" text="Pendente">
      <formula>NOT(ISERROR(SEARCH("Pendente",P1228)))</formula>
    </cfRule>
    <cfRule type="containsText" dxfId="247" priority="2573" operator="containsText" text="Lançado">
      <formula>NOT(ISERROR(SEARCH("Lançado",P1228)))</formula>
    </cfRule>
    <cfRule type="expression" dxfId="246" priority="2570">
      <formula>$H1228="SUBETAPA"</formula>
    </cfRule>
    <cfRule type="containsText" dxfId="245" priority="2576" operator="containsText" text="Finalizado">
      <formula>NOT(ISERROR(SEARCH("Finalizado",P1228)))</formula>
    </cfRule>
    <cfRule type="containsText" dxfId="244" priority="2577" operator="containsText" text="em andamento">
      <formula>NOT(ISERROR(SEARCH("em andamento",P1228)))</formula>
    </cfRule>
  </conditionalFormatting>
  <conditionalFormatting sqref="P1230:P1232">
    <cfRule type="containsText" dxfId="243" priority="2565" operator="containsText" text="Lançado">
      <formula>NOT(ISERROR(SEARCH("Lançado",P1230)))</formula>
    </cfRule>
    <cfRule type="expression" dxfId="242" priority="2564">
      <formula>$H1230="ETAPA"</formula>
    </cfRule>
    <cfRule type="expression" dxfId="241" priority="2563">
      <formula>$H1230="CÉLULA CONSTRUTIVA"</formula>
    </cfRule>
    <cfRule type="containsText" dxfId="240" priority="2569" operator="containsText" text="em andamento">
      <formula>NOT(ISERROR(SEARCH("em andamento",P1230)))</formula>
    </cfRule>
    <cfRule type="expression" dxfId="239" priority="2562">
      <formula>$H1230="SUBETAPA"</formula>
    </cfRule>
    <cfRule type="containsText" dxfId="238" priority="2567" operator="containsText" text="Pendente">
      <formula>NOT(ISERROR(SEARCH("Pendente",P1230)))</formula>
    </cfRule>
    <cfRule type="containsText" dxfId="237" priority="2568" operator="containsText" text="Finalizado">
      <formula>NOT(ISERROR(SEARCH("Finalizado",P1230)))</formula>
    </cfRule>
    <cfRule type="containsText" dxfId="236" priority="2566" operator="containsText" text="N/A">
      <formula>NOT(ISERROR(SEARCH("N/A",P1230)))</formula>
    </cfRule>
  </conditionalFormatting>
  <conditionalFormatting sqref="P1233:P1234 P1239 P1245 P1247 P1249">
    <cfRule type="containsText" dxfId="235" priority="3545" operator="containsText" text="N/A">
      <formula>NOT(ISERROR(SEARCH("N/A",P1233)))</formula>
    </cfRule>
    <cfRule type="containsText" dxfId="234" priority="3544" operator="containsText" text="Lançado">
      <formula>NOT(ISERROR(SEARCH("Lançado",P1233)))</formula>
    </cfRule>
  </conditionalFormatting>
  <conditionalFormatting sqref="P1235:P1238">
    <cfRule type="expression" dxfId="233" priority="2554">
      <formula>$H1235="SUBETAPA"</formula>
    </cfRule>
    <cfRule type="expression" dxfId="232" priority="2556">
      <formula>$H1235="ETAPA"</formula>
    </cfRule>
    <cfRule type="containsText" dxfId="231" priority="2557" operator="containsText" text="Lançado">
      <formula>NOT(ISERROR(SEARCH("Lançado",P1235)))</formula>
    </cfRule>
    <cfRule type="containsText" dxfId="230" priority="2558" operator="containsText" text="N/A">
      <formula>NOT(ISERROR(SEARCH("N/A",P1235)))</formula>
    </cfRule>
    <cfRule type="containsText" dxfId="229" priority="2559" operator="containsText" text="Pendente">
      <formula>NOT(ISERROR(SEARCH("Pendente",P1235)))</formula>
    </cfRule>
    <cfRule type="containsText" dxfId="228" priority="2560" operator="containsText" text="Finalizado">
      <formula>NOT(ISERROR(SEARCH("Finalizado",P1235)))</formula>
    </cfRule>
    <cfRule type="containsText" dxfId="227" priority="2561" operator="containsText" text="em andamento">
      <formula>NOT(ISERROR(SEARCH("em andamento",P1235)))</formula>
    </cfRule>
    <cfRule type="expression" dxfId="226" priority="2555">
      <formula>$H1235="CÉLULA CONSTRUTIVA"</formula>
    </cfRule>
  </conditionalFormatting>
  <conditionalFormatting sqref="P1240:P1244">
    <cfRule type="expression" dxfId="225" priority="2546">
      <formula>$H1240="SUBETAPA"</formula>
    </cfRule>
    <cfRule type="containsText" dxfId="224" priority="2551" operator="containsText" text="Pendente">
      <formula>NOT(ISERROR(SEARCH("Pendente",P1240)))</formula>
    </cfRule>
    <cfRule type="containsText" dxfId="223" priority="2549" operator="containsText" text="Lançado">
      <formula>NOT(ISERROR(SEARCH("Lançado",P1240)))</formula>
    </cfRule>
    <cfRule type="expression" dxfId="222" priority="2548">
      <formula>$H1240="ETAPA"</formula>
    </cfRule>
    <cfRule type="expression" dxfId="221" priority="2547">
      <formula>$H1240="CÉLULA CONSTRUTIVA"</formula>
    </cfRule>
    <cfRule type="containsText" dxfId="220" priority="2552" operator="containsText" text="Finalizado">
      <formula>NOT(ISERROR(SEARCH("Finalizado",P1240)))</formula>
    </cfRule>
    <cfRule type="containsText" dxfId="219" priority="2553" operator="containsText" text="em andamento">
      <formula>NOT(ISERROR(SEARCH("em andamento",P1240)))</formula>
    </cfRule>
    <cfRule type="containsText" dxfId="218" priority="2550" operator="containsText" text="N/A">
      <formula>NOT(ISERROR(SEARCH("N/A",P1240)))</formula>
    </cfRule>
  </conditionalFormatting>
  <conditionalFormatting sqref="P1245 P1247 P1233:P1234 P1239 P1249">
    <cfRule type="containsText" dxfId="217" priority="3546" operator="containsText" text="Pendente">
      <formula>NOT(ISERROR(SEARCH("Pendente",P1233)))</formula>
    </cfRule>
    <cfRule type="containsText" dxfId="216" priority="3547" operator="containsText" text="Finalizado">
      <formula>NOT(ISERROR(SEARCH("Finalizado",P1233)))</formula>
    </cfRule>
    <cfRule type="containsText" dxfId="215" priority="3548" operator="containsText" text="em andamento">
      <formula>NOT(ISERROR(SEARCH("em andamento",P1233)))</formula>
    </cfRule>
  </conditionalFormatting>
  <conditionalFormatting sqref="P1246">
    <cfRule type="containsText" dxfId="214" priority="2545" operator="containsText" text="em andamento">
      <formula>NOT(ISERROR(SEARCH("em andamento",P1246)))</formula>
    </cfRule>
    <cfRule type="containsText" dxfId="213" priority="2544" operator="containsText" text="Finalizado">
      <formula>NOT(ISERROR(SEARCH("Finalizado",P1246)))</formula>
    </cfRule>
    <cfRule type="containsText" dxfId="212" priority="2543" operator="containsText" text="Pendente">
      <formula>NOT(ISERROR(SEARCH("Pendente",P1246)))</formula>
    </cfRule>
    <cfRule type="containsText" dxfId="211" priority="2542" operator="containsText" text="N/A">
      <formula>NOT(ISERROR(SEARCH("N/A",P1246)))</formula>
    </cfRule>
    <cfRule type="expression" dxfId="210" priority="2540">
      <formula>$H1246="ETAPA"</formula>
    </cfRule>
    <cfRule type="expression" dxfId="209" priority="2539">
      <formula>$H1246="CÉLULA CONSTRUTIVA"</formula>
    </cfRule>
    <cfRule type="expression" dxfId="208" priority="2538">
      <formula>$H1246="SUBETAPA"</formula>
    </cfRule>
    <cfRule type="containsText" dxfId="207" priority="2541" operator="containsText" text="Lançado">
      <formula>NOT(ISERROR(SEARCH("Lançado",P1246)))</formula>
    </cfRule>
  </conditionalFormatting>
  <conditionalFormatting sqref="P1248">
    <cfRule type="containsText" dxfId="206" priority="2533" operator="containsText" text="Lançado">
      <formula>NOT(ISERROR(SEARCH("Lançado",P1248)))</formula>
    </cfRule>
    <cfRule type="containsText" dxfId="205" priority="2534" operator="containsText" text="N/A">
      <formula>NOT(ISERROR(SEARCH("N/A",P1248)))</formula>
    </cfRule>
    <cfRule type="containsText" dxfId="204" priority="2537" operator="containsText" text="em andamento">
      <formula>NOT(ISERROR(SEARCH("em andamento",P1248)))</formula>
    </cfRule>
    <cfRule type="containsText" dxfId="203" priority="2536" operator="containsText" text="Finalizado">
      <formula>NOT(ISERROR(SEARCH("Finalizado",P1248)))</formula>
    </cfRule>
    <cfRule type="expression" dxfId="202" priority="2530">
      <formula>$H1248="SUBETAPA"</formula>
    </cfRule>
    <cfRule type="containsText" dxfId="201" priority="2535" operator="containsText" text="Pendente">
      <formula>NOT(ISERROR(SEARCH("Pendente",P1248)))</formula>
    </cfRule>
    <cfRule type="expression" dxfId="200" priority="2531">
      <formula>$H1248="CÉLULA CONSTRUTIVA"</formula>
    </cfRule>
    <cfRule type="expression" dxfId="199" priority="2532">
      <formula>$H1248="ETAPA"</formula>
    </cfRule>
  </conditionalFormatting>
  <conditionalFormatting sqref="P1250:P1254">
    <cfRule type="containsText" dxfId="198" priority="2526" operator="containsText" text="N/A">
      <formula>NOT(ISERROR(SEARCH("N/A",P1250)))</formula>
    </cfRule>
    <cfRule type="expression" dxfId="197" priority="2524">
      <formula>$H1250="ETAPA"</formula>
    </cfRule>
    <cfRule type="expression" dxfId="196" priority="2523">
      <formula>$H1250="CÉLULA CONSTRUTIVA"</formula>
    </cfRule>
    <cfRule type="containsText" dxfId="195" priority="2529" operator="containsText" text="em andamento">
      <formula>NOT(ISERROR(SEARCH("em andamento",P1250)))</formula>
    </cfRule>
    <cfRule type="containsText" dxfId="194" priority="2528" operator="containsText" text="Finalizado">
      <formula>NOT(ISERROR(SEARCH("Finalizado",P1250)))</formula>
    </cfRule>
    <cfRule type="containsText" dxfId="193" priority="2527" operator="containsText" text="Pendente">
      <formula>NOT(ISERROR(SEARCH("Pendente",P1250)))</formula>
    </cfRule>
    <cfRule type="expression" dxfId="192" priority="2522">
      <formula>$H1250="SUBETAPA"</formula>
    </cfRule>
    <cfRule type="containsText" dxfId="191" priority="2525" operator="containsText" text="Lançado">
      <formula>NOT(ISERROR(SEARCH("Lançado",P1250)))</formula>
    </cfRule>
  </conditionalFormatting>
  <conditionalFormatting sqref="P1255:P1256 P1261 P1267 P1269">
    <cfRule type="containsText" dxfId="190" priority="3638" operator="containsText" text="Lançado">
      <formula>NOT(ISERROR(SEARCH("Lançado",P1255)))</formula>
    </cfRule>
    <cfRule type="containsText" dxfId="189" priority="3639" operator="containsText" text="N/A">
      <formula>NOT(ISERROR(SEARCH("N/A",P1255)))</formula>
    </cfRule>
  </conditionalFormatting>
  <conditionalFormatting sqref="P1257:P1260">
    <cfRule type="containsText" dxfId="188" priority="2518" operator="containsText" text="N/A">
      <formula>NOT(ISERROR(SEARCH("N/A",P1257)))</formula>
    </cfRule>
    <cfRule type="containsText" dxfId="187" priority="2517" operator="containsText" text="Lançado">
      <formula>NOT(ISERROR(SEARCH("Lançado",P1257)))</formula>
    </cfRule>
    <cfRule type="expression" dxfId="186" priority="2516">
      <formula>$H1257="ETAPA"</formula>
    </cfRule>
    <cfRule type="containsText" dxfId="185" priority="2521" operator="containsText" text="em andamento">
      <formula>NOT(ISERROR(SEARCH("em andamento",P1257)))</formula>
    </cfRule>
    <cfRule type="containsText" dxfId="184" priority="2520" operator="containsText" text="Finalizado">
      <formula>NOT(ISERROR(SEARCH("Finalizado",P1257)))</formula>
    </cfRule>
    <cfRule type="containsText" dxfId="183" priority="2519" operator="containsText" text="Pendente">
      <formula>NOT(ISERROR(SEARCH("Pendente",P1257)))</formula>
    </cfRule>
    <cfRule type="expression" dxfId="182" priority="2514">
      <formula>$H1257="SUBETAPA"</formula>
    </cfRule>
    <cfRule type="expression" dxfId="181" priority="2515">
      <formula>$H1257="CÉLULA CONSTRUTIVA"</formula>
    </cfRule>
  </conditionalFormatting>
  <conditionalFormatting sqref="P1262:P1266">
    <cfRule type="expression" dxfId="180" priority="2507">
      <formula>$H1262="CÉLULA CONSTRUTIVA"</formula>
    </cfRule>
    <cfRule type="expression" dxfId="179" priority="2506">
      <formula>$H1262="SUBETAPA"</formula>
    </cfRule>
    <cfRule type="containsText" dxfId="178" priority="2509" operator="containsText" text="Lançado">
      <formula>NOT(ISERROR(SEARCH("Lançado",P1262)))</formula>
    </cfRule>
    <cfRule type="containsText" dxfId="177" priority="2510" operator="containsText" text="N/A">
      <formula>NOT(ISERROR(SEARCH("N/A",P1262)))</formula>
    </cfRule>
    <cfRule type="containsText" dxfId="176" priority="2511" operator="containsText" text="Pendente">
      <formula>NOT(ISERROR(SEARCH("Pendente",P1262)))</formula>
    </cfRule>
    <cfRule type="containsText" dxfId="175" priority="2512" operator="containsText" text="Finalizado">
      <formula>NOT(ISERROR(SEARCH("Finalizado",P1262)))</formula>
    </cfRule>
    <cfRule type="containsText" dxfId="174" priority="2513" operator="containsText" text="em andamento">
      <formula>NOT(ISERROR(SEARCH("em andamento",P1262)))</formula>
    </cfRule>
    <cfRule type="expression" dxfId="173" priority="2508">
      <formula>$H1262="ETAPA"</formula>
    </cfRule>
  </conditionalFormatting>
  <conditionalFormatting sqref="P1267 P1255:P1256 P1261 P1269">
    <cfRule type="containsText" dxfId="172" priority="3642" operator="containsText" text="em andamento">
      <formula>NOT(ISERROR(SEARCH("em andamento",P1255)))</formula>
    </cfRule>
    <cfRule type="containsText" dxfId="171" priority="3640" operator="containsText" text="Pendente">
      <formula>NOT(ISERROR(SEARCH("Pendente",P1255)))</formula>
    </cfRule>
    <cfRule type="containsText" dxfId="170" priority="3641" operator="containsText" text="Finalizado">
      <formula>NOT(ISERROR(SEARCH("Finalizado",P1255)))</formula>
    </cfRule>
  </conditionalFormatting>
  <conditionalFormatting sqref="P1268">
    <cfRule type="containsText" dxfId="169" priority="2502" operator="containsText" text="N/A">
      <formula>NOT(ISERROR(SEARCH("N/A",P1268)))</formula>
    </cfRule>
    <cfRule type="containsText" dxfId="168" priority="2503" operator="containsText" text="Pendente">
      <formula>NOT(ISERROR(SEARCH("Pendente",P1268)))</formula>
    </cfRule>
    <cfRule type="containsText" dxfId="167" priority="2505" operator="containsText" text="em andamento">
      <formula>NOT(ISERROR(SEARCH("em andamento",P1268)))</formula>
    </cfRule>
    <cfRule type="expression" dxfId="166" priority="2499">
      <formula>$H1268="CÉLULA CONSTRUTIVA"</formula>
    </cfRule>
    <cfRule type="expression" dxfId="165" priority="2498">
      <formula>$H1268="SUBETAPA"</formula>
    </cfRule>
    <cfRule type="expression" dxfId="164" priority="2500">
      <formula>$H1268="ETAPA"</formula>
    </cfRule>
    <cfRule type="containsText" dxfId="163" priority="2504" operator="containsText" text="Finalizado">
      <formula>NOT(ISERROR(SEARCH("Finalizado",P1268)))</formula>
    </cfRule>
    <cfRule type="containsText" dxfId="162" priority="2501" operator="containsText" text="Lançado">
      <formula>NOT(ISERROR(SEARCH("Lançado",P1268)))</formula>
    </cfRule>
  </conditionalFormatting>
  <conditionalFormatting sqref="P1270:P1273">
    <cfRule type="expression" dxfId="161" priority="2491">
      <formula>$H1270="CÉLULA CONSTRUTIVA"</formula>
    </cfRule>
    <cfRule type="containsText" dxfId="160" priority="2495" operator="containsText" text="Pendente">
      <formula>NOT(ISERROR(SEARCH("Pendente",P1270)))</formula>
    </cfRule>
    <cfRule type="containsText" dxfId="159" priority="2496" operator="containsText" text="Finalizado">
      <formula>NOT(ISERROR(SEARCH("Finalizado",P1270)))</formula>
    </cfRule>
    <cfRule type="containsText" dxfId="158" priority="2497" operator="containsText" text="em andamento">
      <formula>NOT(ISERROR(SEARCH("em andamento",P1270)))</formula>
    </cfRule>
    <cfRule type="expression" dxfId="157" priority="2490">
      <formula>$H1270="SUBETAPA"</formula>
    </cfRule>
    <cfRule type="containsText" dxfId="156" priority="2494" operator="containsText" text="N/A">
      <formula>NOT(ISERROR(SEARCH("N/A",P1270)))</formula>
    </cfRule>
    <cfRule type="containsText" dxfId="155" priority="2493" operator="containsText" text="Lançado">
      <formula>NOT(ISERROR(SEARCH("Lançado",P1270)))</formula>
    </cfRule>
    <cfRule type="expression" dxfId="154" priority="2492">
      <formula>$H1270="ETAPA"</formula>
    </cfRule>
  </conditionalFormatting>
  <conditionalFormatting sqref="P1277">
    <cfRule type="containsText" dxfId="153" priority="1580" operator="containsText" text="em andamento">
      <formula>NOT(ISERROR(SEARCH("em andamento",P1277)))</formula>
    </cfRule>
    <cfRule type="containsText" dxfId="152" priority="1577" operator="containsText" text="N/A">
      <formula>NOT(ISERROR(SEARCH("N/A",P1277)))</formula>
    </cfRule>
    <cfRule type="containsText" dxfId="151" priority="1576" operator="containsText" text="Lançado">
      <formula>NOT(ISERROR(SEARCH("Lançado",P1277)))</formula>
    </cfRule>
    <cfRule type="containsText" dxfId="150" priority="4927" operator="containsText" text="N/A">
      <formula>NOT(ISERROR(SEARCH("N/A",P1277)))</formula>
    </cfRule>
    <cfRule type="containsText" dxfId="149" priority="4926" operator="containsText" text="Lançado">
      <formula>NOT(ISERROR(SEARCH("Lançado",P1277)))</formula>
    </cfRule>
    <cfRule type="containsText" dxfId="148" priority="4930" operator="containsText" text="em andamento">
      <formula>NOT(ISERROR(SEARCH("em andamento",P1277)))</formula>
    </cfRule>
    <cfRule type="containsText" dxfId="147" priority="4929" operator="containsText" text="Finalizado">
      <formula>NOT(ISERROR(SEARCH("Finalizado",P1277)))</formula>
    </cfRule>
    <cfRule type="containsText" dxfId="146" priority="4928" operator="containsText" text="Pendente">
      <formula>NOT(ISERROR(SEARCH("Pendente",P1277)))</formula>
    </cfRule>
    <cfRule type="containsText" dxfId="145" priority="1579" operator="containsText" text="Finalizado">
      <formula>NOT(ISERROR(SEARCH("Finalizado",P1277)))</formula>
    </cfRule>
    <cfRule type="containsText" dxfId="144" priority="1578" operator="containsText" text="Pendente">
      <formula>NOT(ISERROR(SEARCH("Pendente",P1277)))</formula>
    </cfRule>
  </conditionalFormatting>
  <conditionalFormatting sqref="P1279">
    <cfRule type="containsText" dxfId="143" priority="4919" operator="containsText" text="N/A">
      <formula>NOT(ISERROR(SEARCH("N/A",P1279)))</formula>
    </cfRule>
    <cfRule type="containsText" dxfId="142" priority="4922" operator="containsText" text="em andamento">
      <formula>NOT(ISERROR(SEARCH("em andamento",P1279)))</formula>
    </cfRule>
    <cfRule type="containsText" dxfId="141" priority="4920" operator="containsText" text="Pendente">
      <formula>NOT(ISERROR(SEARCH("Pendente",P1279)))</formula>
    </cfRule>
    <cfRule type="containsText" dxfId="140" priority="4921" operator="containsText" text="Finalizado">
      <formula>NOT(ISERROR(SEARCH("Finalizado",P1279)))</formula>
    </cfRule>
    <cfRule type="containsText" dxfId="139" priority="4918" operator="containsText" text="Lançado">
      <formula>NOT(ISERROR(SEARCH("Lançado",P1279)))</formula>
    </cfRule>
  </conditionalFormatting>
  <conditionalFormatting sqref="P1282">
    <cfRule type="expression" dxfId="138" priority="616">
      <formula>$H1282="ETAPA"</formula>
    </cfRule>
    <cfRule type="containsText" dxfId="137" priority="607" operator="containsText" text="Finalizado">
      <formula>NOT(ISERROR(SEARCH("Finalizado",P1282)))</formula>
    </cfRule>
    <cfRule type="containsText" dxfId="136" priority="612" operator="containsText" text="Finalizado">
      <formula>NOT(ISERROR(SEARCH("Finalizado",P1282)))</formula>
    </cfRule>
    <cfRule type="containsText" dxfId="135" priority="608" operator="containsText" text="em andamento">
      <formula>NOT(ISERROR(SEARCH("em andamento",P1282)))</formula>
    </cfRule>
    <cfRule type="containsText" dxfId="134" priority="610" operator="containsText" text="N/A">
      <formula>NOT(ISERROR(SEARCH("N/A",P1282)))</formula>
    </cfRule>
    <cfRule type="containsText" dxfId="133" priority="611" operator="containsText" text="Pendente">
      <formula>NOT(ISERROR(SEARCH("Pendente",P1282)))</formula>
    </cfRule>
    <cfRule type="containsText" dxfId="132" priority="609" operator="containsText" text="Lançado">
      <formula>NOT(ISERROR(SEARCH("Lançado",P1282)))</formula>
    </cfRule>
    <cfRule type="containsText" dxfId="131" priority="606" operator="containsText" text="Pendente">
      <formula>NOT(ISERROR(SEARCH("Pendente",P1282)))</formula>
    </cfRule>
    <cfRule type="expression" dxfId="130" priority="615">
      <formula>$H1282="CÉLULA CONSTRUTIVA"</formula>
    </cfRule>
    <cfRule type="containsText" dxfId="129" priority="613" operator="containsText" text="em andamento">
      <formula>NOT(ISERROR(SEARCH("em andamento",P1282)))</formula>
    </cfRule>
    <cfRule type="expression" dxfId="128" priority="614">
      <formula>$H1282="SUBETAPA"</formula>
    </cfRule>
    <cfRule type="containsText" dxfId="127" priority="604" operator="containsText" text="Lançado">
      <formula>NOT(ISERROR(SEARCH("Lançado",P1282)))</formula>
    </cfRule>
    <cfRule type="containsText" dxfId="126" priority="605" operator="containsText" text="N/A">
      <formula>NOT(ISERROR(SEARCH("N/A",P1282)))</formula>
    </cfRule>
  </conditionalFormatting>
  <conditionalFormatting sqref="P1283">
    <cfRule type="containsText" dxfId="125" priority="6289" operator="containsText" text="Pendente">
      <formula>NOT(ISERROR(SEARCH("Pendente",P1283)))</formula>
    </cfRule>
    <cfRule type="containsText" dxfId="124" priority="6290" operator="containsText" text="Finalizado">
      <formula>NOT(ISERROR(SEARCH("Finalizado",P1283)))</formula>
    </cfRule>
    <cfRule type="containsText" dxfId="123" priority="6291" operator="containsText" text="em andamento">
      <formula>NOT(ISERROR(SEARCH("em andamento",P1283)))</formula>
    </cfRule>
  </conditionalFormatting>
  <conditionalFormatting sqref="P1283:P1287">
    <cfRule type="containsText" dxfId="122" priority="4894" operator="containsText" text="Lançado">
      <formula>NOT(ISERROR(SEARCH("Lançado",P1283)))</formula>
    </cfRule>
    <cfRule type="containsText" dxfId="121" priority="4895" operator="containsText" text="N/A">
      <formula>NOT(ISERROR(SEARCH("N/A",P1283)))</formula>
    </cfRule>
  </conditionalFormatting>
  <conditionalFormatting sqref="P1284:P1285">
    <cfRule type="containsText" dxfId="120" priority="1569" operator="containsText" text="Finalizado">
      <formula>NOT(ISERROR(SEARCH("Finalizado",P1284)))</formula>
    </cfRule>
    <cfRule type="containsText" dxfId="119" priority="1568" operator="containsText" text="Pendente">
      <formula>NOT(ISERROR(SEARCH("Pendente",P1284)))</formula>
    </cfRule>
    <cfRule type="containsText" dxfId="118" priority="1570" operator="containsText" text="em andamento">
      <formula>NOT(ISERROR(SEARCH("em andamento",P1284)))</formula>
    </cfRule>
    <cfRule type="containsText" dxfId="117" priority="1567" operator="containsText" text="N/A">
      <formula>NOT(ISERROR(SEARCH("N/A",P1284)))</formula>
    </cfRule>
    <cfRule type="containsText" dxfId="116" priority="4906" operator="containsText" text="em andamento">
      <formula>NOT(ISERROR(SEARCH("em andamento",P1284)))</formula>
    </cfRule>
    <cfRule type="containsText" dxfId="115" priority="1566" operator="containsText" text="Lançado">
      <formula>NOT(ISERROR(SEARCH("Lançado",P1284)))</formula>
    </cfRule>
    <cfRule type="containsText" dxfId="114" priority="4904" operator="containsText" text="Pendente">
      <formula>NOT(ISERROR(SEARCH("Pendente",P1284)))</formula>
    </cfRule>
    <cfRule type="containsText" dxfId="113" priority="4905" operator="containsText" text="Finalizado">
      <formula>NOT(ISERROR(SEARCH("Finalizado",P1284)))</formula>
    </cfRule>
  </conditionalFormatting>
  <conditionalFormatting sqref="P1286">
    <cfRule type="containsText" dxfId="112" priority="6280" operator="containsText" text="em andamento">
      <formula>NOT(ISERROR(SEARCH("em andamento",P1286)))</formula>
    </cfRule>
    <cfRule type="containsText" dxfId="111" priority="6278" operator="containsText" text="Pendente">
      <formula>NOT(ISERROR(SEARCH("Pendente",P1286)))</formula>
    </cfRule>
    <cfRule type="containsText" dxfId="110" priority="6279" operator="containsText" text="Finalizado">
      <formula>NOT(ISERROR(SEARCH("Finalizado",P1286)))</formula>
    </cfRule>
  </conditionalFormatting>
  <conditionalFormatting sqref="P1287">
    <cfRule type="containsText" dxfId="109" priority="4897" operator="containsText" text="Finalizado">
      <formula>NOT(ISERROR(SEARCH("Finalizado",P1287)))</formula>
    </cfRule>
    <cfRule type="containsText" dxfId="108" priority="4896" operator="containsText" text="Pendente">
      <formula>NOT(ISERROR(SEARCH("Pendente",P1287)))</formula>
    </cfRule>
    <cfRule type="containsText" dxfId="107" priority="1564" operator="containsText" text="Finalizado">
      <formula>NOT(ISERROR(SEARCH("Finalizado",P1287)))</formula>
    </cfRule>
    <cfRule type="containsText" dxfId="106" priority="1563" operator="containsText" text="Pendente">
      <formula>NOT(ISERROR(SEARCH("Pendente",P1287)))</formula>
    </cfRule>
    <cfRule type="containsText" dxfId="105" priority="1565" operator="containsText" text="em andamento">
      <formula>NOT(ISERROR(SEARCH("em andamento",P1287)))</formula>
    </cfRule>
    <cfRule type="containsText" dxfId="104" priority="4898" operator="containsText" text="em andamento">
      <formula>NOT(ISERROR(SEARCH("em andamento",P1287)))</formula>
    </cfRule>
  </conditionalFormatting>
  <conditionalFormatting sqref="P1287:P1288">
    <cfRule type="containsText" dxfId="103" priority="1528" operator="containsText" text="N/A">
      <formula>NOT(ISERROR(SEARCH("N/A",P1287)))</formula>
    </cfRule>
    <cfRule type="containsText" dxfId="102" priority="1527" operator="containsText" text="Lançado">
      <formula>NOT(ISERROR(SEARCH("Lançado",P1287)))</formula>
    </cfRule>
  </conditionalFormatting>
  <conditionalFormatting sqref="P1288">
    <cfRule type="containsText" dxfId="101" priority="1530" operator="containsText" text="Finalizado">
      <formula>NOT(ISERROR(SEARCH("Finalizado",P1288)))</formula>
    </cfRule>
    <cfRule type="containsText" dxfId="100" priority="1529" operator="containsText" text="Pendente">
      <formula>NOT(ISERROR(SEARCH("Pendente",P1288)))</formula>
    </cfRule>
    <cfRule type="containsText" dxfId="99" priority="1531" operator="containsText" text="em andamento">
      <formula>NOT(ISERROR(SEARCH("em andamento",P1288)))</formula>
    </cfRule>
  </conditionalFormatting>
  <conditionalFormatting sqref="P1289">
    <cfRule type="containsText" dxfId="98" priority="1518" operator="containsText" text="em andamento">
      <formula>NOT(ISERROR(SEARCH("em andamento",P1289)))</formula>
    </cfRule>
    <cfRule type="containsText" dxfId="97" priority="1519" operator="containsText" text="Lançado">
      <formula>NOT(ISERROR(SEARCH("Lançado",P1289)))</formula>
    </cfRule>
    <cfRule type="containsText" dxfId="96" priority="1523" operator="containsText" text="em andamento">
      <formula>NOT(ISERROR(SEARCH("em andamento",P1289)))</formula>
    </cfRule>
    <cfRule type="containsText" dxfId="95" priority="1515" operator="containsText" text="N/A">
      <formula>NOT(ISERROR(SEARCH("N/A",P1289)))</formula>
    </cfRule>
    <cfRule type="containsText" dxfId="94" priority="1514" operator="containsText" text="Lançado">
      <formula>NOT(ISERROR(SEARCH("Lançado",P1289)))</formula>
    </cfRule>
    <cfRule type="containsText" dxfId="93" priority="1520" operator="containsText" text="N/A">
      <formula>NOT(ISERROR(SEARCH("N/A",P1289)))</formula>
    </cfRule>
    <cfRule type="containsText" dxfId="92" priority="1521" operator="containsText" text="Pendente">
      <formula>NOT(ISERROR(SEARCH("Pendente",P1289)))</formula>
    </cfRule>
    <cfRule type="containsText" dxfId="91" priority="1517" operator="containsText" text="Finalizado">
      <formula>NOT(ISERROR(SEARCH("Finalizado",P1289)))</formula>
    </cfRule>
    <cfRule type="containsText" dxfId="90" priority="1522" operator="containsText" text="Finalizado">
      <formula>NOT(ISERROR(SEARCH("Finalizado",P1289)))</formula>
    </cfRule>
    <cfRule type="containsText" dxfId="89" priority="1516" operator="containsText" text="Pendente">
      <formula>NOT(ISERROR(SEARCH("Pendente",P1289)))</formula>
    </cfRule>
  </conditionalFormatting>
  <conditionalFormatting sqref="P1293">
    <cfRule type="containsText" dxfId="88" priority="4886" operator="containsText" text="Lançado">
      <formula>NOT(ISERROR(SEARCH("Lançado",P1293)))</formula>
    </cfRule>
    <cfRule type="containsText" dxfId="87" priority="4887" operator="containsText" text="N/A">
      <formula>NOT(ISERROR(SEARCH("N/A",P1293)))</formula>
    </cfRule>
    <cfRule type="containsText" dxfId="86" priority="4889" operator="containsText" text="Finalizado">
      <formula>NOT(ISERROR(SEARCH("Finalizado",P1293)))</formula>
    </cfRule>
    <cfRule type="containsText" dxfId="85" priority="4888" operator="containsText" text="Pendente">
      <formula>NOT(ISERROR(SEARCH("Pendente",P1293)))</formula>
    </cfRule>
    <cfRule type="containsText" dxfId="84" priority="4890" operator="containsText" text="em andamento">
      <formula>NOT(ISERROR(SEARCH("em andamento",P1293)))</formula>
    </cfRule>
  </conditionalFormatting>
  <conditionalFormatting sqref="P1295">
    <cfRule type="containsText" dxfId="83" priority="1560" operator="containsText" text="em andamento">
      <formula>NOT(ISERROR(SEARCH("em andamento",P1295)))</formula>
    </cfRule>
    <cfRule type="containsText" dxfId="82" priority="4878" operator="containsText" text="Lançado">
      <formula>NOT(ISERROR(SEARCH("Lançado",P1295)))</formula>
    </cfRule>
    <cfRule type="containsText" dxfId="81" priority="1556" operator="containsText" text="Lançado">
      <formula>NOT(ISERROR(SEARCH("Lançado",P1295)))</formula>
    </cfRule>
    <cfRule type="containsText" dxfId="80" priority="1557" operator="containsText" text="N/A">
      <formula>NOT(ISERROR(SEARCH("N/A",P1295)))</formula>
    </cfRule>
    <cfRule type="containsText" dxfId="79" priority="1558" operator="containsText" text="Pendente">
      <formula>NOT(ISERROR(SEARCH("Pendente",P1295)))</formula>
    </cfRule>
    <cfRule type="containsText" dxfId="78" priority="1559" operator="containsText" text="Finalizado">
      <formula>NOT(ISERROR(SEARCH("Finalizado",P1295)))</formula>
    </cfRule>
    <cfRule type="containsText" dxfId="77" priority="4879" operator="containsText" text="N/A">
      <formula>NOT(ISERROR(SEARCH("N/A",P1295)))</formula>
    </cfRule>
    <cfRule type="containsText" dxfId="76" priority="4880" operator="containsText" text="Pendente">
      <formula>NOT(ISERROR(SEARCH("Pendente",P1295)))</formula>
    </cfRule>
    <cfRule type="containsText" dxfId="75" priority="4882" operator="containsText" text="em andamento">
      <formula>NOT(ISERROR(SEARCH("em andamento",P1295)))</formula>
    </cfRule>
    <cfRule type="containsText" dxfId="74" priority="4881" operator="containsText" text="Finalizado">
      <formula>NOT(ISERROR(SEARCH("Finalizado",P1295)))</formula>
    </cfRule>
  </conditionalFormatting>
  <conditionalFormatting sqref="P1297">
    <cfRule type="containsText" dxfId="73" priority="4864" operator="containsText" text="Pendente">
      <formula>NOT(ISERROR(SEARCH("Pendente",P1297)))</formula>
    </cfRule>
    <cfRule type="containsText" dxfId="72" priority="4865" operator="containsText" text="Finalizado">
      <formula>NOT(ISERROR(SEARCH("Finalizado",P1297)))</formula>
    </cfRule>
    <cfRule type="containsText" dxfId="71" priority="1552" operator="containsText" text="N/A">
      <formula>NOT(ISERROR(SEARCH("N/A",P1297)))</formula>
    </cfRule>
    <cfRule type="containsText" dxfId="70" priority="1553" operator="containsText" text="Pendente">
      <formula>NOT(ISERROR(SEARCH("Pendente",P1297)))</formula>
    </cfRule>
    <cfRule type="containsText" dxfId="69" priority="1554" operator="containsText" text="Finalizado">
      <formula>NOT(ISERROR(SEARCH("Finalizado",P1297)))</formula>
    </cfRule>
    <cfRule type="containsText" dxfId="68" priority="1555" operator="containsText" text="em andamento">
      <formula>NOT(ISERROR(SEARCH("em andamento",P1297)))</formula>
    </cfRule>
    <cfRule type="containsText" dxfId="67" priority="1551" operator="containsText" text="Lançado">
      <formula>NOT(ISERROR(SEARCH("Lançado",P1297)))</formula>
    </cfRule>
    <cfRule type="containsText" dxfId="66" priority="4863" operator="containsText" text="N/A">
      <formula>NOT(ISERROR(SEARCH("N/A",P1297)))</formula>
    </cfRule>
    <cfRule type="containsText" dxfId="65" priority="4862" operator="containsText" text="Lançado">
      <formula>NOT(ISERROR(SEARCH("Lançado",P1297)))</formula>
    </cfRule>
    <cfRule type="containsText" dxfId="64" priority="4866" operator="containsText" text="em andamento">
      <formula>NOT(ISERROR(SEARCH("em andamento",P1297)))</formula>
    </cfRule>
  </conditionalFormatting>
  <conditionalFormatting sqref="P1301">
    <cfRule type="containsText" dxfId="63" priority="7471" operator="containsText" text="Pendente">
      <formula>NOT(ISERROR(SEARCH("Pendente",P1301)))</formula>
    </cfRule>
    <cfRule type="containsText" dxfId="62" priority="7472" operator="containsText" text="Finalizado">
      <formula>NOT(ISERROR(SEARCH("Finalizado",P1301)))</formula>
    </cfRule>
    <cfRule type="containsText" dxfId="61" priority="7473" operator="containsText" text="em andamento">
      <formula>NOT(ISERROR(SEARCH("em andamento",P1301)))</formula>
    </cfRule>
  </conditionalFormatting>
  <conditionalFormatting sqref="P1301:P1302">
    <cfRule type="containsText" dxfId="60" priority="553" operator="containsText" text="Lançado">
      <formula>NOT(ISERROR(SEARCH("Lançado",P1301)))</formula>
    </cfRule>
    <cfRule type="containsText" dxfId="59" priority="554" operator="containsText" text="N/A">
      <formula>NOT(ISERROR(SEARCH("N/A",P1301)))</formula>
    </cfRule>
  </conditionalFormatting>
  <conditionalFormatting sqref="P1302">
    <cfRule type="containsText" dxfId="58" priority="557" operator="containsText" text="em andamento">
      <formula>NOT(ISERROR(SEARCH("em andamento",P1302)))</formula>
    </cfRule>
    <cfRule type="containsText" dxfId="57" priority="555" operator="containsText" text="Pendente">
      <formula>NOT(ISERROR(SEARCH("Pendente",P1302)))</formula>
    </cfRule>
    <cfRule type="containsText" dxfId="56" priority="556" operator="containsText" text="Finalizado">
      <formula>NOT(ISERROR(SEARCH("Finalizado",P1302)))</formula>
    </cfRule>
  </conditionalFormatting>
  <conditionalFormatting sqref="P1304">
    <cfRule type="containsText" dxfId="55" priority="4793" operator="containsText" text="Finalizado">
      <formula>NOT(ISERROR(SEARCH("Finalizado",P1304)))</formula>
    </cfRule>
    <cfRule type="containsText" dxfId="54" priority="4792" operator="containsText" text="Pendente">
      <formula>NOT(ISERROR(SEARCH("Pendente",P1304)))</formula>
    </cfRule>
    <cfRule type="expression" dxfId="53" priority="4787">
      <formula>$H1304="SUBETAPA"</formula>
    </cfRule>
    <cfRule type="expression" dxfId="52" priority="4788">
      <formula>$H1304="CÉLULA CONSTRUTIVA"</formula>
    </cfRule>
    <cfRule type="expression" dxfId="51" priority="4789">
      <formula>$H1304="ETAPA"</formula>
    </cfRule>
    <cfRule type="containsText" dxfId="50" priority="4790" operator="containsText" text="Lançado">
      <formula>NOT(ISERROR(SEARCH("Lançado",P1304)))</formula>
    </cfRule>
    <cfRule type="containsText" dxfId="49" priority="4794" operator="containsText" text="em andamento">
      <formula>NOT(ISERROR(SEARCH("em andamento",P1304)))</formula>
    </cfRule>
    <cfRule type="containsText" dxfId="48" priority="4791" operator="containsText" text="N/A">
      <formula>NOT(ISERROR(SEARCH("N/A",P1304)))</formula>
    </cfRule>
  </conditionalFormatting>
  <conditionalFormatting sqref="P1306">
    <cfRule type="containsText" dxfId="47" priority="4800" operator="containsText" text="Pendente">
      <formula>NOT(ISERROR(SEARCH("Pendente",P1306)))</formula>
    </cfRule>
    <cfRule type="containsText" dxfId="46" priority="4798" operator="containsText" text="Lançado">
      <formula>NOT(ISERROR(SEARCH("Lançado",P1306)))</formula>
    </cfRule>
    <cfRule type="expression" dxfId="45" priority="4797">
      <formula>$H1306="ETAPA"</formula>
    </cfRule>
    <cfRule type="expression" dxfId="44" priority="4796">
      <formula>$H1306="CÉLULA CONSTRUTIVA"</formula>
    </cfRule>
    <cfRule type="containsText" dxfId="43" priority="4799" operator="containsText" text="N/A">
      <formula>NOT(ISERROR(SEARCH("N/A",P1306)))</formula>
    </cfRule>
    <cfRule type="expression" dxfId="42" priority="4795">
      <formula>$H1306="SUBETAPA"</formula>
    </cfRule>
    <cfRule type="containsText" dxfId="41" priority="4802" operator="containsText" text="em andamento">
      <formula>NOT(ISERROR(SEARCH("em andamento",P1306)))</formula>
    </cfRule>
    <cfRule type="containsText" dxfId="40" priority="4801" operator="containsText" text="Finalizado">
      <formula>NOT(ISERROR(SEARCH("Finalizado",P1306)))</formula>
    </cfRule>
  </conditionalFormatting>
  <conditionalFormatting sqref="P1308">
    <cfRule type="expression" dxfId="39" priority="3191">
      <formula>$H1308="SUBETAPA"</formula>
    </cfRule>
    <cfRule type="expression" dxfId="38" priority="3192">
      <formula>$H1308="CÉLULA CONSTRUTIVA"</formula>
    </cfRule>
    <cfRule type="expression" dxfId="37" priority="3193">
      <formula>$H1308="ETAPA"</formula>
    </cfRule>
    <cfRule type="containsText" dxfId="36" priority="3194" operator="containsText" text="Lançado">
      <formula>NOT(ISERROR(SEARCH("Lançado",P1308)))</formula>
    </cfRule>
    <cfRule type="containsText" dxfId="35" priority="3195" operator="containsText" text="N/A">
      <formula>NOT(ISERROR(SEARCH("N/A",P1308)))</formula>
    </cfRule>
    <cfRule type="containsText" dxfId="34" priority="3196" operator="containsText" text="Pendente">
      <formula>NOT(ISERROR(SEARCH("Pendente",P1308)))</formula>
    </cfRule>
    <cfRule type="containsText" dxfId="33" priority="3197" operator="containsText" text="Finalizado">
      <formula>NOT(ISERROR(SEARCH("Finalizado",P1308)))</formula>
    </cfRule>
    <cfRule type="containsText" dxfId="32" priority="3198" operator="containsText" text="em andamento">
      <formula>NOT(ISERROR(SEARCH("em andamento",P1308)))</formula>
    </cfRule>
  </conditionalFormatting>
  <conditionalFormatting sqref="P1310">
    <cfRule type="expression" dxfId="31" priority="3184">
      <formula>$H1310="CÉLULA CONSTRUTIVA"</formula>
    </cfRule>
    <cfRule type="containsText" dxfId="30" priority="3190" operator="containsText" text="em andamento">
      <formula>NOT(ISERROR(SEARCH("em andamento",P1310)))</formula>
    </cfRule>
    <cfRule type="containsText" dxfId="29" priority="3189" operator="containsText" text="Finalizado">
      <formula>NOT(ISERROR(SEARCH("Finalizado",P1310)))</formula>
    </cfRule>
    <cfRule type="containsText" dxfId="28" priority="3188" operator="containsText" text="Pendente">
      <formula>NOT(ISERROR(SEARCH("Pendente",P1310)))</formula>
    </cfRule>
    <cfRule type="containsText" dxfId="27" priority="3187" operator="containsText" text="N/A">
      <formula>NOT(ISERROR(SEARCH("N/A",P1310)))</formula>
    </cfRule>
    <cfRule type="expression" dxfId="26" priority="3183">
      <formula>$H1310="SUBETAPA"</formula>
    </cfRule>
    <cfRule type="containsText" dxfId="25" priority="3186" operator="containsText" text="Lançado">
      <formula>NOT(ISERROR(SEARCH("Lançado",P1310)))</formula>
    </cfRule>
    <cfRule type="expression" dxfId="24" priority="3185">
      <formula>$H1310="ETAPA"</formula>
    </cfRule>
  </conditionalFormatting>
  <conditionalFormatting sqref="P1312:P1313">
    <cfRule type="expression" dxfId="23" priority="4827">
      <formula>$H1312="SUBETAPA"</formula>
    </cfRule>
    <cfRule type="containsText" dxfId="22" priority="4831" operator="containsText" text="N/A">
      <formula>NOT(ISERROR(SEARCH("N/A",P1312)))</formula>
    </cfRule>
    <cfRule type="containsText" dxfId="21" priority="4830" operator="containsText" text="Lançado">
      <formula>NOT(ISERROR(SEARCH("Lançado",P1312)))</formula>
    </cfRule>
    <cfRule type="expression" dxfId="20" priority="4829">
      <formula>$H1312="ETAPA"</formula>
    </cfRule>
    <cfRule type="containsText" dxfId="19" priority="4834" operator="containsText" text="em andamento">
      <formula>NOT(ISERROR(SEARCH("em andamento",P1312)))</formula>
    </cfRule>
    <cfRule type="containsText" dxfId="18" priority="4833" operator="containsText" text="Finalizado">
      <formula>NOT(ISERROR(SEARCH("Finalizado",P1312)))</formula>
    </cfRule>
    <cfRule type="containsText" dxfId="17" priority="4832" operator="containsText" text="Pendente">
      <formula>NOT(ISERROR(SEARCH("Pendente",P1312)))</formula>
    </cfRule>
    <cfRule type="expression" dxfId="16" priority="4828">
      <formula>$H1312="CÉLULA CONSTRUTIVA"</formula>
    </cfRule>
  </conditionalFormatting>
  <conditionalFormatting sqref="P1315">
    <cfRule type="expression" dxfId="15" priority="4835">
      <formula>$H1315="SUBETAPA"</formula>
    </cfRule>
    <cfRule type="expression" dxfId="14" priority="4836">
      <formula>$H1315="CÉLULA CONSTRUTIVA"</formula>
    </cfRule>
    <cfRule type="expression" dxfId="13" priority="4837">
      <formula>$H1315="ETAPA"</formula>
    </cfRule>
    <cfRule type="containsText" dxfId="12" priority="4838" operator="containsText" text="Lançado">
      <formula>NOT(ISERROR(SEARCH("Lançado",P1315)))</formula>
    </cfRule>
    <cfRule type="containsText" dxfId="11" priority="4840" operator="containsText" text="Pendente">
      <formula>NOT(ISERROR(SEARCH("Pendente",P1315)))</formula>
    </cfRule>
    <cfRule type="containsText" dxfId="10" priority="4841" operator="containsText" text="Finalizado">
      <formula>NOT(ISERROR(SEARCH("Finalizado",P1315)))</formula>
    </cfRule>
    <cfRule type="containsText" dxfId="9" priority="4842" operator="containsText" text="em andamento">
      <formula>NOT(ISERROR(SEARCH("em andamento",P1315)))</formula>
    </cfRule>
    <cfRule type="containsText" dxfId="8" priority="4839" operator="containsText" text="N/A">
      <formula>NOT(ISERROR(SEARCH("N/A",P1315)))</formula>
    </cfRule>
  </conditionalFormatting>
  <conditionalFormatting sqref="P1319">
    <cfRule type="containsText" dxfId="7" priority="4769" operator="containsText" text="Finalizado">
      <formula>NOT(ISERROR(SEARCH("Finalizado",P1319)))</formula>
    </cfRule>
    <cfRule type="containsText" dxfId="6" priority="4770" operator="containsText" text="em andamento">
      <formula>NOT(ISERROR(SEARCH("em andamento",P1319)))</formula>
    </cfRule>
    <cfRule type="containsText" dxfId="5" priority="4768" operator="containsText" text="Pendente">
      <formula>NOT(ISERROR(SEARCH("Pendente",P1319)))</formula>
    </cfRule>
    <cfRule type="expression" dxfId="4" priority="4765">
      <formula>$H1319="ETAPA"</formula>
    </cfRule>
    <cfRule type="containsText" dxfId="3" priority="4767" operator="containsText" text="N/A">
      <formula>NOT(ISERROR(SEARCH("N/A",P1319)))</formula>
    </cfRule>
    <cfRule type="containsText" dxfId="2" priority="4766" operator="containsText" text="Lançado">
      <formula>NOT(ISERROR(SEARCH("Lançado",P1319)))</formula>
    </cfRule>
    <cfRule type="expression" dxfId="1" priority="4764">
      <formula>$H1319="CÉLULA CONSTRUTIVA"</formula>
    </cfRule>
    <cfRule type="expression" dxfId="0" priority="4763">
      <formula>$H1319="SUBETAPA"</formula>
    </cfRule>
  </conditionalFormatting>
  <dataValidations disablePrompts="1" count="3">
    <dataValidation type="list" allowBlank="1" showInputMessage="1" showErrorMessage="1" sqref="P291 P257:P260 P295 P298:P301 P311 P187 P351 P387 P370 P335 P374 P338:P341 P389 P377:P379 P318:P321 P331 P315 P278:P281 P270 P1310 P1174:P1177 P262:P268 P706:P713 P715:P718 P720:P721 P740:P741 P727:P730 P732:P735 P757:P758 P737:P738 P744:P747 P749:P752 P754:P755 P774:P775 P761:P764 P766:P769 P771:P772 P791:P792 P778:P782 P784:P787 P789 P819 P795:P797 P799:P802 P804 P810:P811 P813:P815 P817 P831:P832 P822 P824:P827 P829 P676:P679 P836 P841 P844 P849 P852 P857 P860 P865 P868 P873 P876 P881 P884 P886 P889 P891 P895:P899 P901:P905 P907 P909 P914:P916 P918 P920 P923:P924 P926 P928:P929 P931 P934:P935 P937 P939:P940 P942 P945 P947 P949 P951 P954:P957 P959 P961 P963 P965:P966 P968 P970 P972 P974:P975 P977:P978 P980 P982 P984 P987:P989 P991 P993 P995 P997 P999:P1000 P1002 P1004 P1006 P1008 P1010 P1012 P393:P394 P396 P398:P400 P402:P403 P406:P408 P410 P412:P414 P416:P417 P420:P422 P424 P426:P428 P430:P431 P434:P436 P438 P440:P442 P444:P445 P448:P449 P451 P453:P455 P457:P458 P461:P463 P465:P466 P468:P470 P472:P473 P476:P477 P479 P481:P483 P485:P486 P489:P490 P492:P494 P496 P690:P692 P1020:P1023 P1076:P1078 P1289 P1029:P1033 P1040:P1043 P1045:P1047 P1049:P1053 P1036:P1038 P1060:P1063 P1065:P1067 P1069:P1073 P1056:P1058 P1080:P1083 P1085:P1087 P1089:P1093 P1096 P1098:P1101 P1103:P1105 P1113 P1115:P1117 P1119:P1121 P1123:P1125 P1128 P1130:P1133 P1016:P1018 P1147:P1149 P1135:P1137 P1172 P1297 P1159:P1162 P1179 P1184 P723:P724 P1156:P1157 P1107:P1110 P1282 P1211:P1215 P381:P385 P283:P289 P303:P309 P323:P329 P838:P839 P846:P847 P854:P855 P862:P863 P870:P871 P878:P879 P1194:P1197 P343:P349 P206:P253 P358:P361 P911:P912 P1319 P500 P1151:P1152 P502 P504 P506 P508 P510 P516 P522 P524 P526 P528 P363:P368 P584 P586 P588 P592:P593 P602:P603 P600 P1164:P1168 P613 P1190 P1279 P1277 P201 P1181:P1182 P1293 P1170 P1295 P1284:P1285 P1188 P1315 P1306 P1312:P1313 P1308 P1248 P1304 P595:P596 P1270:P1273 P682:P683 P605:P607 P674 P667 P669 P671:P672 P655 P642:P643 P646:P647 P649:P650 P701:P702 P657 P640 P688 P695:P696 P698:P699 P652:P653 P638 P659:P664 P634:P635 P632 P630 P626:P627 P624 P622 P1209 P1250:P1254 P1262:P1266 P1230:P1232 P1240:P1244 P1246 P1257:P1260 P1206:P1207 P1223:P1226 P1218:P1221 P1268 P1235:P1238 P1228 P609 P611 P685:P686 P615:P619 P582 P530 P533 P535 P542 P563 P565 P567 P560 P554 P556 P558 P549 P551 P547 P537 P544 P540 P569 P572 P574 P576 P578 P275 P806:P807 P1199:P1204 P1287 P1025:P1027 P1139:P1141 P512 P520 P1301:P1302 P1144:P1145 P12 P16 P18 P20 P22 P24 P27 P29 P31 P33:P34 P37 P39:P41 P44 P46 P50 P52:P56 P58:P59 P61 P63 P65 P67 P69 P71 P73 P75 P77 P81 P84 P86:P87 P89:P93 P95:P96 P98 P100:P103 P105 P107:P108 P110 P114 P116 P118 P120 P122 P124 P126 P128 P130 P133 P135 P137 P139 P141 P143 P145 P147 P149 P151 P154 P156:P159 P161:P162 P164 P166 P168:P171 P173:P174 P178:P182 P184 P189 P191 P193 P196:P197 P199 P272:P273 P355" xr:uid="{00000000-0002-0000-0400-000000000000}">
      <formula1>"Finalizado, Em Andamento, Pendente, N/A,Lançado ERP"</formula1>
    </dataValidation>
    <dataValidation type="list" allowBlank="1" showInputMessage="1" showErrorMessage="1" sqref="P205" xr:uid="{00000000-0002-0000-0400-000001000000}">
      <formula1>$R$2:$R$5</formula1>
    </dataValidation>
    <dataValidation type="list" allowBlank="1" showInputMessage="1" showErrorMessage="1" sqref="H8:H1319" xr:uid="{00000000-0002-0000-0400-000002000000}">
      <formula1>"UNIDADE CONSTRUTIVA,CÉLULA CONSTRUTIVA,ETAPA,SUBETAPA,SERVIÇO"</formula1>
    </dataValidation>
  </dataValidations>
  <printOptions horizontalCentered="1"/>
  <pageMargins left="0.51181102362204722" right="0.51181102362204722" top="0.78740157480314965" bottom="0.78740157480314965" header="0.31496062992125984" footer="0.31496062992125984"/>
  <pageSetup paperSize="9" scale="1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L6:M12"/>
  <sheetViews>
    <sheetView showGridLines="0" workbookViewId="0">
      <selection activeCell="M6" sqref="M6"/>
    </sheetView>
  </sheetViews>
  <sheetFormatPr defaultRowHeight="12.75" x14ac:dyDescent="0.2"/>
  <cols>
    <col min="12" max="12" width="12.85546875" bestFit="1" customWidth="1"/>
    <col min="13" max="13" width="9.28515625" bestFit="1" customWidth="1"/>
  </cols>
  <sheetData>
    <row r="6" spans="12:13" x14ac:dyDescent="0.2">
      <c r="L6" s="520">
        <f>(92273.31+12957.46+45908+7494)</f>
        <v>158632.76999999999</v>
      </c>
      <c r="M6" s="520">
        <f>L6/(259.53*2+288.02)</f>
        <v>196.55148188531496</v>
      </c>
    </row>
    <row r="9" spans="12:13" x14ac:dyDescent="0.2">
      <c r="L9" s="521"/>
      <c r="M9" s="519"/>
    </row>
    <row r="10" spans="12:13" x14ac:dyDescent="0.2">
      <c r="L10" s="521"/>
      <c r="M10" s="519"/>
    </row>
    <row r="11" spans="12:13" x14ac:dyDescent="0.2">
      <c r="L11" s="521"/>
      <c r="M11" s="519"/>
    </row>
    <row r="12" spans="12:13" x14ac:dyDescent="0.2">
      <c r="L12" s="521"/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5"/>
  <sheetViews>
    <sheetView showGridLines="0" topLeftCell="A22" zoomScale="85" zoomScaleNormal="85" workbookViewId="0">
      <selection activeCell="F40" sqref="F40:G45"/>
    </sheetView>
  </sheetViews>
  <sheetFormatPr defaultColWidth="9.140625" defaultRowHeight="15" x14ac:dyDescent="0.25"/>
  <cols>
    <col min="1" max="1" width="30.85546875" style="853" customWidth="1"/>
    <col min="2" max="2" width="9.140625" style="853"/>
    <col min="3" max="3" width="11.7109375" style="853" bestFit="1" customWidth="1"/>
    <col min="4" max="4" width="11" style="853" customWidth="1"/>
    <col min="5" max="5" width="16" style="853" customWidth="1"/>
    <col min="6" max="11" width="9.140625" style="853"/>
    <col min="12" max="12" width="30.85546875" style="853" customWidth="1"/>
    <col min="13" max="13" width="9.140625" style="853"/>
    <col min="14" max="14" width="11.7109375" style="853" bestFit="1" customWidth="1"/>
    <col min="15" max="15" width="11" style="853" customWidth="1"/>
    <col min="16" max="16384" width="9.140625" style="853"/>
  </cols>
  <sheetData>
    <row r="1" spans="1:16" s="53" customFormat="1" ht="15" customHeight="1" x14ac:dyDescent="0.2">
      <c r="A1" s="343"/>
      <c r="B1" s="362" t="s">
        <v>199</v>
      </c>
      <c r="C1" s="339" t="str">
        <f>ORÇAMENTO!I4</f>
        <v>SENSE106</v>
      </c>
      <c r="D1" s="338"/>
      <c r="E1" s="338"/>
      <c r="F1" s="338"/>
      <c r="G1" s="338"/>
      <c r="H1" s="338"/>
      <c r="I1" s="338"/>
      <c r="J1" s="338"/>
      <c r="K1" s="338"/>
      <c r="L1" s="345"/>
      <c r="M1" s="346"/>
      <c r="N1" s="62"/>
      <c r="O1" s="62"/>
      <c r="P1" s="62"/>
    </row>
    <row r="2" spans="1:16" s="215" customFormat="1" ht="15" customHeight="1" x14ac:dyDescent="0.2">
      <c r="A2" s="397"/>
      <c r="B2" s="362" t="s">
        <v>173</v>
      </c>
      <c r="C2" s="363" t="str">
        <f>ORÇAMENTO!I5</f>
        <v>HOLZE EMPREENDIMENTOS</v>
      </c>
      <c r="D2" s="339"/>
      <c r="E2" s="339"/>
      <c r="F2" s="339"/>
      <c r="G2" s="339"/>
      <c r="H2" s="339"/>
      <c r="I2" s="339"/>
      <c r="J2" s="339"/>
      <c r="K2" s="339"/>
      <c r="L2" s="347"/>
      <c r="M2" s="348"/>
    </row>
    <row r="3" spans="1:16" s="215" customFormat="1" ht="15" customHeight="1" x14ac:dyDescent="0.2">
      <c r="A3" s="344"/>
      <c r="B3" s="362" t="s">
        <v>174</v>
      </c>
      <c r="C3" s="633" t="str">
        <f>ORÇAMENTO!O5</f>
        <v>R01 - Edileni Silva</v>
      </c>
      <c r="D3" s="339"/>
      <c r="E3" s="339"/>
      <c r="F3" s="339"/>
      <c r="G3" s="339"/>
      <c r="H3" s="339"/>
      <c r="I3" s="339"/>
      <c r="J3" s="339"/>
      <c r="K3" s="341"/>
      <c r="L3" s="349"/>
      <c r="M3" s="350"/>
    </row>
    <row r="4" spans="1:16" s="59" customFormat="1" ht="20.45" customHeight="1" x14ac:dyDescent="0.2">
      <c r="A4" s="1251" t="s">
        <v>1408</v>
      </c>
      <c r="B4" s="1251"/>
      <c r="C4" s="1251"/>
      <c r="D4" s="1251"/>
      <c r="E4" s="1251"/>
      <c r="F4" s="1251"/>
      <c r="G4" s="1251"/>
      <c r="H4" s="1251"/>
      <c r="I4" s="1251"/>
      <c r="J4" s="1251"/>
      <c r="K4" s="1251"/>
      <c r="L4" s="1252"/>
      <c r="M4" s="1252"/>
    </row>
    <row r="6" spans="1:16" x14ac:dyDescent="0.25">
      <c r="A6" s="857" t="s">
        <v>406</v>
      </c>
    </row>
    <row r="7" spans="1:16" x14ac:dyDescent="0.25">
      <c r="A7" s="305" t="s">
        <v>1409</v>
      </c>
      <c r="E7" s="305" t="s">
        <v>1407</v>
      </c>
      <c r="G7" s="305">
        <f>13/2</f>
        <v>6.5</v>
      </c>
      <c r="H7" s="305" t="s">
        <v>1406</v>
      </c>
      <c r="I7" s="305" t="s">
        <v>1405</v>
      </c>
      <c r="J7" s="305" t="s">
        <v>2107</v>
      </c>
    </row>
    <row r="8" spans="1:16" x14ac:dyDescent="0.25">
      <c r="A8" s="174" t="s">
        <v>1403</v>
      </c>
      <c r="B8" s="174" t="s">
        <v>5</v>
      </c>
      <c r="C8" s="177">
        <v>3.5700000000000003E-2</v>
      </c>
      <c r="E8" s="174" t="s">
        <v>1401</v>
      </c>
      <c r="F8" s="174" t="s">
        <v>5</v>
      </c>
      <c r="G8" s="858">
        <v>0.215</v>
      </c>
      <c r="H8" s="858">
        <f>G8/$G$7</f>
        <v>3.3076923076923073E-2</v>
      </c>
      <c r="I8" s="858">
        <f>H8*6</f>
        <v>0.19846153846153844</v>
      </c>
      <c r="J8" s="858">
        <f>H8*10</f>
        <v>0.3307692307692307</v>
      </c>
    </row>
    <row r="9" spans="1:16" x14ac:dyDescent="0.25">
      <c r="A9" s="174" t="s">
        <v>1402</v>
      </c>
      <c r="B9" s="174" t="s">
        <v>1353</v>
      </c>
      <c r="C9" s="177">
        <v>1.7000000000000001E-2</v>
      </c>
      <c r="E9" s="174" t="s">
        <v>1400</v>
      </c>
      <c r="F9" s="174" t="s">
        <v>4</v>
      </c>
      <c r="G9" s="858">
        <v>3.3799999999999997E-2</v>
      </c>
      <c r="H9" s="858">
        <f>G9/$G$7</f>
        <v>5.1999999999999998E-3</v>
      </c>
      <c r="I9" s="858">
        <f>H9*6</f>
        <v>3.1199999999999999E-2</v>
      </c>
      <c r="J9" s="858">
        <f>H9*10</f>
        <v>5.1999999999999998E-2</v>
      </c>
    </row>
    <row r="10" spans="1:16" x14ac:dyDescent="0.25">
      <c r="A10" s="174" t="s">
        <v>1401</v>
      </c>
      <c r="B10" s="174" t="s">
        <v>5</v>
      </c>
      <c r="C10" s="177">
        <v>2.7E-2</v>
      </c>
      <c r="E10" s="174" t="s">
        <v>1399</v>
      </c>
      <c r="F10" s="174" t="s">
        <v>1398</v>
      </c>
      <c r="G10" s="858">
        <v>0.55200000000000005</v>
      </c>
      <c r="H10" s="858">
        <f>G10/$G$7</f>
        <v>8.4923076923076934E-2</v>
      </c>
      <c r="I10" s="858">
        <f>H10*6</f>
        <v>0.50953846153846161</v>
      </c>
      <c r="J10" s="858">
        <f>H10*10</f>
        <v>0.84923076923076934</v>
      </c>
    </row>
    <row r="11" spans="1:16" x14ac:dyDescent="0.25">
      <c r="E11" s="174" t="s">
        <v>1397</v>
      </c>
      <c r="F11" s="174" t="s">
        <v>4</v>
      </c>
      <c r="G11" s="858">
        <v>1.7000000000000001E-2</v>
      </c>
      <c r="H11" s="858">
        <f>G11/$G$7</f>
        <v>2.6153846153846158E-3</v>
      </c>
      <c r="I11" s="858">
        <f>H11*6</f>
        <v>1.5692307692307693E-2</v>
      </c>
      <c r="J11" s="858">
        <f>H11*10</f>
        <v>2.6153846153846159E-2</v>
      </c>
    </row>
    <row r="13" spans="1:16" x14ac:dyDescent="0.25">
      <c r="A13" s="305" t="s">
        <v>1404</v>
      </c>
    </row>
    <row r="14" spans="1:16" x14ac:dyDescent="0.25">
      <c r="A14" s="174" t="s">
        <v>1403</v>
      </c>
      <c r="B14" s="174" t="s">
        <v>5</v>
      </c>
      <c r="C14" s="177">
        <f>C8</f>
        <v>3.5700000000000003E-2</v>
      </c>
      <c r="D14" s="177">
        <v>12.05</v>
      </c>
    </row>
    <row r="15" spans="1:16" x14ac:dyDescent="0.25">
      <c r="A15" s="174" t="s">
        <v>1402</v>
      </c>
      <c r="B15" s="174" t="s">
        <v>1353</v>
      </c>
      <c r="C15" s="177">
        <f>C9</f>
        <v>1.7000000000000001E-2</v>
      </c>
      <c r="D15" s="177">
        <v>7.7</v>
      </c>
    </row>
    <row r="16" spans="1:16" x14ac:dyDescent="0.25">
      <c r="A16" s="174" t="s">
        <v>1401</v>
      </c>
      <c r="B16" s="174" t="s">
        <v>5</v>
      </c>
      <c r="C16" s="1231">
        <f>C10+J8</f>
        <v>0.35776923076923073</v>
      </c>
      <c r="D16" s="177">
        <v>17.190000000000001</v>
      </c>
    </row>
    <row r="17" spans="1:10" x14ac:dyDescent="0.25">
      <c r="A17" s="174" t="s">
        <v>1400</v>
      </c>
      <c r="B17" s="174" t="s">
        <v>3</v>
      </c>
      <c r="C17" s="1231">
        <f>J9/(0.025*0.1)</f>
        <v>20.799999999999994</v>
      </c>
      <c r="D17" s="177">
        <f>1100*(0.1*0.025)</f>
        <v>2.7500000000000004</v>
      </c>
    </row>
    <row r="18" spans="1:10" x14ac:dyDescent="0.25">
      <c r="A18" s="174" t="s">
        <v>1399</v>
      </c>
      <c r="B18" s="174" t="s">
        <v>1398</v>
      </c>
      <c r="C18" s="1231">
        <f>J10</f>
        <v>0.84923076923076934</v>
      </c>
      <c r="D18" s="177">
        <v>102.89</v>
      </c>
    </row>
    <row r="19" spans="1:10" x14ac:dyDescent="0.25">
      <c r="A19" s="174" t="s">
        <v>1397</v>
      </c>
      <c r="B19" s="174" t="s">
        <v>3</v>
      </c>
      <c r="C19" s="1231">
        <f>J11/(0.07*0.07)</f>
        <v>5.3375196232339093</v>
      </c>
      <c r="D19" s="177">
        <f>1100*(0.07*0.07)</f>
        <v>5.3900000000000006</v>
      </c>
    </row>
    <row r="20" spans="1:10" x14ac:dyDescent="0.25">
      <c r="D20" s="177">
        <f>SUMPRODUCT(C14:C19,D14:D19)</f>
        <v>180.05772269230769</v>
      </c>
    </row>
    <row r="23" spans="1:10" x14ac:dyDescent="0.25">
      <c r="A23" s="857" t="s">
        <v>334</v>
      </c>
    </row>
    <row r="24" spans="1:10" x14ac:dyDescent="0.25">
      <c r="A24" s="305" t="s">
        <v>1409</v>
      </c>
      <c r="E24" s="305" t="s">
        <v>1407</v>
      </c>
      <c r="G24" s="305">
        <f>13/2</f>
        <v>6.5</v>
      </c>
      <c r="H24" s="305" t="s">
        <v>1406</v>
      </c>
      <c r="I24" s="305" t="s">
        <v>1405</v>
      </c>
      <c r="J24" s="305" t="s">
        <v>2107</v>
      </c>
    </row>
    <row r="25" spans="1:10" x14ac:dyDescent="0.25">
      <c r="A25" s="174" t="s">
        <v>1403</v>
      </c>
      <c r="B25" s="174" t="s">
        <v>5</v>
      </c>
      <c r="C25" s="177">
        <v>3.5700000000000003E-2</v>
      </c>
      <c r="E25" s="174" t="s">
        <v>1401</v>
      </c>
      <c r="F25" s="174" t="s">
        <v>5</v>
      </c>
      <c r="G25" s="177">
        <v>0.159</v>
      </c>
      <c r="H25" s="858">
        <f>G25/$G$7</f>
        <v>2.4461538461538462E-2</v>
      </c>
      <c r="I25" s="858">
        <f>H25*6</f>
        <v>0.14676923076923076</v>
      </c>
      <c r="J25" s="858">
        <f>H25*10</f>
        <v>0.24461538461538462</v>
      </c>
    </row>
    <row r="26" spans="1:10" x14ac:dyDescent="0.25">
      <c r="A26" s="174" t="s">
        <v>1402</v>
      </c>
      <c r="B26" s="174" t="s">
        <v>1353</v>
      </c>
      <c r="C26" s="177">
        <v>1.7000000000000001E-2</v>
      </c>
      <c r="E26" s="174" t="s">
        <v>1400</v>
      </c>
      <c r="F26" s="174" t="s">
        <v>4</v>
      </c>
      <c r="G26" s="177">
        <v>8.9999999999999998E-4</v>
      </c>
      <c r="H26" s="858">
        <f>G26/$G$7</f>
        <v>1.3846153846153845E-4</v>
      </c>
      <c r="I26" s="858">
        <f>H26*6</f>
        <v>8.3076923076923063E-4</v>
      </c>
      <c r="J26" s="858">
        <f>H26*10</f>
        <v>1.3846153846153845E-3</v>
      </c>
    </row>
    <row r="27" spans="1:10" x14ac:dyDescent="0.25">
      <c r="A27" s="174" t="s">
        <v>1401</v>
      </c>
      <c r="B27" s="174" t="s">
        <v>5</v>
      </c>
      <c r="C27" s="177">
        <v>4.9000000000000002E-2</v>
      </c>
      <c r="E27" s="174" t="s">
        <v>1399</v>
      </c>
      <c r="F27" s="174" t="s">
        <v>1398</v>
      </c>
      <c r="G27" s="177">
        <v>0.47360000000000002</v>
      </c>
      <c r="H27" s="858">
        <f>G27/$G$7</f>
        <v>7.2861538461538464E-2</v>
      </c>
      <c r="I27" s="858">
        <f>H27*6</f>
        <v>0.43716923076923075</v>
      </c>
      <c r="J27" s="858">
        <f>H27*10</f>
        <v>0.72861538461538466</v>
      </c>
    </row>
    <row r="28" spans="1:10" x14ac:dyDescent="0.25">
      <c r="A28" s="174" t="s">
        <v>1400</v>
      </c>
      <c r="B28" s="174" t="s">
        <v>4</v>
      </c>
      <c r="C28" s="177">
        <v>1.64E-3</v>
      </c>
      <c r="E28" s="174" t="s">
        <v>1397</v>
      </c>
      <c r="F28" s="174" t="s">
        <v>4</v>
      </c>
      <c r="G28" s="177">
        <v>1.4500000000000001E-2</v>
      </c>
      <c r="H28" s="858">
        <f>G28/$G$7</f>
        <v>2.230769230769231E-3</v>
      </c>
      <c r="I28" s="858">
        <f>H28*6</f>
        <v>1.3384615384615387E-2</v>
      </c>
      <c r="J28" s="858">
        <f>H28*10</f>
        <v>2.230769230769231E-2</v>
      </c>
    </row>
    <row r="30" spans="1:10" x14ac:dyDescent="0.25">
      <c r="A30" s="305" t="s">
        <v>1404</v>
      </c>
    </row>
    <row r="31" spans="1:10" x14ac:dyDescent="0.25">
      <c r="A31" s="174" t="s">
        <v>1403</v>
      </c>
      <c r="B31" s="174" t="s">
        <v>5</v>
      </c>
      <c r="C31" s="177">
        <f>C25</f>
        <v>3.5700000000000003E-2</v>
      </c>
      <c r="D31" s="177">
        <v>12.05</v>
      </c>
      <c r="E31" s="859"/>
    </row>
    <row r="32" spans="1:10" x14ac:dyDescent="0.25">
      <c r="A32" s="174" t="s">
        <v>1402</v>
      </c>
      <c r="B32" s="174" t="s">
        <v>1353</v>
      </c>
      <c r="C32" s="177">
        <f>C26</f>
        <v>1.7000000000000001E-2</v>
      </c>
      <c r="D32" s="177">
        <v>7.7</v>
      </c>
      <c r="E32" s="859"/>
    </row>
    <row r="33" spans="1:6" x14ac:dyDescent="0.25">
      <c r="A33" s="174" t="s">
        <v>1401</v>
      </c>
      <c r="B33" s="174" t="s">
        <v>5</v>
      </c>
      <c r="C33" s="1231">
        <f>C27+J25</f>
        <v>0.29361538461538461</v>
      </c>
      <c r="D33" s="177">
        <v>17.190000000000001</v>
      </c>
      <c r="E33" s="859"/>
    </row>
    <row r="34" spans="1:6" x14ac:dyDescent="0.25">
      <c r="A34" s="174" t="s">
        <v>1400</v>
      </c>
      <c r="B34" s="174" t="s">
        <v>3</v>
      </c>
      <c r="C34" s="1231">
        <f>(J26+C28)/(0.025*0.1)</f>
        <v>1.2098461538461536</v>
      </c>
      <c r="D34" s="177">
        <f>1100*(0.1*0.025)</f>
        <v>2.7500000000000004</v>
      </c>
      <c r="E34" s="859"/>
    </row>
    <row r="35" spans="1:6" x14ac:dyDescent="0.25">
      <c r="A35" s="174" t="s">
        <v>1399</v>
      </c>
      <c r="B35" s="174" t="s">
        <v>1398</v>
      </c>
      <c r="C35" s="1231">
        <f>J27</f>
        <v>0.72861538461538466</v>
      </c>
      <c r="D35" s="177">
        <v>102.89</v>
      </c>
      <c r="E35" s="859"/>
    </row>
    <row r="36" spans="1:6" x14ac:dyDescent="0.25">
      <c r="A36" s="174" t="s">
        <v>1397</v>
      </c>
      <c r="B36" s="174" t="s">
        <v>3</v>
      </c>
      <c r="C36" s="1231">
        <f>J28/(0.07*0.07)</f>
        <v>4.5525902668759812</v>
      </c>
      <c r="D36" s="177">
        <f>1100*(0.07*0.07)</f>
        <v>5.3900000000000006</v>
      </c>
    </row>
    <row r="37" spans="1:6" x14ac:dyDescent="0.25">
      <c r="D37" s="177">
        <f>SUMPRODUCT(C31:C36,D31:D36)</f>
        <v>108.44110884615384</v>
      </c>
    </row>
    <row r="40" spans="1:6" x14ac:dyDescent="0.25">
      <c r="A40" s="857" t="s">
        <v>2108</v>
      </c>
    </row>
    <row r="41" spans="1:6" x14ac:dyDescent="0.25">
      <c r="A41" s="305" t="s">
        <v>1409</v>
      </c>
    </row>
    <row r="42" spans="1:6" x14ac:dyDescent="0.25">
      <c r="A42" s="174" t="s">
        <v>1403</v>
      </c>
      <c r="B42" s="174" t="s">
        <v>5</v>
      </c>
      <c r="C42" s="177">
        <v>3.5700000000000003E-2</v>
      </c>
    </row>
    <row r="43" spans="1:6" x14ac:dyDescent="0.25">
      <c r="A43" s="174" t="s">
        <v>1402</v>
      </c>
      <c r="B43" s="174" t="s">
        <v>1353</v>
      </c>
      <c r="C43" s="177">
        <v>1.7000000000000001E-2</v>
      </c>
    </row>
    <row r="44" spans="1:6" x14ac:dyDescent="0.25">
      <c r="A44" s="174" t="s">
        <v>1401</v>
      </c>
      <c r="B44" s="174" t="s">
        <v>5</v>
      </c>
      <c r="C44" s="177">
        <v>4.9000000000000002E-2</v>
      </c>
    </row>
    <row r="45" spans="1:6" x14ac:dyDescent="0.25">
      <c r="A45" s="174" t="s">
        <v>1400</v>
      </c>
      <c r="B45" s="174" t="s">
        <v>4</v>
      </c>
      <c r="C45" s="177">
        <v>1.64E-3</v>
      </c>
    </row>
    <row r="47" spans="1:6" x14ac:dyDescent="0.25">
      <c r="A47" s="305" t="s">
        <v>1404</v>
      </c>
      <c r="D47" s="305" t="s">
        <v>1406</v>
      </c>
      <c r="E47" s="305" t="s">
        <v>2107</v>
      </c>
    </row>
    <row r="48" spans="1:6" x14ac:dyDescent="0.25">
      <c r="A48" s="174" t="s">
        <v>1403</v>
      </c>
      <c r="B48" s="174" t="s">
        <v>5</v>
      </c>
      <c r="C48" s="177">
        <f>C42</f>
        <v>3.5700000000000003E-2</v>
      </c>
      <c r="D48" s="858">
        <f>C48</f>
        <v>3.5700000000000003E-2</v>
      </c>
      <c r="E48" s="858">
        <f>D48</f>
        <v>3.5700000000000003E-2</v>
      </c>
      <c r="F48" s="177">
        <v>12.05</v>
      </c>
    </row>
    <row r="49" spans="1:10" x14ac:dyDescent="0.25">
      <c r="A49" s="174" t="s">
        <v>1402</v>
      </c>
      <c r="B49" s="174" t="s">
        <v>1353</v>
      </c>
      <c r="C49" s="177">
        <v>4.0000000000000001E-3</v>
      </c>
      <c r="D49" s="858">
        <f>C49</f>
        <v>4.0000000000000001E-3</v>
      </c>
      <c r="E49" s="858">
        <f>D49</f>
        <v>4.0000000000000001E-3</v>
      </c>
      <c r="F49" s="177">
        <v>7.7</v>
      </c>
    </row>
    <row r="50" spans="1:10" x14ac:dyDescent="0.25">
      <c r="A50" s="174" t="s">
        <v>1401</v>
      </c>
      <c r="B50" s="174" t="s">
        <v>5</v>
      </c>
      <c r="C50" s="177">
        <v>0.17199999999999999</v>
      </c>
      <c r="D50" s="858">
        <f>C50/6</f>
        <v>2.8666666666666663E-2</v>
      </c>
      <c r="E50" s="1232">
        <f>D50*10</f>
        <v>0.28666666666666663</v>
      </c>
      <c r="F50" s="177">
        <v>17.190000000000001</v>
      </c>
    </row>
    <row r="51" spans="1:10" x14ac:dyDescent="0.25">
      <c r="A51" s="174" t="s">
        <v>1400</v>
      </c>
      <c r="B51" s="174" t="s">
        <v>3</v>
      </c>
      <c r="C51" s="177">
        <v>7.1879999999999997</v>
      </c>
      <c r="D51" s="858">
        <f>C51/6</f>
        <v>1.198</v>
      </c>
      <c r="E51" s="1232">
        <f>D51*10</f>
        <v>11.98</v>
      </c>
      <c r="F51" s="177">
        <f>1100*(0.1*0.025)</f>
        <v>2.7500000000000004</v>
      </c>
    </row>
    <row r="52" spans="1:10" x14ac:dyDescent="0.25">
      <c r="A52" s="174" t="s">
        <v>1399</v>
      </c>
      <c r="B52" s="174" t="s">
        <v>1398</v>
      </c>
      <c r="C52" s="177">
        <v>0.495</v>
      </c>
      <c r="D52" s="858">
        <f>C52/6</f>
        <v>8.2500000000000004E-2</v>
      </c>
      <c r="E52" s="1232">
        <f>D52*10</f>
        <v>0.82500000000000007</v>
      </c>
      <c r="F52" s="177">
        <v>102.89</v>
      </c>
    </row>
    <row r="53" spans="1:10" x14ac:dyDescent="0.25">
      <c r="A53" s="174" t="s">
        <v>1397</v>
      </c>
      <c r="B53" s="174" t="s">
        <v>3</v>
      </c>
      <c r="C53" s="177">
        <v>0.92500000000000004</v>
      </c>
      <c r="D53" s="858">
        <f>C53/6</f>
        <v>0.15416666666666667</v>
      </c>
      <c r="E53" s="1232">
        <f>D53*10</f>
        <v>1.5416666666666667</v>
      </c>
      <c r="F53" s="177">
        <f>1100*(0.07*0.07)</f>
        <v>5.3900000000000006</v>
      </c>
    </row>
    <row r="54" spans="1:10" x14ac:dyDescent="0.25">
      <c r="F54" s="177">
        <f>SUMPRODUCT(E48:E53,F48:F53)</f>
        <v>131.52761833333335</v>
      </c>
    </row>
    <row r="56" spans="1:10" x14ac:dyDescent="0.25">
      <c r="A56" s="857" t="s">
        <v>407</v>
      </c>
    </row>
    <row r="57" spans="1:10" x14ac:dyDescent="0.25">
      <c r="A57" s="305" t="s">
        <v>1409</v>
      </c>
      <c r="E57" s="305" t="s">
        <v>1407</v>
      </c>
      <c r="G57" s="305">
        <f>13/2</f>
        <v>6.5</v>
      </c>
      <c r="H57" s="305" t="s">
        <v>1406</v>
      </c>
      <c r="I57" s="305" t="s">
        <v>1405</v>
      </c>
      <c r="J57" s="305" t="s">
        <v>2107</v>
      </c>
    </row>
    <row r="58" spans="1:10" x14ac:dyDescent="0.25">
      <c r="A58" s="174" t="s">
        <v>1403</v>
      </c>
      <c r="B58" s="174" t="s">
        <v>5</v>
      </c>
      <c r="C58" s="177">
        <v>3.5700000000000003E-2</v>
      </c>
      <c r="E58" s="174" t="s">
        <v>1399</v>
      </c>
      <c r="F58" s="174" t="s">
        <v>1398</v>
      </c>
      <c r="G58" s="177">
        <v>0.47360000000000002</v>
      </c>
      <c r="H58" s="858">
        <f>G58/$G$7</f>
        <v>7.2861538461538464E-2</v>
      </c>
      <c r="I58" s="858">
        <f>H58*6</f>
        <v>0.43716923076923075</v>
      </c>
      <c r="J58" s="858">
        <f>H58*10</f>
        <v>0.72861538461538466</v>
      </c>
    </row>
    <row r="59" spans="1:10" x14ac:dyDescent="0.25">
      <c r="A59" s="174" t="s">
        <v>1402</v>
      </c>
      <c r="B59" s="174" t="s">
        <v>1353</v>
      </c>
      <c r="C59" s="177">
        <v>1.7000000000000001E-2</v>
      </c>
    </row>
    <row r="61" spans="1:10" x14ac:dyDescent="0.25">
      <c r="A61" s="305" t="s">
        <v>1404</v>
      </c>
      <c r="E61" s="859"/>
    </row>
    <row r="62" spans="1:10" x14ac:dyDescent="0.25">
      <c r="A62" s="174" t="s">
        <v>1403</v>
      </c>
      <c r="B62" s="174" t="s">
        <v>5</v>
      </c>
      <c r="C62" s="177">
        <f>C58</f>
        <v>3.5700000000000003E-2</v>
      </c>
      <c r="D62" s="177">
        <v>12.05</v>
      </c>
      <c r="E62" s="859"/>
    </row>
    <row r="63" spans="1:10" x14ac:dyDescent="0.25">
      <c r="A63" s="174" t="s">
        <v>1402</v>
      </c>
      <c r="B63" s="174" t="s">
        <v>1353</v>
      </c>
      <c r="C63" s="177">
        <f>C59</f>
        <v>1.7000000000000001E-2</v>
      </c>
      <c r="D63" s="177">
        <v>7.7</v>
      </c>
      <c r="E63" s="859"/>
    </row>
    <row r="64" spans="1:10" x14ac:dyDescent="0.25">
      <c r="A64" s="174" t="s">
        <v>1399</v>
      </c>
      <c r="B64" s="174" t="s">
        <v>1398</v>
      </c>
      <c r="C64" s="1231">
        <f>J58</f>
        <v>0.72861538461538466</v>
      </c>
      <c r="D64" s="177">
        <v>102.89</v>
      </c>
      <c r="E64" s="859"/>
    </row>
    <row r="65" spans="1:5" x14ac:dyDescent="0.25">
      <c r="D65" s="177">
        <f>SUMPRODUCT(C62:C64,D62:D64)</f>
        <v>75.52832192307693</v>
      </c>
      <c r="E65" s="859"/>
    </row>
    <row r="68" spans="1:5" x14ac:dyDescent="0.25">
      <c r="A68" s="857" t="s">
        <v>1437</v>
      </c>
    </row>
    <row r="69" spans="1:5" x14ac:dyDescent="0.25">
      <c r="A69" s="305" t="s">
        <v>1404</v>
      </c>
    </row>
    <row r="70" spans="1:5" x14ac:dyDescent="0.25">
      <c r="A70" s="174" t="s">
        <v>1402</v>
      </c>
      <c r="B70" s="177" t="s">
        <v>1353</v>
      </c>
      <c r="C70" s="863">
        <v>1.67E-2</v>
      </c>
      <c r="E70" s="859"/>
    </row>
    <row r="71" spans="1:5" x14ac:dyDescent="0.25">
      <c r="A71" s="174" t="s">
        <v>1397</v>
      </c>
      <c r="B71" s="174" t="s">
        <v>3</v>
      </c>
      <c r="C71" s="863">
        <v>3.4260000000000002</v>
      </c>
      <c r="E71" s="859"/>
    </row>
    <row r="72" spans="1:5" x14ac:dyDescent="0.25">
      <c r="A72" s="174" t="s">
        <v>1434</v>
      </c>
      <c r="B72" s="174" t="s">
        <v>1</v>
      </c>
      <c r="C72" s="863">
        <v>2.504</v>
      </c>
      <c r="D72" s="853">
        <f>C72*0.075*0.075</f>
        <v>1.4084999999999999E-2</v>
      </c>
      <c r="E72" s="859"/>
    </row>
    <row r="73" spans="1:5" x14ac:dyDescent="0.25">
      <c r="A73" s="174" t="s">
        <v>1435</v>
      </c>
      <c r="B73" s="174" t="s">
        <v>5</v>
      </c>
      <c r="C73" s="863">
        <f>0.042+0.029</f>
        <v>7.1000000000000008E-2</v>
      </c>
      <c r="E73" s="859"/>
    </row>
    <row r="74" spans="1:5" x14ac:dyDescent="0.25">
      <c r="A74" s="174" t="s">
        <v>1436</v>
      </c>
      <c r="B74" s="174" t="s">
        <v>1</v>
      </c>
      <c r="C74" s="863">
        <v>4.2839999999999998</v>
      </c>
      <c r="D74" s="853">
        <f>C74*0.025*0.3</f>
        <v>3.2129999999999999E-2</v>
      </c>
      <c r="E74" s="859"/>
    </row>
    <row r="75" spans="1:5" x14ac:dyDescent="0.25">
      <c r="A75" s="174"/>
      <c r="B75" s="174"/>
      <c r="C75" s="177"/>
    </row>
  </sheetData>
  <mergeCells count="1">
    <mergeCell ref="A4:M4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67"/>
  <sheetViews>
    <sheetView showGridLines="0" topLeftCell="B1" zoomScale="80" zoomScaleNormal="80" workbookViewId="0">
      <selection activeCell="B7" sqref="B7:F443"/>
    </sheetView>
  </sheetViews>
  <sheetFormatPr defaultRowHeight="12.75" x14ac:dyDescent="0.2"/>
  <cols>
    <col min="1" max="1" width="30.85546875" customWidth="1"/>
    <col min="3" max="3" width="61.5703125" customWidth="1"/>
    <col min="4" max="4" width="28.42578125" customWidth="1"/>
    <col min="6" max="6" width="11.5703125" bestFit="1" customWidth="1"/>
  </cols>
  <sheetData>
    <row r="1" spans="1:12" s="53" customFormat="1" ht="15" customHeight="1" x14ac:dyDescent="0.2">
      <c r="A1" s="343"/>
      <c r="B1" s="362" t="s">
        <v>199</v>
      </c>
      <c r="C1" s="339" t="str">
        <f>ORÇAMENTO!I4</f>
        <v>SENSE106</v>
      </c>
      <c r="D1" s="338"/>
      <c r="E1" s="338"/>
      <c r="F1" s="338"/>
      <c r="G1" s="338"/>
      <c r="H1" s="345"/>
      <c r="I1" s="346"/>
      <c r="J1" s="62"/>
      <c r="K1" s="62"/>
      <c r="L1" s="62"/>
    </row>
    <row r="2" spans="1:12" s="215" customFormat="1" ht="15" customHeight="1" x14ac:dyDescent="0.2">
      <c r="A2" s="397"/>
      <c r="B2" s="362" t="s">
        <v>173</v>
      </c>
      <c r="C2" s="363" t="str">
        <f>ORÇAMENTO!I5</f>
        <v>HOLZE EMPREENDIMENTOS</v>
      </c>
      <c r="D2" s="339"/>
      <c r="E2" s="339"/>
      <c r="F2" s="339"/>
      <c r="G2" s="339"/>
      <c r="H2" s="347"/>
      <c r="I2" s="348"/>
    </row>
    <row r="3" spans="1:12" s="215" customFormat="1" ht="15" customHeight="1" x14ac:dyDescent="0.2">
      <c r="A3" s="344"/>
      <c r="B3" s="362" t="s">
        <v>174</v>
      </c>
      <c r="C3" s="633" t="str">
        <f>ORÇAMENTO!O5</f>
        <v>R01 - Edileni Silva</v>
      </c>
      <c r="D3" s="339"/>
      <c r="E3" s="339"/>
      <c r="F3" s="339"/>
      <c r="G3" s="339"/>
      <c r="H3" s="349"/>
      <c r="I3" s="350"/>
    </row>
    <row r="4" spans="1:12" s="59" customFormat="1" ht="20.45" customHeight="1" x14ac:dyDescent="0.2">
      <c r="A4" s="1251" t="s">
        <v>1173</v>
      </c>
      <c r="B4" s="1251"/>
      <c r="C4" s="1251"/>
      <c r="D4" s="1251"/>
      <c r="E4" s="1251"/>
      <c r="F4" s="1251"/>
      <c r="G4" s="1251"/>
      <c r="H4" s="1252"/>
      <c r="I4" s="1252"/>
    </row>
    <row r="6" spans="1:12" x14ac:dyDescent="0.2">
      <c r="B6" s="774" t="s">
        <v>386</v>
      </c>
      <c r="C6" s="1255" t="s">
        <v>0</v>
      </c>
      <c r="D6" s="1256"/>
      <c r="E6" s="774" t="s">
        <v>87</v>
      </c>
      <c r="F6" s="778" t="s">
        <v>14</v>
      </c>
    </row>
    <row r="7" spans="1:12" x14ac:dyDescent="0.2">
      <c r="B7" s="775">
        <v>2149</v>
      </c>
      <c r="C7" s="1253" t="s">
        <v>952</v>
      </c>
      <c r="D7" s="1254"/>
      <c r="E7" s="776" t="s">
        <v>250</v>
      </c>
      <c r="F7" s="779">
        <v>1224.76</v>
      </c>
    </row>
    <row r="8" spans="1:12" x14ac:dyDescent="0.2">
      <c r="B8" s="775">
        <v>2155</v>
      </c>
      <c r="C8" s="1253" t="s">
        <v>953</v>
      </c>
      <c r="D8" s="1254"/>
      <c r="E8" s="776" t="s">
        <v>250</v>
      </c>
      <c r="F8" s="780">
        <v>230000</v>
      </c>
    </row>
    <row r="9" spans="1:12" x14ac:dyDescent="0.2">
      <c r="B9" s="775">
        <v>2158</v>
      </c>
      <c r="C9" s="1253" t="s">
        <v>954</v>
      </c>
      <c r="D9" s="1254"/>
      <c r="E9" s="776" t="s">
        <v>250</v>
      </c>
      <c r="F9" s="781">
        <v>52000</v>
      </c>
    </row>
    <row r="10" spans="1:12" x14ac:dyDescent="0.2">
      <c r="B10" s="775">
        <v>2164</v>
      </c>
      <c r="C10" s="1253" t="s">
        <v>955</v>
      </c>
      <c r="D10" s="1254"/>
      <c r="E10" s="776" t="s">
        <v>250</v>
      </c>
      <c r="F10" s="779">
        <v>8000</v>
      </c>
    </row>
    <row r="11" spans="1:12" x14ac:dyDescent="0.2">
      <c r="B11" s="775">
        <v>2168</v>
      </c>
      <c r="C11" s="1253" t="s">
        <v>291</v>
      </c>
      <c r="D11" s="1254"/>
      <c r="E11" s="776" t="s">
        <v>250</v>
      </c>
      <c r="F11" s="781">
        <v>86965.7</v>
      </c>
    </row>
    <row r="12" spans="1:12" x14ac:dyDescent="0.2">
      <c r="B12" s="775">
        <v>2384</v>
      </c>
      <c r="C12" s="1253" t="s">
        <v>532</v>
      </c>
      <c r="D12" s="1254"/>
      <c r="E12" s="776" t="s">
        <v>4</v>
      </c>
      <c r="F12" s="782">
        <v>37.44</v>
      </c>
    </row>
    <row r="13" spans="1:12" x14ac:dyDescent="0.2">
      <c r="B13" s="775">
        <v>2413</v>
      </c>
      <c r="C13" s="1253" t="s">
        <v>795</v>
      </c>
      <c r="D13" s="1254"/>
      <c r="E13" s="776" t="s">
        <v>1</v>
      </c>
      <c r="F13" s="782">
        <v>26.73</v>
      </c>
    </row>
    <row r="14" spans="1:12" x14ac:dyDescent="0.2">
      <c r="B14" s="775">
        <v>2414</v>
      </c>
      <c r="C14" s="1253" t="s">
        <v>796</v>
      </c>
      <c r="D14" s="1254"/>
      <c r="E14" s="776" t="s">
        <v>1</v>
      </c>
      <c r="F14" s="782">
        <v>35.64</v>
      </c>
    </row>
    <row r="15" spans="1:12" x14ac:dyDescent="0.2">
      <c r="B15" s="775">
        <v>2417</v>
      </c>
      <c r="C15" s="1253" t="s">
        <v>794</v>
      </c>
      <c r="D15" s="1254"/>
      <c r="E15" s="776" t="s">
        <v>1</v>
      </c>
      <c r="F15" s="782">
        <v>22.274999999999999</v>
      </c>
    </row>
    <row r="16" spans="1:12" x14ac:dyDescent="0.2">
      <c r="B16" s="775">
        <v>2523</v>
      </c>
      <c r="C16" s="1253" t="s">
        <v>956</v>
      </c>
      <c r="D16" s="1254"/>
      <c r="E16" s="776" t="s">
        <v>1</v>
      </c>
      <c r="F16" s="780">
        <v>195031.92929999999</v>
      </c>
    </row>
    <row r="17" spans="2:6" x14ac:dyDescent="0.2">
      <c r="B17" s="775">
        <v>2558</v>
      </c>
      <c r="C17" s="1253" t="s">
        <v>369</v>
      </c>
      <c r="D17" s="1254"/>
      <c r="E17" s="776" t="s">
        <v>5</v>
      </c>
      <c r="F17" s="783">
        <v>7.5498000000000003</v>
      </c>
    </row>
    <row r="18" spans="2:6" x14ac:dyDescent="0.2">
      <c r="B18" s="775">
        <v>2559</v>
      </c>
      <c r="C18" s="1253" t="s">
        <v>370</v>
      </c>
      <c r="D18" s="1254"/>
      <c r="E18" s="776" t="s">
        <v>5</v>
      </c>
      <c r="F18" s="783">
        <v>7.2104999999999997</v>
      </c>
    </row>
    <row r="19" spans="2:6" x14ac:dyDescent="0.2">
      <c r="B19" s="775">
        <v>2560</v>
      </c>
      <c r="C19" s="1253" t="s">
        <v>371</v>
      </c>
      <c r="D19" s="1254"/>
      <c r="E19" s="776" t="s">
        <v>5</v>
      </c>
      <c r="F19" s="783">
        <v>6.9927999999999999</v>
      </c>
    </row>
    <row r="20" spans="2:6" x14ac:dyDescent="0.2">
      <c r="B20" s="775">
        <v>2561</v>
      </c>
      <c r="C20" s="1253" t="s">
        <v>372</v>
      </c>
      <c r="D20" s="1254"/>
      <c r="E20" s="776" t="s">
        <v>5</v>
      </c>
      <c r="F20" s="783">
        <v>6.8563999999999998</v>
      </c>
    </row>
    <row r="21" spans="2:6" x14ac:dyDescent="0.2">
      <c r="B21" s="775">
        <v>2562</v>
      </c>
      <c r="C21" s="1253" t="s">
        <v>373</v>
      </c>
      <c r="D21" s="1254"/>
      <c r="E21" s="776" t="s">
        <v>5</v>
      </c>
      <c r="F21" s="783">
        <v>6.8331</v>
      </c>
    </row>
    <row r="22" spans="2:6" x14ac:dyDescent="0.2">
      <c r="B22" s="775">
        <v>2579</v>
      </c>
      <c r="C22" s="1253" t="s">
        <v>1229</v>
      </c>
      <c r="D22" s="1254"/>
      <c r="E22" s="776" t="s">
        <v>1</v>
      </c>
      <c r="F22" s="783">
        <v>9.24</v>
      </c>
    </row>
    <row r="23" spans="2:6" x14ac:dyDescent="0.2">
      <c r="B23" s="775">
        <v>2621</v>
      </c>
      <c r="C23" s="1253" t="s">
        <v>957</v>
      </c>
      <c r="D23" s="1254"/>
      <c r="E23" s="776" t="s">
        <v>250</v>
      </c>
      <c r="F23" s="781">
        <v>64460</v>
      </c>
    </row>
    <row r="24" spans="2:6" ht="12.75" customHeight="1" x14ac:dyDescent="0.2">
      <c r="B24" s="775">
        <v>2825</v>
      </c>
      <c r="C24" s="1253" t="s">
        <v>958</v>
      </c>
      <c r="D24" s="1254"/>
      <c r="E24" s="776" t="s">
        <v>1</v>
      </c>
      <c r="F24" s="782">
        <v>70.800200000000004</v>
      </c>
    </row>
    <row r="25" spans="2:6" ht="12.75" customHeight="1" x14ac:dyDescent="0.2">
      <c r="B25" s="775">
        <v>2877</v>
      </c>
      <c r="C25" s="1253" t="s">
        <v>1540</v>
      </c>
      <c r="D25" s="1254"/>
      <c r="E25" s="776" t="s">
        <v>1</v>
      </c>
      <c r="F25" s="782">
        <v>42.79</v>
      </c>
    </row>
    <row r="26" spans="2:6" ht="12.75" customHeight="1" x14ac:dyDescent="0.2">
      <c r="B26" s="775">
        <v>3253</v>
      </c>
      <c r="C26" s="1253" t="s">
        <v>1671</v>
      </c>
      <c r="D26" s="1254"/>
      <c r="E26" s="776" t="s">
        <v>250</v>
      </c>
      <c r="F26" s="779">
        <v>6271.2</v>
      </c>
    </row>
    <row r="27" spans="2:6" ht="12.75" customHeight="1" x14ac:dyDescent="0.2">
      <c r="B27" s="775">
        <v>3683</v>
      </c>
      <c r="C27" s="1253" t="s">
        <v>800</v>
      </c>
      <c r="D27" s="1254"/>
      <c r="E27" s="776" t="s">
        <v>1</v>
      </c>
      <c r="F27" s="782">
        <v>15.9975</v>
      </c>
    </row>
    <row r="28" spans="2:6" x14ac:dyDescent="0.2">
      <c r="B28" s="775">
        <v>3703</v>
      </c>
      <c r="C28" s="1253" t="s">
        <v>947</v>
      </c>
      <c r="D28" s="1254"/>
      <c r="E28" s="776" t="s">
        <v>3</v>
      </c>
      <c r="F28" s="784">
        <v>100.074</v>
      </c>
    </row>
    <row r="29" spans="2:6" x14ac:dyDescent="0.2">
      <c r="B29" s="775">
        <v>3707</v>
      </c>
      <c r="C29" s="1253" t="s">
        <v>947</v>
      </c>
      <c r="D29" s="1254"/>
      <c r="E29" s="776" t="s">
        <v>3</v>
      </c>
      <c r="F29" s="784">
        <v>145.1686</v>
      </c>
    </row>
    <row r="30" spans="2:6" x14ac:dyDescent="0.2">
      <c r="B30" s="775">
        <v>3758</v>
      </c>
      <c r="C30" s="1253" t="s">
        <v>1448</v>
      </c>
      <c r="D30" s="1254"/>
      <c r="E30" s="776" t="s">
        <v>2</v>
      </c>
      <c r="F30" s="779">
        <v>1098.7</v>
      </c>
    </row>
    <row r="31" spans="2:6" x14ac:dyDescent="0.2">
      <c r="B31" s="775">
        <v>3973</v>
      </c>
      <c r="C31" s="1253" t="s">
        <v>948</v>
      </c>
      <c r="D31" s="1254"/>
      <c r="E31" s="776" t="s">
        <v>1</v>
      </c>
      <c r="F31" s="784">
        <v>366.8</v>
      </c>
    </row>
    <row r="32" spans="2:6" x14ac:dyDescent="0.2">
      <c r="B32" s="775">
        <v>4004</v>
      </c>
      <c r="C32" s="1253" t="s">
        <v>853</v>
      </c>
      <c r="D32" s="1254"/>
      <c r="E32" s="776" t="s">
        <v>1</v>
      </c>
      <c r="F32" s="782">
        <v>88.066000000000003</v>
      </c>
    </row>
    <row r="33" spans="2:6" x14ac:dyDescent="0.2">
      <c r="B33" s="775">
        <v>4087</v>
      </c>
      <c r="C33" s="1253" t="s">
        <v>946</v>
      </c>
      <c r="D33" s="1254"/>
      <c r="E33" s="776" t="s">
        <v>3</v>
      </c>
      <c r="F33" s="784">
        <v>100.074</v>
      </c>
    </row>
    <row r="34" spans="2:6" x14ac:dyDescent="0.2">
      <c r="B34" s="775">
        <v>4552</v>
      </c>
      <c r="C34" s="1253" t="s">
        <v>959</v>
      </c>
      <c r="D34" s="1254"/>
      <c r="E34" s="776" t="s">
        <v>250</v>
      </c>
      <c r="F34" s="780">
        <v>130448.55</v>
      </c>
    </row>
    <row r="35" spans="2:6" x14ac:dyDescent="0.2">
      <c r="B35" s="775">
        <v>4578</v>
      </c>
      <c r="C35" s="1253" t="s">
        <v>960</v>
      </c>
      <c r="D35" s="1254"/>
      <c r="E35" s="776" t="s">
        <v>961</v>
      </c>
      <c r="F35" s="779">
        <v>2000</v>
      </c>
    </row>
    <row r="36" spans="2:6" x14ac:dyDescent="0.2">
      <c r="B36" s="775">
        <v>4593</v>
      </c>
      <c r="C36" s="1253" t="s">
        <v>962</v>
      </c>
      <c r="D36" s="1254"/>
      <c r="E36" s="776" t="s">
        <v>250</v>
      </c>
      <c r="F36" s="780">
        <v>400000</v>
      </c>
    </row>
    <row r="37" spans="2:6" x14ac:dyDescent="0.2">
      <c r="B37" s="775">
        <v>4594</v>
      </c>
      <c r="C37" s="1253" t="s">
        <v>963</v>
      </c>
      <c r="D37" s="1254"/>
      <c r="E37" s="776" t="s">
        <v>250</v>
      </c>
      <c r="F37" s="780">
        <v>300000</v>
      </c>
    </row>
    <row r="38" spans="2:6" x14ac:dyDescent="0.2">
      <c r="B38" s="775">
        <v>4610</v>
      </c>
      <c r="C38" s="1253" t="s">
        <v>964</v>
      </c>
      <c r="D38" s="1254"/>
      <c r="E38" s="776" t="s">
        <v>250</v>
      </c>
      <c r="F38" s="781">
        <v>15000</v>
      </c>
    </row>
    <row r="39" spans="2:6" ht="12.75" customHeight="1" x14ac:dyDescent="0.2">
      <c r="B39" s="775">
        <v>4614</v>
      </c>
      <c r="C39" s="1253" t="s">
        <v>965</v>
      </c>
      <c r="D39" s="1254"/>
      <c r="E39" s="776" t="s">
        <v>250</v>
      </c>
      <c r="F39" s="781">
        <v>11319.43</v>
      </c>
    </row>
    <row r="40" spans="2:6" ht="12.75" customHeight="1" x14ac:dyDescent="0.2">
      <c r="B40" s="775">
        <v>4619</v>
      </c>
      <c r="C40" s="1253" t="s">
        <v>966</v>
      </c>
      <c r="D40" s="1254"/>
      <c r="E40" s="776" t="s">
        <v>961</v>
      </c>
      <c r="F40" s="784">
        <v>500</v>
      </c>
    </row>
    <row r="41" spans="2:6" ht="12.75" customHeight="1" x14ac:dyDescent="0.2">
      <c r="B41" s="775">
        <v>4622</v>
      </c>
      <c r="C41" s="1253" t="s">
        <v>967</v>
      </c>
      <c r="D41" s="1254"/>
      <c r="E41" s="776" t="s">
        <v>250</v>
      </c>
      <c r="F41" s="781">
        <v>17000</v>
      </c>
    </row>
    <row r="42" spans="2:6" ht="12.75" customHeight="1" x14ac:dyDescent="0.2">
      <c r="B42" s="775">
        <v>4669</v>
      </c>
      <c r="C42" s="1253" t="s">
        <v>1946</v>
      </c>
      <c r="D42" s="1254"/>
      <c r="E42" s="776" t="s">
        <v>1</v>
      </c>
      <c r="F42" s="782">
        <v>47.935000000000002</v>
      </c>
    </row>
    <row r="43" spans="2:6" ht="12.75" customHeight="1" x14ac:dyDescent="0.2">
      <c r="B43" s="775">
        <v>4672</v>
      </c>
      <c r="C43" s="1253" t="s">
        <v>968</v>
      </c>
      <c r="D43" s="1254"/>
      <c r="E43" s="776" t="s">
        <v>1</v>
      </c>
      <c r="F43" s="782">
        <v>51.670499999999997</v>
      </c>
    </row>
    <row r="44" spans="2:6" ht="12.75" customHeight="1" x14ac:dyDescent="0.2">
      <c r="B44" s="775">
        <v>4674</v>
      </c>
      <c r="C44" s="1253" t="s">
        <v>969</v>
      </c>
      <c r="D44" s="1254"/>
      <c r="E44" s="776" t="s">
        <v>3</v>
      </c>
      <c r="F44" s="782">
        <v>15.04</v>
      </c>
    </row>
    <row r="45" spans="2:6" ht="12.75" customHeight="1" x14ac:dyDescent="0.2">
      <c r="B45" s="775">
        <v>4675</v>
      </c>
      <c r="C45" s="1253" t="s">
        <v>210</v>
      </c>
      <c r="D45" s="1254"/>
      <c r="E45" s="776" t="s">
        <v>2</v>
      </c>
      <c r="F45" s="783">
        <v>3.3159999999999998</v>
      </c>
    </row>
    <row r="46" spans="2:6" ht="12.75" customHeight="1" x14ac:dyDescent="0.2">
      <c r="B46" s="775">
        <v>4679</v>
      </c>
      <c r="C46" s="1253" t="s">
        <v>970</v>
      </c>
      <c r="D46" s="1254"/>
      <c r="E46" s="776" t="s">
        <v>1</v>
      </c>
      <c r="F46" s="782">
        <v>36</v>
      </c>
    </row>
    <row r="47" spans="2:6" ht="12.75" customHeight="1" x14ac:dyDescent="0.2">
      <c r="B47" s="775">
        <v>4681</v>
      </c>
      <c r="C47" s="1253" t="s">
        <v>971</v>
      </c>
      <c r="D47" s="1254"/>
      <c r="E47" s="776" t="s">
        <v>1</v>
      </c>
      <c r="F47" s="782">
        <v>34</v>
      </c>
    </row>
    <row r="48" spans="2:6" ht="12.75" customHeight="1" x14ac:dyDescent="0.2">
      <c r="B48" s="775">
        <v>4683</v>
      </c>
      <c r="C48" s="1253" t="s">
        <v>1947</v>
      </c>
      <c r="D48" s="1254"/>
      <c r="E48" s="776" t="s">
        <v>1</v>
      </c>
      <c r="F48" s="782">
        <v>32.662500000000001</v>
      </c>
    </row>
    <row r="49" spans="2:6" ht="12.75" customHeight="1" x14ac:dyDescent="0.2">
      <c r="B49" s="775">
        <v>4685</v>
      </c>
      <c r="C49" s="1253" t="s">
        <v>2100</v>
      </c>
      <c r="D49" s="1254"/>
      <c r="E49" s="776" t="s">
        <v>1</v>
      </c>
      <c r="F49" s="782">
        <v>57.391399999999997</v>
      </c>
    </row>
    <row r="50" spans="2:6" ht="12.75" customHeight="1" x14ac:dyDescent="0.2">
      <c r="B50" s="775">
        <v>4687</v>
      </c>
      <c r="C50" s="1253" t="s">
        <v>793</v>
      </c>
      <c r="D50" s="1254"/>
      <c r="E50" s="776" t="s">
        <v>1</v>
      </c>
      <c r="F50" s="782">
        <v>17.82</v>
      </c>
    </row>
    <row r="51" spans="2:6" ht="12.75" customHeight="1" x14ac:dyDescent="0.2">
      <c r="B51" s="775">
        <v>4690</v>
      </c>
      <c r="C51" s="1253" t="s">
        <v>798</v>
      </c>
      <c r="D51" s="1254"/>
      <c r="E51" s="776" t="s">
        <v>1</v>
      </c>
      <c r="F51" s="783">
        <v>6.6079999999999997</v>
      </c>
    </row>
    <row r="52" spans="2:6" ht="12.75" customHeight="1" x14ac:dyDescent="0.2">
      <c r="B52" s="775">
        <v>4692</v>
      </c>
      <c r="C52" s="1253" t="s">
        <v>799</v>
      </c>
      <c r="D52" s="1254"/>
      <c r="E52" s="776" t="s">
        <v>1</v>
      </c>
      <c r="F52" s="783">
        <v>2.5165999999999999</v>
      </c>
    </row>
    <row r="53" spans="2:6" ht="12.75" customHeight="1" x14ac:dyDescent="0.2">
      <c r="B53" s="775">
        <v>4694</v>
      </c>
      <c r="C53" s="1253" t="s">
        <v>2101</v>
      </c>
      <c r="D53" s="1254"/>
      <c r="E53" s="776" t="s">
        <v>1</v>
      </c>
      <c r="F53" s="782">
        <v>15.228</v>
      </c>
    </row>
    <row r="54" spans="2:6" x14ac:dyDescent="0.2">
      <c r="B54" s="775">
        <v>4696</v>
      </c>
      <c r="C54" s="1253" t="s">
        <v>1446</v>
      </c>
      <c r="D54" s="1254"/>
      <c r="E54" s="776" t="s">
        <v>1</v>
      </c>
      <c r="F54" s="782">
        <v>32</v>
      </c>
    </row>
    <row r="55" spans="2:6" x14ac:dyDescent="0.2">
      <c r="B55" s="775">
        <v>4698</v>
      </c>
      <c r="C55" s="1253" t="s">
        <v>1445</v>
      </c>
      <c r="D55" s="1254"/>
      <c r="E55" s="776" t="s">
        <v>1</v>
      </c>
      <c r="F55" s="782">
        <v>34</v>
      </c>
    </row>
    <row r="56" spans="2:6" ht="12.75" customHeight="1" x14ac:dyDescent="0.2">
      <c r="B56" s="775">
        <v>4700</v>
      </c>
      <c r="C56" s="1253" t="s">
        <v>972</v>
      </c>
      <c r="D56" s="1254"/>
      <c r="E56" s="776" t="s">
        <v>1</v>
      </c>
      <c r="F56" s="782">
        <v>20</v>
      </c>
    </row>
    <row r="57" spans="2:6" ht="12.75" customHeight="1" x14ac:dyDescent="0.2">
      <c r="B57" s="775">
        <v>4706</v>
      </c>
      <c r="C57" s="1253" t="s">
        <v>973</v>
      </c>
      <c r="D57" s="1254"/>
      <c r="E57" s="776" t="s">
        <v>1</v>
      </c>
      <c r="F57" s="782">
        <v>16.258600000000001</v>
      </c>
    </row>
    <row r="58" spans="2:6" ht="12.75" customHeight="1" x14ac:dyDescent="0.2">
      <c r="B58" s="775">
        <v>4708</v>
      </c>
      <c r="C58" s="1253" t="s">
        <v>974</v>
      </c>
      <c r="D58" s="1254"/>
      <c r="E58" s="776" t="s">
        <v>1</v>
      </c>
      <c r="F58" s="782">
        <v>26</v>
      </c>
    </row>
    <row r="59" spans="2:6" ht="12.75" customHeight="1" x14ac:dyDescent="0.2">
      <c r="B59" s="775">
        <v>4710</v>
      </c>
      <c r="C59" s="1253" t="s">
        <v>1572</v>
      </c>
      <c r="D59" s="1254"/>
      <c r="E59" s="776" t="s">
        <v>1</v>
      </c>
      <c r="F59" s="783">
        <v>6.36</v>
      </c>
    </row>
    <row r="60" spans="2:6" x14ac:dyDescent="0.2">
      <c r="B60" s="775">
        <v>4712</v>
      </c>
      <c r="C60" s="1253" t="s">
        <v>855</v>
      </c>
      <c r="D60" s="1254"/>
      <c r="E60" s="776" t="s">
        <v>1</v>
      </c>
      <c r="F60" s="783">
        <v>2.8378999999999999</v>
      </c>
    </row>
    <row r="61" spans="2:6" x14ac:dyDescent="0.2">
      <c r="B61" s="775">
        <v>4715</v>
      </c>
      <c r="C61" s="1253" t="s">
        <v>856</v>
      </c>
      <c r="D61" s="1254"/>
      <c r="E61" s="776" t="s">
        <v>1</v>
      </c>
      <c r="F61" s="783">
        <v>1.0880000000000001</v>
      </c>
    </row>
    <row r="62" spans="2:6" x14ac:dyDescent="0.2">
      <c r="B62" s="775">
        <v>4719</v>
      </c>
      <c r="C62" s="1253" t="s">
        <v>858</v>
      </c>
      <c r="D62" s="1254"/>
      <c r="E62" s="776" t="s">
        <v>1</v>
      </c>
      <c r="F62" s="782">
        <v>14.4375</v>
      </c>
    </row>
    <row r="63" spans="2:6" x14ac:dyDescent="0.2">
      <c r="B63" s="775">
        <v>4720</v>
      </c>
      <c r="C63" s="1253" t="s">
        <v>859</v>
      </c>
      <c r="D63" s="1254"/>
      <c r="E63" s="776" t="s">
        <v>1</v>
      </c>
      <c r="F63" s="782">
        <v>12.311999999999999</v>
      </c>
    </row>
    <row r="64" spans="2:6" x14ac:dyDescent="0.2">
      <c r="B64" s="775">
        <v>4722</v>
      </c>
      <c r="C64" s="1253" t="s">
        <v>975</v>
      </c>
      <c r="D64" s="1254"/>
      <c r="E64" s="776" t="s">
        <v>1</v>
      </c>
      <c r="F64" s="783">
        <v>2.9167000000000001</v>
      </c>
    </row>
    <row r="65" spans="2:6" x14ac:dyDescent="0.2">
      <c r="B65" s="775">
        <v>4724</v>
      </c>
      <c r="C65" s="1253" t="s">
        <v>860</v>
      </c>
      <c r="D65" s="1254"/>
      <c r="E65" s="776" t="s">
        <v>1</v>
      </c>
      <c r="F65" s="783">
        <v>1.0880000000000001</v>
      </c>
    </row>
    <row r="66" spans="2:6" x14ac:dyDescent="0.2">
      <c r="B66" s="775">
        <v>4725</v>
      </c>
      <c r="C66" s="1253" t="s">
        <v>861</v>
      </c>
      <c r="D66" s="1254"/>
      <c r="E66" s="776" t="s">
        <v>1</v>
      </c>
      <c r="F66" s="783">
        <v>2.6949999999999998</v>
      </c>
    </row>
    <row r="67" spans="2:6" ht="12.75" customHeight="1" x14ac:dyDescent="0.2">
      <c r="B67" s="775">
        <v>4726</v>
      </c>
      <c r="C67" s="1253" t="s">
        <v>862</v>
      </c>
      <c r="D67" s="1254"/>
      <c r="E67" s="776" t="s">
        <v>1</v>
      </c>
      <c r="F67" s="783">
        <v>9.9969000000000001</v>
      </c>
    </row>
    <row r="68" spans="2:6" x14ac:dyDescent="0.2">
      <c r="B68" s="775">
        <v>4727</v>
      </c>
      <c r="C68" s="1253" t="s">
        <v>976</v>
      </c>
      <c r="D68" s="1254"/>
      <c r="E68" s="776" t="s">
        <v>1</v>
      </c>
      <c r="F68" s="782">
        <v>12.311999999999999</v>
      </c>
    </row>
    <row r="69" spans="2:6" ht="12.75" customHeight="1" x14ac:dyDescent="0.2">
      <c r="B69" s="775">
        <v>4728</v>
      </c>
      <c r="C69" s="1253" t="s">
        <v>879</v>
      </c>
      <c r="D69" s="1254"/>
      <c r="E69" s="776" t="s">
        <v>1</v>
      </c>
      <c r="F69" s="782">
        <v>18.5</v>
      </c>
    </row>
    <row r="70" spans="2:6" ht="12.75" customHeight="1" x14ac:dyDescent="0.2">
      <c r="B70" s="775">
        <v>4730</v>
      </c>
      <c r="C70" s="1253" t="s">
        <v>945</v>
      </c>
      <c r="D70" s="1254"/>
      <c r="E70" s="776" t="s">
        <v>1</v>
      </c>
      <c r="F70" s="782">
        <v>13</v>
      </c>
    </row>
    <row r="71" spans="2:6" ht="12.75" customHeight="1" x14ac:dyDescent="0.2">
      <c r="B71" s="775">
        <v>4736</v>
      </c>
      <c r="C71" s="1253" t="s">
        <v>863</v>
      </c>
      <c r="D71" s="1254"/>
      <c r="E71" s="776" t="s">
        <v>1</v>
      </c>
      <c r="F71" s="782">
        <v>26</v>
      </c>
    </row>
    <row r="72" spans="2:6" ht="12.75" customHeight="1" x14ac:dyDescent="0.2">
      <c r="B72" s="775">
        <v>4738</v>
      </c>
      <c r="C72" s="1253" t="s">
        <v>874</v>
      </c>
      <c r="D72" s="1254"/>
      <c r="E72" s="776" t="s">
        <v>1</v>
      </c>
      <c r="F72" s="782">
        <v>15</v>
      </c>
    </row>
    <row r="73" spans="2:6" ht="12.75" customHeight="1" x14ac:dyDescent="0.2">
      <c r="B73" s="775">
        <v>4742</v>
      </c>
      <c r="C73" s="1253" t="s">
        <v>865</v>
      </c>
      <c r="D73" s="1254"/>
      <c r="E73" s="776" t="s">
        <v>1</v>
      </c>
      <c r="F73" s="782">
        <v>11.5</v>
      </c>
    </row>
    <row r="74" spans="2:6" x14ac:dyDescent="0.2">
      <c r="B74" s="775">
        <v>4744</v>
      </c>
      <c r="C74" s="1253" t="s">
        <v>864</v>
      </c>
      <c r="D74" s="1254"/>
      <c r="E74" s="776" t="s">
        <v>1</v>
      </c>
      <c r="F74" s="782">
        <v>12.65</v>
      </c>
    </row>
    <row r="75" spans="2:6" x14ac:dyDescent="0.2">
      <c r="B75" s="775">
        <v>4746</v>
      </c>
      <c r="C75" s="1253" t="s">
        <v>977</v>
      </c>
      <c r="D75" s="1254"/>
      <c r="E75" s="776" t="s">
        <v>1</v>
      </c>
      <c r="F75" s="782">
        <v>12.5</v>
      </c>
    </row>
    <row r="76" spans="2:6" x14ac:dyDescent="0.2">
      <c r="B76" s="775">
        <v>4748</v>
      </c>
      <c r="C76" s="1253" t="s">
        <v>978</v>
      </c>
      <c r="D76" s="1254"/>
      <c r="E76" s="776" t="s">
        <v>1</v>
      </c>
      <c r="F76" s="782">
        <v>17.75</v>
      </c>
    </row>
    <row r="77" spans="2:6" x14ac:dyDescent="0.2">
      <c r="B77" s="775">
        <v>4751</v>
      </c>
      <c r="C77" s="1253" t="s">
        <v>979</v>
      </c>
      <c r="D77" s="1254"/>
      <c r="E77" s="776" t="s">
        <v>1</v>
      </c>
      <c r="F77" s="782">
        <v>60</v>
      </c>
    </row>
    <row r="78" spans="2:6" ht="12.75" customHeight="1" x14ac:dyDescent="0.2">
      <c r="B78" s="775">
        <v>4752</v>
      </c>
      <c r="C78" s="1253" t="s">
        <v>940</v>
      </c>
      <c r="D78" s="1254"/>
      <c r="E78" s="776" t="s">
        <v>5</v>
      </c>
      <c r="F78" s="783">
        <v>7.4894999999999996</v>
      </c>
    </row>
    <row r="79" spans="2:6" ht="12.75" customHeight="1" x14ac:dyDescent="0.2">
      <c r="B79" s="775">
        <v>4755</v>
      </c>
      <c r="C79" s="1253" t="s">
        <v>980</v>
      </c>
      <c r="D79" s="1254"/>
      <c r="E79" s="776" t="s">
        <v>5</v>
      </c>
      <c r="F79" s="783">
        <v>6.8563999999999998</v>
      </c>
    </row>
    <row r="80" spans="2:6" ht="12.75" customHeight="1" x14ac:dyDescent="0.2">
      <c r="B80" s="775">
        <v>4756</v>
      </c>
      <c r="C80" s="1253" t="s">
        <v>944</v>
      </c>
      <c r="D80" s="1254"/>
      <c r="E80" s="776" t="s">
        <v>5</v>
      </c>
      <c r="F80" s="783">
        <v>6.8331</v>
      </c>
    </row>
    <row r="81" spans="2:6" ht="12.75" customHeight="1" x14ac:dyDescent="0.2">
      <c r="B81" s="775">
        <v>4758</v>
      </c>
      <c r="C81" s="1253" t="s">
        <v>1415</v>
      </c>
      <c r="D81" s="1254"/>
      <c r="E81" s="776" t="s">
        <v>5</v>
      </c>
      <c r="F81" s="783">
        <v>7.5498000000000003</v>
      </c>
    </row>
    <row r="82" spans="2:6" ht="12.75" customHeight="1" x14ac:dyDescent="0.2">
      <c r="B82" s="775">
        <v>4759</v>
      </c>
      <c r="C82" s="1253" t="s">
        <v>1416</v>
      </c>
      <c r="D82" s="1254"/>
      <c r="E82" s="776" t="s">
        <v>5</v>
      </c>
      <c r="F82" s="783">
        <v>7.2104999999999997</v>
      </c>
    </row>
    <row r="83" spans="2:6" ht="12.75" customHeight="1" x14ac:dyDescent="0.2">
      <c r="B83" s="775">
        <v>4760</v>
      </c>
      <c r="C83" s="1253" t="s">
        <v>1417</v>
      </c>
      <c r="D83" s="1254"/>
      <c r="E83" s="776" t="s">
        <v>5</v>
      </c>
      <c r="F83" s="783">
        <v>6.9927999999999999</v>
      </c>
    </row>
    <row r="84" spans="2:6" ht="12.75" customHeight="1" x14ac:dyDescent="0.2">
      <c r="B84" s="775">
        <v>4761</v>
      </c>
      <c r="C84" s="1253" t="s">
        <v>1418</v>
      </c>
      <c r="D84" s="1254"/>
      <c r="E84" s="776" t="s">
        <v>5</v>
      </c>
      <c r="F84" s="783">
        <v>6.8563999999999998</v>
      </c>
    </row>
    <row r="85" spans="2:6" ht="12.75" customHeight="1" x14ac:dyDescent="0.2">
      <c r="B85" s="775">
        <v>4762</v>
      </c>
      <c r="C85" s="1253" t="s">
        <v>1419</v>
      </c>
      <c r="D85" s="1254"/>
      <c r="E85" s="776" t="s">
        <v>5</v>
      </c>
      <c r="F85" s="783">
        <v>6.8331</v>
      </c>
    </row>
    <row r="86" spans="2:6" ht="12.75" customHeight="1" x14ac:dyDescent="0.2">
      <c r="B86" s="775">
        <v>4764</v>
      </c>
      <c r="C86" s="1253" t="s">
        <v>1420</v>
      </c>
      <c r="D86" s="1254"/>
      <c r="E86" s="776" t="s">
        <v>5</v>
      </c>
      <c r="F86" s="783">
        <v>6.8216999999999999</v>
      </c>
    </row>
    <row r="87" spans="2:6" x14ac:dyDescent="0.2">
      <c r="B87" s="775">
        <v>4765</v>
      </c>
      <c r="C87" s="1253" t="s">
        <v>1449</v>
      </c>
      <c r="D87" s="1254"/>
      <c r="E87" s="776" t="s">
        <v>250</v>
      </c>
      <c r="F87" s="780">
        <v>380000</v>
      </c>
    </row>
    <row r="88" spans="2:6" x14ac:dyDescent="0.2">
      <c r="B88" s="775">
        <v>4767</v>
      </c>
      <c r="C88" s="1253" t="s">
        <v>542</v>
      </c>
      <c r="D88" s="1254"/>
      <c r="E88" s="776" t="s">
        <v>2</v>
      </c>
      <c r="F88" s="784">
        <v>300</v>
      </c>
    </row>
    <row r="89" spans="2:6" x14ac:dyDescent="0.2">
      <c r="B89" s="775">
        <v>4771</v>
      </c>
      <c r="C89" s="1253" t="s">
        <v>981</v>
      </c>
      <c r="D89" s="1254"/>
      <c r="E89" s="776" t="s">
        <v>1</v>
      </c>
      <c r="F89" s="782">
        <v>55</v>
      </c>
    </row>
    <row r="90" spans="2:6" x14ac:dyDescent="0.2">
      <c r="B90" s="775">
        <v>4772</v>
      </c>
      <c r="C90" s="1253" t="s">
        <v>1649</v>
      </c>
      <c r="D90" s="1254"/>
      <c r="E90" s="776" t="s">
        <v>1</v>
      </c>
      <c r="F90" s="782">
        <v>20</v>
      </c>
    </row>
    <row r="91" spans="2:6" x14ac:dyDescent="0.2">
      <c r="B91" s="775">
        <v>4774</v>
      </c>
      <c r="C91" s="1253" t="s">
        <v>982</v>
      </c>
      <c r="D91" s="1254"/>
      <c r="E91" s="776" t="s">
        <v>2</v>
      </c>
      <c r="F91" s="779">
        <v>1500</v>
      </c>
    </row>
    <row r="92" spans="2:6" x14ac:dyDescent="0.2">
      <c r="B92" s="775">
        <v>4776</v>
      </c>
      <c r="C92" s="1253" t="s">
        <v>983</v>
      </c>
      <c r="D92" s="1254"/>
      <c r="E92" s="776" t="s">
        <v>2</v>
      </c>
      <c r="F92" s="779">
        <v>9000</v>
      </c>
    </row>
    <row r="93" spans="2:6" ht="12.75" customHeight="1" x14ac:dyDescent="0.2">
      <c r="B93" s="775">
        <v>4778</v>
      </c>
      <c r="C93" s="1253" t="s">
        <v>926</v>
      </c>
      <c r="D93" s="1254"/>
      <c r="E93" s="776" t="s">
        <v>250</v>
      </c>
      <c r="F93" s="779">
        <v>5224.3999999999996</v>
      </c>
    </row>
    <row r="94" spans="2:6" ht="12.75" customHeight="1" x14ac:dyDescent="0.2">
      <c r="B94" s="775">
        <v>4780</v>
      </c>
      <c r="C94" s="1253" t="s">
        <v>984</v>
      </c>
      <c r="D94" s="1254"/>
      <c r="E94" s="776" t="s">
        <v>250</v>
      </c>
      <c r="F94" s="780">
        <v>106252.34</v>
      </c>
    </row>
    <row r="95" spans="2:6" ht="12.75" customHeight="1" x14ac:dyDescent="0.2">
      <c r="B95" s="775">
        <v>4781</v>
      </c>
      <c r="C95" s="1253" t="s">
        <v>213</v>
      </c>
      <c r="D95" s="1254"/>
      <c r="E95" s="776" t="s">
        <v>1</v>
      </c>
      <c r="F95" s="783">
        <v>6.415</v>
      </c>
    </row>
    <row r="96" spans="2:6" ht="12.75" customHeight="1" x14ac:dyDescent="0.2">
      <c r="B96" s="775">
        <v>4782</v>
      </c>
      <c r="C96" s="1253" t="s">
        <v>1948</v>
      </c>
      <c r="D96" s="1254"/>
      <c r="E96" s="776" t="s">
        <v>1</v>
      </c>
      <c r="F96" s="782">
        <v>28.95</v>
      </c>
    </row>
    <row r="97" spans="2:6" ht="12.75" customHeight="1" x14ac:dyDescent="0.2">
      <c r="B97" s="775">
        <v>4784</v>
      </c>
      <c r="C97" s="1253" t="s">
        <v>1628</v>
      </c>
      <c r="D97" s="1254"/>
      <c r="E97" s="776" t="s">
        <v>1</v>
      </c>
      <c r="F97" s="784">
        <v>140</v>
      </c>
    </row>
    <row r="98" spans="2:6" ht="12.75" customHeight="1" x14ac:dyDescent="0.2">
      <c r="B98" s="775">
        <v>4788</v>
      </c>
      <c r="C98" s="1253" t="s">
        <v>985</v>
      </c>
      <c r="D98" s="1254"/>
      <c r="E98" s="776" t="s">
        <v>1</v>
      </c>
      <c r="F98" s="782">
        <v>24.1</v>
      </c>
    </row>
    <row r="99" spans="2:6" ht="12.75" customHeight="1" x14ac:dyDescent="0.2">
      <c r="B99" s="775">
        <v>4789</v>
      </c>
      <c r="C99" s="1253" t="s">
        <v>986</v>
      </c>
      <c r="D99" s="1254"/>
      <c r="E99" s="776" t="s">
        <v>1</v>
      </c>
      <c r="F99" s="782">
        <v>16</v>
      </c>
    </row>
    <row r="100" spans="2:6" ht="12.75" customHeight="1" x14ac:dyDescent="0.2">
      <c r="B100" s="775">
        <v>4790</v>
      </c>
      <c r="C100" s="1253" t="s">
        <v>987</v>
      </c>
      <c r="D100" s="1254"/>
      <c r="E100" s="776" t="s">
        <v>1</v>
      </c>
      <c r="F100" s="782">
        <v>22.85</v>
      </c>
    </row>
    <row r="101" spans="2:6" ht="12.75" customHeight="1" x14ac:dyDescent="0.2">
      <c r="B101" s="775">
        <v>4792</v>
      </c>
      <c r="C101" s="1253" t="s">
        <v>988</v>
      </c>
      <c r="D101" s="1254"/>
      <c r="E101" s="776" t="s">
        <v>1</v>
      </c>
      <c r="F101" s="782">
        <v>18</v>
      </c>
    </row>
    <row r="102" spans="2:6" ht="12.75" customHeight="1" x14ac:dyDescent="0.2">
      <c r="B102" s="775">
        <v>4794</v>
      </c>
      <c r="C102" s="1253" t="s">
        <v>989</v>
      </c>
      <c r="D102" s="1254"/>
      <c r="E102" s="776" t="s">
        <v>1</v>
      </c>
      <c r="F102" s="782">
        <v>30</v>
      </c>
    </row>
    <row r="103" spans="2:6" ht="12.75" customHeight="1" x14ac:dyDescent="0.2">
      <c r="B103" s="775">
        <v>4796</v>
      </c>
      <c r="C103" s="1253" t="s">
        <v>990</v>
      </c>
      <c r="D103" s="1254"/>
      <c r="E103" s="776" t="s">
        <v>1</v>
      </c>
      <c r="F103" s="782">
        <v>60</v>
      </c>
    </row>
    <row r="104" spans="2:6" ht="12.75" customHeight="1" x14ac:dyDescent="0.2">
      <c r="B104" s="775">
        <v>4802</v>
      </c>
      <c r="C104" s="1253" t="s">
        <v>951</v>
      </c>
      <c r="D104" s="1254"/>
      <c r="E104" s="776" t="s">
        <v>1</v>
      </c>
      <c r="F104" s="782">
        <v>64</v>
      </c>
    </row>
    <row r="105" spans="2:6" ht="12.75" customHeight="1" x14ac:dyDescent="0.2">
      <c r="B105" s="775">
        <v>4804</v>
      </c>
      <c r="C105" s="1253" t="s">
        <v>806</v>
      </c>
      <c r="D105" s="1254"/>
      <c r="E105" s="776" t="s">
        <v>1</v>
      </c>
      <c r="F105" s="782">
        <v>50</v>
      </c>
    </row>
    <row r="106" spans="2:6" ht="12.75" customHeight="1" x14ac:dyDescent="0.2">
      <c r="B106" s="775">
        <v>4806</v>
      </c>
      <c r="C106" s="1253" t="s">
        <v>311</v>
      </c>
      <c r="D106" s="1254"/>
      <c r="E106" s="776" t="s">
        <v>1</v>
      </c>
      <c r="F106" s="782">
        <v>36</v>
      </c>
    </row>
    <row r="107" spans="2:6" ht="12.75" customHeight="1" x14ac:dyDescent="0.2">
      <c r="B107" s="775">
        <v>4808</v>
      </c>
      <c r="C107" s="1253" t="s">
        <v>2102</v>
      </c>
      <c r="D107" s="1254"/>
      <c r="E107" s="776" t="s">
        <v>1</v>
      </c>
      <c r="F107" s="782">
        <v>15.228</v>
      </c>
    </row>
    <row r="108" spans="2:6" x14ac:dyDescent="0.2">
      <c r="B108" s="775">
        <v>4809</v>
      </c>
      <c r="C108" s="1253" t="s">
        <v>991</v>
      </c>
      <c r="D108" s="1254"/>
      <c r="E108" s="776" t="s">
        <v>1</v>
      </c>
      <c r="F108" s="782">
        <v>30.5</v>
      </c>
    </row>
    <row r="109" spans="2:6" x14ac:dyDescent="0.2">
      <c r="B109" s="775">
        <v>4811</v>
      </c>
      <c r="C109" s="1253" t="s">
        <v>992</v>
      </c>
      <c r="D109" s="1254"/>
      <c r="E109" s="776" t="s">
        <v>1</v>
      </c>
      <c r="F109" s="782">
        <v>11.478</v>
      </c>
    </row>
    <row r="110" spans="2:6" x14ac:dyDescent="0.2">
      <c r="B110" s="775">
        <v>4812</v>
      </c>
      <c r="C110" s="1253" t="s">
        <v>993</v>
      </c>
      <c r="D110" s="1254"/>
      <c r="E110" s="776" t="s">
        <v>1</v>
      </c>
      <c r="F110" s="782">
        <v>64.942700000000002</v>
      </c>
    </row>
    <row r="111" spans="2:6" x14ac:dyDescent="0.2">
      <c r="B111" s="775">
        <v>4814</v>
      </c>
      <c r="C111" s="1253" t="s">
        <v>821</v>
      </c>
      <c r="D111" s="1254"/>
      <c r="E111" s="776" t="s">
        <v>3</v>
      </c>
      <c r="F111" s="782">
        <v>11.8512</v>
      </c>
    </row>
    <row r="112" spans="2:6" x14ac:dyDescent="0.2">
      <c r="B112" s="775">
        <v>4816</v>
      </c>
      <c r="C112" s="1253" t="s">
        <v>822</v>
      </c>
      <c r="D112" s="1254"/>
      <c r="E112" s="776" t="s">
        <v>3</v>
      </c>
      <c r="F112" s="782">
        <v>50.904000000000003</v>
      </c>
    </row>
    <row r="113" spans="2:6" x14ac:dyDescent="0.2">
      <c r="B113" s="775">
        <v>4821</v>
      </c>
      <c r="C113" s="1253" t="s">
        <v>994</v>
      </c>
      <c r="D113" s="1254"/>
      <c r="E113" s="776" t="s">
        <v>1</v>
      </c>
      <c r="F113" s="782">
        <v>72.338300000000004</v>
      </c>
    </row>
    <row r="114" spans="2:6" x14ac:dyDescent="0.2">
      <c r="B114" s="775">
        <v>4823</v>
      </c>
      <c r="C114" s="1253" t="s">
        <v>818</v>
      </c>
      <c r="D114" s="1254"/>
      <c r="E114" s="776" t="s">
        <v>1</v>
      </c>
      <c r="F114" s="782">
        <v>59.163800000000002</v>
      </c>
    </row>
    <row r="115" spans="2:6" x14ac:dyDescent="0.2">
      <c r="B115" s="775">
        <v>4828</v>
      </c>
      <c r="C115" s="1253" t="s">
        <v>816</v>
      </c>
      <c r="D115" s="1254"/>
      <c r="E115" s="776" t="s">
        <v>1</v>
      </c>
      <c r="F115" s="784">
        <v>115.566</v>
      </c>
    </row>
    <row r="116" spans="2:6" x14ac:dyDescent="0.2">
      <c r="B116" s="775">
        <v>4831</v>
      </c>
      <c r="C116" s="1253" t="s">
        <v>995</v>
      </c>
      <c r="D116" s="1254"/>
      <c r="E116" s="776" t="s">
        <v>1</v>
      </c>
      <c r="F116" s="784">
        <v>509.98950000000002</v>
      </c>
    </row>
    <row r="117" spans="2:6" x14ac:dyDescent="0.2">
      <c r="B117" s="775">
        <v>4832</v>
      </c>
      <c r="C117" s="1253" t="s">
        <v>949</v>
      </c>
      <c r="D117" s="1254"/>
      <c r="E117" s="776" t="s">
        <v>1</v>
      </c>
      <c r="F117" s="784">
        <v>115.566</v>
      </c>
    </row>
    <row r="118" spans="2:6" x14ac:dyDescent="0.2">
      <c r="B118" s="775">
        <v>4833</v>
      </c>
      <c r="C118" s="1253" t="s">
        <v>996</v>
      </c>
      <c r="D118" s="1254"/>
      <c r="E118" s="776" t="s">
        <v>1</v>
      </c>
      <c r="F118" s="782">
        <v>72.338300000000004</v>
      </c>
    </row>
    <row r="119" spans="2:6" x14ac:dyDescent="0.2">
      <c r="B119" s="775">
        <v>4834</v>
      </c>
      <c r="C119" s="1253" t="s">
        <v>817</v>
      </c>
      <c r="D119" s="1254"/>
      <c r="E119" s="776" t="s">
        <v>1</v>
      </c>
      <c r="F119" s="782">
        <v>77.066000000000003</v>
      </c>
    </row>
    <row r="120" spans="2:6" x14ac:dyDescent="0.2">
      <c r="B120" s="775">
        <v>4836</v>
      </c>
      <c r="C120" s="1253" t="s">
        <v>819</v>
      </c>
      <c r="D120" s="1254"/>
      <c r="E120" s="776" t="s">
        <v>1</v>
      </c>
      <c r="F120" s="782">
        <v>78.17</v>
      </c>
    </row>
    <row r="121" spans="2:6" x14ac:dyDescent="0.2">
      <c r="B121" s="775">
        <v>4838</v>
      </c>
      <c r="C121" s="1253" t="s">
        <v>997</v>
      </c>
      <c r="D121" s="1254"/>
      <c r="E121" s="776" t="s">
        <v>1</v>
      </c>
      <c r="F121" s="784">
        <v>110.8383</v>
      </c>
    </row>
    <row r="122" spans="2:6" x14ac:dyDescent="0.2">
      <c r="B122" s="775">
        <v>4839</v>
      </c>
      <c r="C122" s="1253" t="s">
        <v>851</v>
      </c>
      <c r="D122" s="1254"/>
      <c r="E122" s="776" t="s">
        <v>1</v>
      </c>
      <c r="F122" s="784">
        <v>115.566</v>
      </c>
    </row>
    <row r="123" spans="2:6" x14ac:dyDescent="0.2">
      <c r="B123" s="775">
        <v>4840</v>
      </c>
      <c r="C123" s="1253" t="s">
        <v>852</v>
      </c>
      <c r="D123" s="1254"/>
      <c r="E123" s="776" t="s">
        <v>1</v>
      </c>
      <c r="F123" s="784">
        <v>115.566</v>
      </c>
    </row>
    <row r="124" spans="2:6" x14ac:dyDescent="0.2">
      <c r="B124" s="775">
        <v>4841</v>
      </c>
      <c r="C124" s="1253" t="s">
        <v>828</v>
      </c>
      <c r="D124" s="1254"/>
      <c r="E124" s="776" t="s">
        <v>1</v>
      </c>
      <c r="F124" s="784">
        <v>101.2764</v>
      </c>
    </row>
    <row r="125" spans="2:6" x14ac:dyDescent="0.2">
      <c r="B125" s="775">
        <v>4843</v>
      </c>
      <c r="C125" s="1253" t="s">
        <v>998</v>
      </c>
      <c r="D125" s="1254"/>
      <c r="E125" s="776" t="s">
        <v>3</v>
      </c>
      <c r="F125" s="783">
        <v>7.6872999999999996</v>
      </c>
    </row>
    <row r="126" spans="2:6" x14ac:dyDescent="0.2">
      <c r="B126" s="775">
        <v>4844</v>
      </c>
      <c r="C126" s="1253" t="s">
        <v>824</v>
      </c>
      <c r="D126" s="1254"/>
      <c r="E126" s="776" t="s">
        <v>3</v>
      </c>
      <c r="F126" s="782">
        <v>55.911999999999999</v>
      </c>
    </row>
    <row r="127" spans="2:6" x14ac:dyDescent="0.2">
      <c r="B127" s="775">
        <v>4848</v>
      </c>
      <c r="C127" s="1253" t="s">
        <v>999</v>
      </c>
      <c r="D127" s="1254"/>
      <c r="E127" s="776" t="s">
        <v>1</v>
      </c>
      <c r="F127" s="782">
        <v>95.442300000000003</v>
      </c>
    </row>
    <row r="128" spans="2:6" x14ac:dyDescent="0.2">
      <c r="B128" s="775">
        <v>4849</v>
      </c>
      <c r="C128" s="1253" t="s">
        <v>820</v>
      </c>
      <c r="D128" s="1254"/>
      <c r="E128" s="776" t="s">
        <v>1</v>
      </c>
      <c r="F128" s="784">
        <v>100.17</v>
      </c>
    </row>
    <row r="129" spans="2:6" x14ac:dyDescent="0.2">
      <c r="B129" s="775">
        <v>4851</v>
      </c>
      <c r="C129" s="1253" t="s">
        <v>1000</v>
      </c>
      <c r="D129" s="1254"/>
      <c r="E129" s="776" t="s">
        <v>1</v>
      </c>
      <c r="F129" s="782">
        <v>95.442300000000003</v>
      </c>
    </row>
    <row r="130" spans="2:6" x14ac:dyDescent="0.2">
      <c r="B130" s="775">
        <v>4852</v>
      </c>
      <c r="C130" s="1253" t="s">
        <v>846</v>
      </c>
      <c r="D130" s="1254"/>
      <c r="E130" s="776" t="s">
        <v>1</v>
      </c>
      <c r="F130" s="784">
        <v>181.71080000000001</v>
      </c>
    </row>
    <row r="131" spans="2:6" x14ac:dyDescent="0.2">
      <c r="B131" s="775">
        <v>4854</v>
      </c>
      <c r="C131" s="1253" t="s">
        <v>847</v>
      </c>
      <c r="D131" s="1254"/>
      <c r="E131" s="776" t="s">
        <v>1</v>
      </c>
      <c r="F131" s="784">
        <v>115.566</v>
      </c>
    </row>
    <row r="132" spans="2:6" x14ac:dyDescent="0.2">
      <c r="B132" s="775">
        <v>4855</v>
      </c>
      <c r="C132" s="1253" t="s">
        <v>848</v>
      </c>
      <c r="D132" s="1254"/>
      <c r="E132" s="776" t="s">
        <v>1</v>
      </c>
      <c r="F132" s="782">
        <v>77.066000000000003</v>
      </c>
    </row>
    <row r="133" spans="2:6" x14ac:dyDescent="0.2">
      <c r="B133" s="775">
        <v>4856</v>
      </c>
      <c r="C133" s="1253" t="s">
        <v>834</v>
      </c>
      <c r="D133" s="1254"/>
      <c r="E133" s="776" t="s">
        <v>1</v>
      </c>
      <c r="F133" s="782">
        <v>42.5</v>
      </c>
    </row>
    <row r="134" spans="2:6" ht="12.75" customHeight="1" x14ac:dyDescent="0.2">
      <c r="B134" s="775">
        <v>4858</v>
      </c>
      <c r="C134" s="1253" t="s">
        <v>1001</v>
      </c>
      <c r="D134" s="1254"/>
      <c r="E134" s="776" t="s">
        <v>1</v>
      </c>
      <c r="F134" s="782">
        <v>22</v>
      </c>
    </row>
    <row r="135" spans="2:6" ht="12.75" customHeight="1" x14ac:dyDescent="0.2">
      <c r="B135" s="775">
        <v>4860</v>
      </c>
      <c r="C135" s="1253" t="s">
        <v>832</v>
      </c>
      <c r="D135" s="1254"/>
      <c r="E135" s="776" t="s">
        <v>1</v>
      </c>
      <c r="F135" s="782">
        <v>22</v>
      </c>
    </row>
    <row r="136" spans="2:6" ht="12.75" customHeight="1" x14ac:dyDescent="0.2">
      <c r="B136" s="775">
        <v>4863</v>
      </c>
      <c r="C136" s="1253" t="s">
        <v>833</v>
      </c>
      <c r="D136" s="1254"/>
      <c r="E136" s="776" t="s">
        <v>1</v>
      </c>
      <c r="F136" s="782">
        <v>32.6</v>
      </c>
    </row>
    <row r="137" spans="2:6" ht="12.75" customHeight="1" x14ac:dyDescent="0.2">
      <c r="B137" s="775">
        <v>4864</v>
      </c>
      <c r="C137" s="1253" t="s">
        <v>830</v>
      </c>
      <c r="D137" s="1254"/>
      <c r="E137" s="776" t="s">
        <v>1</v>
      </c>
      <c r="F137" s="782">
        <v>43.9572</v>
      </c>
    </row>
    <row r="138" spans="2:6" ht="12.75" customHeight="1" x14ac:dyDescent="0.2">
      <c r="B138" s="775">
        <v>4866</v>
      </c>
      <c r="C138" s="1253" t="s">
        <v>839</v>
      </c>
      <c r="D138" s="1254"/>
      <c r="E138" s="776" t="s">
        <v>1</v>
      </c>
      <c r="F138" s="782">
        <v>36.4</v>
      </c>
    </row>
    <row r="139" spans="2:6" ht="12.75" customHeight="1" x14ac:dyDescent="0.2">
      <c r="B139" s="775">
        <v>4868</v>
      </c>
      <c r="C139" s="1253" t="s">
        <v>831</v>
      </c>
      <c r="D139" s="1254"/>
      <c r="E139" s="776" t="s">
        <v>1</v>
      </c>
      <c r="F139" s="782">
        <v>43.9572</v>
      </c>
    </row>
    <row r="140" spans="2:6" x14ac:dyDescent="0.2">
      <c r="B140" s="775">
        <v>4870</v>
      </c>
      <c r="C140" s="1253" t="s">
        <v>837</v>
      </c>
      <c r="D140" s="1254"/>
      <c r="E140" s="776" t="s">
        <v>1</v>
      </c>
      <c r="F140" s="782">
        <v>29.5</v>
      </c>
    </row>
    <row r="141" spans="2:6" x14ac:dyDescent="0.2">
      <c r="B141" s="775">
        <v>4872</v>
      </c>
      <c r="C141" s="1253" t="s">
        <v>875</v>
      </c>
      <c r="D141" s="1254"/>
      <c r="E141" s="776" t="s">
        <v>3</v>
      </c>
      <c r="F141" s="782">
        <v>63.05</v>
      </c>
    </row>
    <row r="142" spans="2:6" x14ac:dyDescent="0.2">
      <c r="B142" s="775">
        <v>4874</v>
      </c>
      <c r="C142" s="1253" t="s">
        <v>1002</v>
      </c>
      <c r="D142" s="1254"/>
      <c r="E142" s="776" t="s">
        <v>3</v>
      </c>
      <c r="F142" s="782">
        <v>59.81</v>
      </c>
    </row>
    <row r="143" spans="2:6" x14ac:dyDescent="0.2">
      <c r="B143" s="775">
        <v>4876</v>
      </c>
      <c r="C143" s="1253" t="s">
        <v>1003</v>
      </c>
      <c r="D143" s="1254"/>
      <c r="E143" s="776" t="s">
        <v>250</v>
      </c>
      <c r="F143" s="781">
        <v>34657.47</v>
      </c>
    </row>
    <row r="144" spans="2:6" x14ac:dyDescent="0.2">
      <c r="B144" s="775">
        <v>4878</v>
      </c>
      <c r="C144" s="1253" t="s">
        <v>245</v>
      </c>
      <c r="D144" s="1254"/>
      <c r="E144" s="776" t="s">
        <v>250</v>
      </c>
      <c r="F144" s="781">
        <v>14960.57</v>
      </c>
    </row>
    <row r="145" spans="2:6" ht="12.75" customHeight="1" x14ac:dyDescent="0.2">
      <c r="B145" s="775">
        <v>4880</v>
      </c>
      <c r="C145" s="1253" t="s">
        <v>916</v>
      </c>
      <c r="D145" s="1254"/>
      <c r="E145" s="776" t="s">
        <v>2</v>
      </c>
      <c r="F145" s="779">
        <v>1139.3603000000001</v>
      </c>
    </row>
    <row r="146" spans="2:6" ht="12.75" customHeight="1" x14ac:dyDescent="0.2">
      <c r="B146" s="775">
        <v>4882</v>
      </c>
      <c r="C146" s="1253" t="s">
        <v>917</v>
      </c>
      <c r="D146" s="1254"/>
      <c r="E146" s="776" t="s">
        <v>2</v>
      </c>
      <c r="F146" s="779">
        <v>1139.3603000000001</v>
      </c>
    </row>
    <row r="147" spans="2:6" ht="12.75" customHeight="1" x14ac:dyDescent="0.2">
      <c r="B147" s="775">
        <v>4884</v>
      </c>
      <c r="C147" s="1253" t="s">
        <v>918</v>
      </c>
      <c r="D147" s="1254"/>
      <c r="E147" s="776" t="s">
        <v>2</v>
      </c>
      <c r="F147" s="779">
        <v>1139.3603000000001</v>
      </c>
    </row>
    <row r="148" spans="2:6" ht="12.75" customHeight="1" x14ac:dyDescent="0.2">
      <c r="B148" s="775">
        <v>4886</v>
      </c>
      <c r="C148" s="1253" t="s">
        <v>919</v>
      </c>
      <c r="D148" s="1254"/>
      <c r="E148" s="776" t="s">
        <v>2</v>
      </c>
      <c r="F148" s="779">
        <v>2300.8002999999999</v>
      </c>
    </row>
    <row r="149" spans="2:6" ht="12.75" customHeight="1" x14ac:dyDescent="0.2">
      <c r="B149" s="775">
        <v>4888</v>
      </c>
      <c r="C149" s="1253" t="s">
        <v>1004</v>
      </c>
      <c r="D149" s="1254"/>
      <c r="E149" s="776" t="s">
        <v>2</v>
      </c>
      <c r="F149" s="779">
        <v>1189.9802999999999</v>
      </c>
    </row>
    <row r="150" spans="2:6" ht="12.75" customHeight="1" x14ac:dyDescent="0.2">
      <c r="B150" s="775">
        <v>4890</v>
      </c>
      <c r="C150" s="1253" t="s">
        <v>1005</v>
      </c>
      <c r="D150" s="1254"/>
      <c r="E150" s="776" t="s">
        <v>2</v>
      </c>
      <c r="F150" s="779">
        <v>1499.5202999999999</v>
      </c>
    </row>
    <row r="151" spans="2:6" x14ac:dyDescent="0.2">
      <c r="B151" s="775">
        <v>4892</v>
      </c>
      <c r="C151" s="1253" t="s">
        <v>1450</v>
      </c>
      <c r="D151" s="1254"/>
      <c r="E151" s="776" t="s">
        <v>2</v>
      </c>
      <c r="F151" s="779">
        <v>1144</v>
      </c>
    </row>
    <row r="152" spans="2:6" x14ac:dyDescent="0.2">
      <c r="B152" s="775">
        <v>4894</v>
      </c>
      <c r="C152" s="1253" t="s">
        <v>937</v>
      </c>
      <c r="D152" s="1254"/>
      <c r="E152" s="776" t="s">
        <v>1</v>
      </c>
      <c r="F152" s="784">
        <v>497.89</v>
      </c>
    </row>
    <row r="153" spans="2:6" x14ac:dyDescent="0.2">
      <c r="B153" s="775">
        <v>4896</v>
      </c>
      <c r="C153" s="1253" t="s">
        <v>1006</v>
      </c>
      <c r="D153" s="1254"/>
      <c r="E153" s="776" t="s">
        <v>250</v>
      </c>
      <c r="F153" s="784">
        <v>125</v>
      </c>
    </row>
    <row r="154" spans="2:6" x14ac:dyDescent="0.2">
      <c r="B154" s="775">
        <v>4898</v>
      </c>
      <c r="C154" s="1253" t="s">
        <v>1007</v>
      </c>
      <c r="D154" s="1254"/>
      <c r="E154" s="776" t="s">
        <v>2</v>
      </c>
      <c r="F154" s="784">
        <v>130</v>
      </c>
    </row>
    <row r="155" spans="2:6" ht="12.75" customHeight="1" x14ac:dyDescent="0.2">
      <c r="B155" s="775">
        <v>4900</v>
      </c>
      <c r="C155" s="1253" t="s">
        <v>1008</v>
      </c>
      <c r="D155" s="1254"/>
      <c r="E155" s="776" t="s">
        <v>1</v>
      </c>
      <c r="F155" s="782">
        <v>17.651299999999999</v>
      </c>
    </row>
    <row r="156" spans="2:6" ht="12.75" customHeight="1" x14ac:dyDescent="0.2">
      <c r="B156" s="775">
        <v>4903</v>
      </c>
      <c r="C156" s="1253" t="s">
        <v>1009</v>
      </c>
      <c r="D156" s="1254"/>
      <c r="E156" s="776" t="s">
        <v>3</v>
      </c>
      <c r="F156" s="782">
        <v>59</v>
      </c>
    </row>
    <row r="157" spans="2:6" ht="12.75" customHeight="1" x14ac:dyDescent="0.2">
      <c r="B157" s="775">
        <v>4905</v>
      </c>
      <c r="C157" s="1253" t="s">
        <v>878</v>
      </c>
      <c r="D157" s="1254"/>
      <c r="E157" s="776" t="s">
        <v>3</v>
      </c>
      <c r="F157" s="782">
        <v>75</v>
      </c>
    </row>
    <row r="158" spans="2:6" ht="12.75" customHeight="1" x14ac:dyDescent="0.2">
      <c r="B158" s="775">
        <v>4909</v>
      </c>
      <c r="C158" s="1253" t="s">
        <v>1010</v>
      </c>
      <c r="D158" s="1254"/>
      <c r="E158" s="776" t="s">
        <v>1</v>
      </c>
      <c r="F158" s="783">
        <v>4.7039999999999997</v>
      </c>
    </row>
    <row r="159" spans="2:6" ht="12.75" customHeight="1" x14ac:dyDescent="0.2">
      <c r="B159" s="775">
        <v>4910</v>
      </c>
      <c r="C159" s="1253" t="s">
        <v>1011</v>
      </c>
      <c r="D159" s="1254"/>
      <c r="E159" s="776" t="s">
        <v>1</v>
      </c>
      <c r="F159" s="783">
        <v>5.7165999999999997</v>
      </c>
    </row>
    <row r="160" spans="2:6" ht="12.75" customHeight="1" x14ac:dyDescent="0.2">
      <c r="B160" s="775">
        <v>4911</v>
      </c>
      <c r="C160" s="1253" t="s">
        <v>1520</v>
      </c>
      <c r="D160" s="1254"/>
      <c r="E160" s="776" t="s">
        <v>1</v>
      </c>
      <c r="F160" s="782">
        <v>17.0505</v>
      </c>
    </row>
    <row r="161" spans="2:6" ht="12.75" customHeight="1" x14ac:dyDescent="0.2">
      <c r="B161" s="775">
        <v>4913</v>
      </c>
      <c r="C161" s="1253" t="s">
        <v>1012</v>
      </c>
      <c r="D161" s="1254"/>
      <c r="E161" s="776" t="s">
        <v>1</v>
      </c>
      <c r="F161" s="784">
        <v>181.40860000000001</v>
      </c>
    </row>
    <row r="162" spans="2:6" ht="12.75" customHeight="1" x14ac:dyDescent="0.2">
      <c r="B162" s="775">
        <v>4914</v>
      </c>
      <c r="C162" s="1253" t="s">
        <v>1013</v>
      </c>
      <c r="D162" s="1254"/>
      <c r="E162" s="776" t="s">
        <v>1</v>
      </c>
      <c r="F162" s="783">
        <v>2.9333</v>
      </c>
    </row>
    <row r="163" spans="2:6" ht="12.75" customHeight="1" x14ac:dyDescent="0.2">
      <c r="B163" s="775">
        <v>4915</v>
      </c>
      <c r="C163" s="1253" t="s">
        <v>1014</v>
      </c>
      <c r="D163" s="1254"/>
      <c r="E163" s="776" t="s">
        <v>1</v>
      </c>
      <c r="F163" s="782">
        <v>11.988</v>
      </c>
    </row>
    <row r="164" spans="2:6" ht="12.75" customHeight="1" x14ac:dyDescent="0.2">
      <c r="B164" s="775">
        <v>4916</v>
      </c>
      <c r="C164" s="1253" t="s">
        <v>1521</v>
      </c>
      <c r="D164" s="1254"/>
      <c r="E164" s="776" t="s">
        <v>1</v>
      </c>
      <c r="F164" s="782">
        <v>52</v>
      </c>
    </row>
    <row r="165" spans="2:6" x14ac:dyDescent="0.2">
      <c r="B165" s="775">
        <v>4920</v>
      </c>
      <c r="C165" s="1253" t="s">
        <v>1519</v>
      </c>
      <c r="D165" s="1254"/>
      <c r="E165" s="776" t="s">
        <v>1</v>
      </c>
      <c r="F165" s="782">
        <v>46</v>
      </c>
    </row>
    <row r="166" spans="2:6" x14ac:dyDescent="0.2">
      <c r="B166" s="775">
        <v>4922</v>
      </c>
      <c r="C166" s="1253" t="s">
        <v>1015</v>
      </c>
      <c r="D166" s="1254"/>
      <c r="E166" s="776" t="s">
        <v>3</v>
      </c>
      <c r="F166" s="782">
        <v>42.620600000000003</v>
      </c>
    </row>
    <row r="167" spans="2:6" x14ac:dyDescent="0.2">
      <c r="B167" s="775">
        <v>4925</v>
      </c>
      <c r="C167" s="1253" t="s">
        <v>1665</v>
      </c>
      <c r="D167" s="1254"/>
      <c r="E167" s="776" t="s">
        <v>3</v>
      </c>
      <c r="F167" s="782">
        <v>15</v>
      </c>
    </row>
    <row r="168" spans="2:6" x14ac:dyDescent="0.2">
      <c r="B168" s="775">
        <v>4926</v>
      </c>
      <c r="C168" s="1253" t="s">
        <v>1016</v>
      </c>
      <c r="D168" s="1254"/>
      <c r="E168" s="776" t="s">
        <v>2</v>
      </c>
      <c r="F168" s="780">
        <v>445000</v>
      </c>
    </row>
    <row r="169" spans="2:6" x14ac:dyDescent="0.2">
      <c r="B169" s="775">
        <v>4928</v>
      </c>
      <c r="C169" s="1253" t="s">
        <v>1017</v>
      </c>
      <c r="D169" s="1254"/>
      <c r="E169" s="776" t="s">
        <v>250</v>
      </c>
      <c r="F169" s="1230">
        <v>1091818.3799999999</v>
      </c>
    </row>
    <row r="170" spans="2:6" x14ac:dyDescent="0.2">
      <c r="B170" s="775">
        <v>4932</v>
      </c>
      <c r="C170" s="1253" t="s">
        <v>281</v>
      </c>
      <c r="D170" s="1254"/>
      <c r="E170" s="776" t="s">
        <v>250</v>
      </c>
      <c r="F170" s="780">
        <v>217414.25</v>
      </c>
    </row>
    <row r="171" spans="2:6" x14ac:dyDescent="0.2">
      <c r="B171" s="775">
        <v>4935</v>
      </c>
      <c r="C171" s="1253" t="s">
        <v>1018</v>
      </c>
      <c r="D171" s="1254"/>
      <c r="E171" s="776" t="s">
        <v>250</v>
      </c>
      <c r="F171" s="780">
        <v>442011.59</v>
      </c>
    </row>
    <row r="172" spans="2:6" ht="12.75" customHeight="1" x14ac:dyDescent="0.2">
      <c r="B172" s="775">
        <v>4937</v>
      </c>
      <c r="C172" s="1253" t="s">
        <v>1019</v>
      </c>
      <c r="D172" s="1254"/>
      <c r="E172" s="776" t="s">
        <v>2</v>
      </c>
      <c r="F172" s="779">
        <v>1500</v>
      </c>
    </row>
    <row r="173" spans="2:6" ht="12.75" customHeight="1" x14ac:dyDescent="0.2">
      <c r="B173" s="775">
        <v>4939</v>
      </c>
      <c r="C173" s="1253" t="s">
        <v>1020</v>
      </c>
      <c r="D173" s="1254"/>
      <c r="E173" s="776" t="s">
        <v>3</v>
      </c>
      <c r="F173" s="783">
        <v>0.55000000000000004</v>
      </c>
    </row>
    <row r="174" spans="2:6" ht="12.75" customHeight="1" x14ac:dyDescent="0.2">
      <c r="B174" s="775">
        <v>4940</v>
      </c>
      <c r="C174" s="1253" t="s">
        <v>1021</v>
      </c>
      <c r="D174" s="1254"/>
      <c r="E174" s="776" t="s">
        <v>3</v>
      </c>
      <c r="F174" s="783">
        <v>0.55000000000000004</v>
      </c>
    </row>
    <row r="175" spans="2:6" ht="12.75" customHeight="1" x14ac:dyDescent="0.2">
      <c r="B175" s="775">
        <v>4941</v>
      </c>
      <c r="C175" s="1253" t="s">
        <v>1444</v>
      </c>
      <c r="D175" s="1254"/>
      <c r="E175" s="776" t="s">
        <v>4</v>
      </c>
      <c r="F175" s="784">
        <v>557.50199999999995</v>
      </c>
    </row>
    <row r="176" spans="2:6" ht="12.75" customHeight="1" x14ac:dyDescent="0.2">
      <c r="B176" s="775">
        <v>4943</v>
      </c>
      <c r="C176" s="1253" t="s">
        <v>1443</v>
      </c>
      <c r="D176" s="1254"/>
      <c r="E176" s="776" t="s">
        <v>4</v>
      </c>
      <c r="F176" s="784">
        <v>565.90200000000004</v>
      </c>
    </row>
    <row r="177" spans="2:6" ht="12.75" customHeight="1" x14ac:dyDescent="0.2">
      <c r="B177" s="775">
        <v>4945</v>
      </c>
      <c r="C177" s="1253" t="s">
        <v>374</v>
      </c>
      <c r="D177" s="1254"/>
      <c r="E177" s="776" t="s">
        <v>5</v>
      </c>
      <c r="F177" s="783">
        <v>6.8216999999999999</v>
      </c>
    </row>
    <row r="178" spans="2:6" ht="12.75" customHeight="1" x14ac:dyDescent="0.2">
      <c r="B178" s="775">
        <v>4946</v>
      </c>
      <c r="C178" s="1253" t="s">
        <v>541</v>
      </c>
      <c r="D178" s="1254"/>
      <c r="E178" s="776" t="s">
        <v>3</v>
      </c>
      <c r="F178" s="784">
        <v>100</v>
      </c>
    </row>
    <row r="179" spans="2:6" ht="12.75" customHeight="1" x14ac:dyDescent="0.2">
      <c r="B179" s="775">
        <v>4948</v>
      </c>
      <c r="C179" s="1253" t="s">
        <v>1022</v>
      </c>
      <c r="D179" s="1254"/>
      <c r="E179" s="776" t="s">
        <v>3</v>
      </c>
      <c r="F179" s="782">
        <v>60</v>
      </c>
    </row>
    <row r="180" spans="2:6" ht="12.75" customHeight="1" x14ac:dyDescent="0.2">
      <c r="B180" s="775">
        <v>4950</v>
      </c>
      <c r="C180" s="1253" t="s">
        <v>941</v>
      </c>
      <c r="D180" s="1254"/>
      <c r="E180" s="776" t="s">
        <v>4</v>
      </c>
      <c r="F180" s="784">
        <v>716.00199999999995</v>
      </c>
    </row>
    <row r="181" spans="2:6" ht="12.75" customHeight="1" x14ac:dyDescent="0.2">
      <c r="B181" s="775">
        <v>4955</v>
      </c>
      <c r="C181" s="1253" t="s">
        <v>1451</v>
      </c>
      <c r="D181" s="1254"/>
      <c r="E181" s="776" t="s">
        <v>4</v>
      </c>
      <c r="F181" s="784">
        <v>557.50199999999995</v>
      </c>
    </row>
    <row r="182" spans="2:6" x14ac:dyDescent="0.2">
      <c r="B182" s="775">
        <v>4958</v>
      </c>
      <c r="C182" s="1253" t="s">
        <v>1023</v>
      </c>
      <c r="D182" s="1254"/>
      <c r="E182" s="776" t="s">
        <v>3</v>
      </c>
      <c r="F182" s="782">
        <v>45.340299999999999</v>
      </c>
    </row>
    <row r="183" spans="2:6" x14ac:dyDescent="0.2">
      <c r="B183" s="775">
        <v>4990</v>
      </c>
      <c r="C183" s="1253" t="s">
        <v>1024</v>
      </c>
      <c r="D183" s="1254"/>
      <c r="E183" s="776" t="s">
        <v>1</v>
      </c>
      <c r="F183" s="782">
        <v>12.78</v>
      </c>
    </row>
    <row r="184" spans="2:6" x14ac:dyDescent="0.2">
      <c r="B184" s="775">
        <v>4997</v>
      </c>
      <c r="C184" s="1253" t="s">
        <v>534</v>
      </c>
      <c r="D184" s="1254"/>
      <c r="E184" s="776" t="s">
        <v>4</v>
      </c>
      <c r="F184" s="784">
        <v>197.73599999999999</v>
      </c>
    </row>
    <row r="185" spans="2:6" x14ac:dyDescent="0.2">
      <c r="B185" s="775">
        <v>4998</v>
      </c>
      <c r="C185" s="1253" t="s">
        <v>1025</v>
      </c>
      <c r="D185" s="1254"/>
      <c r="E185" s="776" t="s">
        <v>2</v>
      </c>
      <c r="F185" s="784">
        <v>905</v>
      </c>
    </row>
    <row r="186" spans="2:6" x14ac:dyDescent="0.2">
      <c r="B186" s="775">
        <v>5000</v>
      </c>
      <c r="C186" s="1253" t="s">
        <v>1026</v>
      </c>
      <c r="D186" s="1254"/>
      <c r="E186" s="776" t="s">
        <v>250</v>
      </c>
      <c r="F186" s="779">
        <v>4318.4399999999996</v>
      </c>
    </row>
    <row r="187" spans="2:6" x14ac:dyDescent="0.2">
      <c r="B187" s="775">
        <v>5039</v>
      </c>
      <c r="C187" s="1253" t="s">
        <v>1027</v>
      </c>
      <c r="D187" s="1254"/>
      <c r="E187" s="776" t="s">
        <v>250</v>
      </c>
      <c r="F187" s="781">
        <v>68095.67</v>
      </c>
    </row>
    <row r="188" spans="2:6" x14ac:dyDescent="0.2">
      <c r="B188" s="775">
        <v>5044</v>
      </c>
      <c r="C188" s="1253" t="s">
        <v>1028</v>
      </c>
      <c r="D188" s="1254"/>
      <c r="E188" s="776" t="s">
        <v>250</v>
      </c>
      <c r="F188" s="781">
        <v>16904.330000000002</v>
      </c>
    </row>
    <row r="189" spans="2:6" x14ac:dyDescent="0.2">
      <c r="B189" s="775">
        <v>5087</v>
      </c>
      <c r="C189" s="1253" t="s">
        <v>836</v>
      </c>
      <c r="D189" s="1254"/>
      <c r="E189" s="776" t="s">
        <v>3</v>
      </c>
      <c r="F189" s="782">
        <v>37.5</v>
      </c>
    </row>
    <row r="190" spans="2:6" ht="12.75" customHeight="1" x14ac:dyDescent="0.2">
      <c r="B190" s="775">
        <v>5089</v>
      </c>
      <c r="C190" s="1253" t="s">
        <v>835</v>
      </c>
      <c r="D190" s="1254"/>
      <c r="E190" s="776" t="s">
        <v>3</v>
      </c>
      <c r="F190" s="782">
        <v>30</v>
      </c>
    </row>
    <row r="191" spans="2:6" ht="12.75" customHeight="1" x14ac:dyDescent="0.2">
      <c r="B191" s="775">
        <v>5134</v>
      </c>
      <c r="C191" s="1253" t="s">
        <v>857</v>
      </c>
      <c r="D191" s="1254"/>
      <c r="E191" s="776" t="s">
        <v>1</v>
      </c>
      <c r="F191" s="783">
        <v>2.6949999999999998</v>
      </c>
    </row>
    <row r="192" spans="2:6" ht="12.75" customHeight="1" x14ac:dyDescent="0.2">
      <c r="B192" s="775">
        <v>5138</v>
      </c>
      <c r="C192" s="1253" t="s">
        <v>1438</v>
      </c>
      <c r="D192" s="1254"/>
      <c r="E192" s="776" t="s">
        <v>2</v>
      </c>
      <c r="F192" s="782">
        <v>10.5</v>
      </c>
    </row>
    <row r="193" spans="2:6" ht="12.75" customHeight="1" x14ac:dyDescent="0.2">
      <c r="B193" s="775">
        <v>5140</v>
      </c>
      <c r="C193" s="1253" t="s">
        <v>543</v>
      </c>
      <c r="D193" s="1254"/>
      <c r="E193" s="776" t="s">
        <v>1</v>
      </c>
      <c r="F193" s="782">
        <v>82.228899999999996</v>
      </c>
    </row>
    <row r="194" spans="2:6" x14ac:dyDescent="0.2">
      <c r="B194" s="775">
        <v>5143</v>
      </c>
      <c r="C194" s="1253" t="s">
        <v>1029</v>
      </c>
      <c r="D194" s="1254"/>
      <c r="E194" s="776" t="s">
        <v>250</v>
      </c>
      <c r="F194" s="781">
        <v>40000</v>
      </c>
    </row>
    <row r="195" spans="2:6" x14ac:dyDescent="0.2">
      <c r="B195" s="775">
        <v>5144</v>
      </c>
      <c r="C195" s="1253" t="s">
        <v>1030</v>
      </c>
      <c r="D195" s="1254"/>
      <c r="E195" s="776" t="s">
        <v>250</v>
      </c>
      <c r="F195" s="781">
        <v>35000</v>
      </c>
    </row>
    <row r="196" spans="2:6" x14ac:dyDescent="0.2">
      <c r="B196" s="775">
        <v>5146</v>
      </c>
      <c r="C196" s="1253" t="s">
        <v>1031</v>
      </c>
      <c r="D196" s="1254"/>
      <c r="E196" s="776" t="s">
        <v>250</v>
      </c>
      <c r="F196" s="781">
        <v>40000</v>
      </c>
    </row>
    <row r="197" spans="2:6" x14ac:dyDescent="0.2">
      <c r="B197" s="775">
        <v>5453</v>
      </c>
      <c r="C197" s="1253" t="s">
        <v>1032</v>
      </c>
      <c r="D197" s="1254"/>
      <c r="E197" s="776" t="s">
        <v>250</v>
      </c>
      <c r="F197" s="781">
        <v>25000</v>
      </c>
    </row>
    <row r="198" spans="2:6" x14ac:dyDescent="0.2">
      <c r="B198" s="775">
        <v>5455</v>
      </c>
      <c r="C198" s="1253" t="s">
        <v>1033</v>
      </c>
      <c r="D198" s="1254"/>
      <c r="E198" s="776" t="s">
        <v>250</v>
      </c>
      <c r="F198" s="781">
        <v>33887.040000000001</v>
      </c>
    </row>
    <row r="199" spans="2:6" x14ac:dyDescent="0.2">
      <c r="B199" s="775">
        <v>5456</v>
      </c>
      <c r="C199" s="1253" t="s">
        <v>1034</v>
      </c>
      <c r="D199" s="1254"/>
      <c r="E199" s="776" t="s">
        <v>250</v>
      </c>
      <c r="F199" s="781">
        <v>71760.800000000003</v>
      </c>
    </row>
    <row r="200" spans="2:6" x14ac:dyDescent="0.2">
      <c r="B200" s="775">
        <v>5457</v>
      </c>
      <c r="C200" s="1253" t="s">
        <v>1035</v>
      </c>
      <c r="D200" s="1254"/>
      <c r="E200" s="776" t="s">
        <v>250</v>
      </c>
      <c r="F200" s="781">
        <v>14352.16</v>
      </c>
    </row>
    <row r="201" spans="2:6" x14ac:dyDescent="0.2">
      <c r="B201" s="775">
        <v>5461</v>
      </c>
      <c r="C201" s="1253" t="s">
        <v>1036</v>
      </c>
      <c r="D201" s="1254"/>
      <c r="E201" s="776" t="s">
        <v>250</v>
      </c>
      <c r="F201" s="779">
        <v>2760</v>
      </c>
    </row>
    <row r="202" spans="2:6" x14ac:dyDescent="0.2">
      <c r="B202" s="775">
        <v>5463</v>
      </c>
      <c r="C202" s="1253" t="s">
        <v>1037</v>
      </c>
      <c r="D202" s="1254"/>
      <c r="E202" s="776" t="s">
        <v>250</v>
      </c>
      <c r="F202" s="781">
        <v>10000</v>
      </c>
    </row>
    <row r="203" spans="2:6" x14ac:dyDescent="0.2">
      <c r="B203" s="775">
        <v>5465</v>
      </c>
      <c r="C203" s="1253" t="s">
        <v>1038</v>
      </c>
      <c r="D203" s="1254"/>
      <c r="E203" s="776" t="s">
        <v>250</v>
      </c>
      <c r="F203" s="781">
        <v>10000</v>
      </c>
    </row>
    <row r="204" spans="2:6" x14ac:dyDescent="0.2">
      <c r="B204" s="775">
        <v>5467</v>
      </c>
      <c r="C204" s="1253" t="s">
        <v>1039</v>
      </c>
      <c r="D204" s="1254"/>
      <c r="E204" s="776" t="s">
        <v>250</v>
      </c>
      <c r="F204" s="781">
        <v>10000</v>
      </c>
    </row>
    <row r="205" spans="2:6" x14ac:dyDescent="0.2">
      <c r="B205" s="775">
        <v>5469</v>
      </c>
      <c r="C205" s="1253" t="s">
        <v>1040</v>
      </c>
      <c r="D205" s="1254"/>
      <c r="E205" s="776" t="s">
        <v>250</v>
      </c>
      <c r="F205" s="781">
        <v>15000</v>
      </c>
    </row>
    <row r="206" spans="2:6" x14ac:dyDescent="0.2">
      <c r="B206" s="775">
        <v>5471</v>
      </c>
      <c r="C206" s="1253" t="s">
        <v>1041</v>
      </c>
      <c r="D206" s="1254"/>
      <c r="E206" s="776" t="s">
        <v>250</v>
      </c>
      <c r="F206" s="779">
        <v>9452.34</v>
      </c>
    </row>
    <row r="207" spans="2:6" x14ac:dyDescent="0.2">
      <c r="B207" s="775">
        <v>5473</v>
      </c>
      <c r="C207" s="1253" t="s">
        <v>1042</v>
      </c>
      <c r="D207" s="1254"/>
      <c r="E207" s="776" t="s">
        <v>961</v>
      </c>
      <c r="F207" s="779">
        <v>1039.8599999999999</v>
      </c>
    </row>
    <row r="208" spans="2:6" x14ac:dyDescent="0.2">
      <c r="B208" s="775">
        <v>5475</v>
      </c>
      <c r="C208" s="1253" t="s">
        <v>1043</v>
      </c>
      <c r="D208" s="1254"/>
      <c r="E208" s="776" t="s">
        <v>250</v>
      </c>
      <c r="F208" s="781">
        <v>63869</v>
      </c>
    </row>
    <row r="209" spans="2:6" x14ac:dyDescent="0.2">
      <c r="B209" s="775">
        <v>5477</v>
      </c>
      <c r="C209" s="1253" t="s">
        <v>1044</v>
      </c>
      <c r="D209" s="1254"/>
      <c r="E209" s="776" t="s">
        <v>961</v>
      </c>
      <c r="F209" s="779">
        <v>3000</v>
      </c>
    </row>
    <row r="210" spans="2:6" x14ac:dyDescent="0.2">
      <c r="B210" s="775">
        <v>5479</v>
      </c>
      <c r="C210" s="1253" t="s">
        <v>1045</v>
      </c>
      <c r="D210" s="1254"/>
      <c r="E210" s="776" t="s">
        <v>250</v>
      </c>
      <c r="F210" s="780">
        <v>150000</v>
      </c>
    </row>
    <row r="211" spans="2:6" x14ac:dyDescent="0.2">
      <c r="B211" s="775">
        <v>5480</v>
      </c>
      <c r="C211" s="1253" t="s">
        <v>1046</v>
      </c>
      <c r="D211" s="1254"/>
      <c r="E211" s="776" t="s">
        <v>250</v>
      </c>
      <c r="F211" s="780">
        <v>150000</v>
      </c>
    </row>
    <row r="212" spans="2:6" x14ac:dyDescent="0.2">
      <c r="B212" s="775">
        <v>5485</v>
      </c>
      <c r="C212" s="1253" t="s">
        <v>1047</v>
      </c>
      <c r="D212" s="1254"/>
      <c r="E212" s="776" t="s">
        <v>961</v>
      </c>
      <c r="F212" s="784">
        <v>500</v>
      </c>
    </row>
    <row r="213" spans="2:6" x14ac:dyDescent="0.2">
      <c r="B213" s="775">
        <v>5488</v>
      </c>
      <c r="C213" s="1253" t="s">
        <v>1048</v>
      </c>
      <c r="D213" s="1254"/>
      <c r="E213" s="776" t="s">
        <v>961</v>
      </c>
      <c r="F213" s="784">
        <v>522.6</v>
      </c>
    </row>
    <row r="214" spans="2:6" x14ac:dyDescent="0.2">
      <c r="B214" s="775">
        <v>5490</v>
      </c>
      <c r="C214" s="1253" t="s">
        <v>1049</v>
      </c>
      <c r="D214" s="1254"/>
      <c r="E214" s="776" t="s">
        <v>250</v>
      </c>
      <c r="F214" s="781">
        <v>44000</v>
      </c>
    </row>
    <row r="215" spans="2:6" x14ac:dyDescent="0.2">
      <c r="B215" s="775">
        <v>5492</v>
      </c>
      <c r="C215" s="1253" t="s">
        <v>1050</v>
      </c>
      <c r="D215" s="1254"/>
      <c r="E215" s="776" t="s">
        <v>2</v>
      </c>
      <c r="F215" s="779">
        <v>1100</v>
      </c>
    </row>
    <row r="216" spans="2:6" x14ac:dyDescent="0.2">
      <c r="B216" s="775">
        <v>5493</v>
      </c>
      <c r="C216" s="1253" t="s">
        <v>1051</v>
      </c>
      <c r="D216" s="1254"/>
      <c r="E216" s="776" t="s">
        <v>2</v>
      </c>
      <c r="F216" s="784">
        <v>580</v>
      </c>
    </row>
    <row r="217" spans="2:6" x14ac:dyDescent="0.2">
      <c r="B217" s="775">
        <v>5494</v>
      </c>
      <c r="C217" s="1253" t="s">
        <v>1052</v>
      </c>
      <c r="D217" s="1254"/>
      <c r="E217" s="776" t="s">
        <v>2</v>
      </c>
      <c r="F217" s="784">
        <v>548</v>
      </c>
    </row>
    <row r="218" spans="2:6" x14ac:dyDescent="0.2">
      <c r="B218" s="775">
        <v>5496</v>
      </c>
      <c r="C218" s="1253" t="s">
        <v>1053</v>
      </c>
      <c r="D218" s="1254"/>
      <c r="E218" s="776" t="s">
        <v>250</v>
      </c>
      <c r="F218" s="779">
        <v>4500</v>
      </c>
    </row>
    <row r="219" spans="2:6" x14ac:dyDescent="0.2">
      <c r="B219" s="775">
        <v>5497</v>
      </c>
      <c r="C219" s="1253" t="s">
        <v>1054</v>
      </c>
      <c r="D219" s="1254"/>
      <c r="E219" s="776" t="s">
        <v>250</v>
      </c>
      <c r="F219" s="779">
        <v>4500</v>
      </c>
    </row>
    <row r="220" spans="2:6" ht="12.75" customHeight="1" x14ac:dyDescent="0.2">
      <c r="B220" s="775">
        <v>5500</v>
      </c>
      <c r="C220" s="1253" t="s">
        <v>1055</v>
      </c>
      <c r="D220" s="1254"/>
      <c r="E220" s="776" t="s">
        <v>250</v>
      </c>
      <c r="F220" s="781">
        <v>33000</v>
      </c>
    </row>
    <row r="221" spans="2:6" ht="12.75" customHeight="1" x14ac:dyDescent="0.2">
      <c r="B221" s="775">
        <v>5502</v>
      </c>
      <c r="C221" s="1253" t="s">
        <v>1056</v>
      </c>
      <c r="D221" s="1254"/>
      <c r="E221" s="776" t="s">
        <v>1</v>
      </c>
      <c r="F221" s="782">
        <v>93.723200000000006</v>
      </c>
    </row>
    <row r="222" spans="2:6" ht="12.75" customHeight="1" x14ac:dyDescent="0.2">
      <c r="B222" s="775">
        <v>5503</v>
      </c>
      <c r="C222" s="1253" t="s">
        <v>1057</v>
      </c>
      <c r="D222" s="1254"/>
      <c r="E222" s="776" t="s">
        <v>3</v>
      </c>
      <c r="F222" s="784">
        <v>138.67740000000001</v>
      </c>
    </row>
    <row r="223" spans="2:6" ht="12.75" customHeight="1" x14ac:dyDescent="0.2">
      <c r="B223" s="775">
        <v>5506</v>
      </c>
      <c r="C223" s="1253" t="s">
        <v>938</v>
      </c>
      <c r="D223" s="1254"/>
      <c r="E223" s="776" t="s">
        <v>5</v>
      </c>
      <c r="F223" s="783">
        <v>7.2195</v>
      </c>
    </row>
    <row r="224" spans="2:6" ht="12.75" customHeight="1" x14ac:dyDescent="0.2">
      <c r="B224" s="775">
        <v>5507</v>
      </c>
      <c r="C224" s="1253" t="s">
        <v>939</v>
      </c>
      <c r="D224" s="1254"/>
      <c r="E224" s="776" t="s">
        <v>5</v>
      </c>
      <c r="F224" s="783">
        <v>7.0294999999999996</v>
      </c>
    </row>
    <row r="225" spans="2:6" ht="12.75" customHeight="1" x14ac:dyDescent="0.2">
      <c r="B225" s="775">
        <v>5508</v>
      </c>
      <c r="C225" s="1253" t="s">
        <v>943</v>
      </c>
      <c r="D225" s="1254"/>
      <c r="E225" s="776" t="s">
        <v>5</v>
      </c>
      <c r="F225" s="783">
        <v>6.9195000000000002</v>
      </c>
    </row>
    <row r="226" spans="2:6" ht="12.75" customHeight="1" x14ac:dyDescent="0.2">
      <c r="B226" s="775">
        <v>5509</v>
      </c>
      <c r="C226" s="1253" t="s">
        <v>536</v>
      </c>
      <c r="D226" s="1254"/>
      <c r="E226" s="776" t="s">
        <v>250</v>
      </c>
      <c r="F226" s="781">
        <v>31800</v>
      </c>
    </row>
    <row r="227" spans="2:6" ht="12.75" customHeight="1" x14ac:dyDescent="0.2">
      <c r="B227" s="775">
        <v>5512</v>
      </c>
      <c r="C227" s="1253" t="s">
        <v>537</v>
      </c>
      <c r="D227" s="1254"/>
      <c r="E227" s="776" t="s">
        <v>2</v>
      </c>
      <c r="F227" s="779">
        <v>6000</v>
      </c>
    </row>
    <row r="228" spans="2:6" ht="12.75" customHeight="1" x14ac:dyDescent="0.2">
      <c r="B228" s="775">
        <v>5513</v>
      </c>
      <c r="C228" s="1253" t="s">
        <v>540</v>
      </c>
      <c r="D228" s="1254"/>
      <c r="E228" s="776" t="s">
        <v>3</v>
      </c>
      <c r="F228" s="782">
        <v>85</v>
      </c>
    </row>
    <row r="229" spans="2:6" ht="12.75" customHeight="1" x14ac:dyDescent="0.2">
      <c r="B229" s="775">
        <v>5515</v>
      </c>
      <c r="C229" s="1253" t="s">
        <v>1452</v>
      </c>
      <c r="D229" s="1254"/>
      <c r="E229" s="776" t="s">
        <v>1</v>
      </c>
      <c r="F229" s="782">
        <v>82.228899999999996</v>
      </c>
    </row>
    <row r="230" spans="2:6" ht="12.75" customHeight="1" x14ac:dyDescent="0.2">
      <c r="B230" s="775">
        <v>5516</v>
      </c>
      <c r="C230" s="1253" t="s">
        <v>942</v>
      </c>
      <c r="D230" s="1254"/>
      <c r="E230" s="776" t="s">
        <v>1</v>
      </c>
      <c r="F230" s="782">
        <v>89.870800000000003</v>
      </c>
    </row>
    <row r="231" spans="2:6" ht="12.75" customHeight="1" x14ac:dyDescent="0.2">
      <c r="B231" s="775">
        <v>5519</v>
      </c>
      <c r="C231" s="1253" t="s">
        <v>545</v>
      </c>
      <c r="D231" s="1254"/>
      <c r="E231" s="776" t="s">
        <v>1</v>
      </c>
      <c r="F231" s="782">
        <v>82.228899999999996</v>
      </c>
    </row>
    <row r="232" spans="2:6" ht="12.75" customHeight="1" x14ac:dyDescent="0.2">
      <c r="B232" s="775">
        <v>5521</v>
      </c>
      <c r="C232" s="1253" t="s">
        <v>1058</v>
      </c>
      <c r="D232" s="1254"/>
      <c r="E232" s="776" t="s">
        <v>961</v>
      </c>
      <c r="F232" s="781">
        <v>13041</v>
      </c>
    </row>
    <row r="233" spans="2:6" ht="12.75" customHeight="1" x14ac:dyDescent="0.2">
      <c r="B233" s="775">
        <v>5622</v>
      </c>
      <c r="C233" s="1253" t="s">
        <v>547</v>
      </c>
      <c r="D233" s="1254"/>
      <c r="E233" s="776" t="s">
        <v>1</v>
      </c>
      <c r="F233" s="782">
        <v>86.98</v>
      </c>
    </row>
    <row r="234" spans="2:6" ht="12.75" customHeight="1" x14ac:dyDescent="0.2">
      <c r="B234" s="775">
        <v>5623</v>
      </c>
      <c r="C234" s="1253" t="s">
        <v>1949</v>
      </c>
      <c r="D234" s="1254"/>
      <c r="E234" s="776" t="s">
        <v>1</v>
      </c>
      <c r="F234" s="782">
        <v>49.014000000000003</v>
      </c>
    </row>
    <row r="235" spans="2:6" x14ac:dyDescent="0.2">
      <c r="B235" s="775">
        <v>5624</v>
      </c>
      <c r="C235" s="1253" t="s">
        <v>546</v>
      </c>
      <c r="D235" s="1254"/>
      <c r="E235" s="776" t="s">
        <v>1</v>
      </c>
      <c r="F235" s="782">
        <v>23.852699999999999</v>
      </c>
    </row>
    <row r="236" spans="2:6" x14ac:dyDescent="0.2">
      <c r="B236" s="775">
        <v>5626</v>
      </c>
      <c r="C236" s="1253" t="s">
        <v>797</v>
      </c>
      <c r="D236" s="1254"/>
      <c r="E236" s="776" t="s">
        <v>1</v>
      </c>
      <c r="F236" s="783">
        <v>8.91</v>
      </c>
    </row>
    <row r="237" spans="2:6" x14ac:dyDescent="0.2">
      <c r="B237" s="775">
        <v>5627</v>
      </c>
      <c r="C237" s="1253" t="s">
        <v>1453</v>
      </c>
      <c r="D237" s="1254"/>
      <c r="E237" s="776" t="s">
        <v>1</v>
      </c>
      <c r="F237" s="782">
        <v>13.365</v>
      </c>
    </row>
    <row r="238" spans="2:6" x14ac:dyDescent="0.2">
      <c r="B238" s="775">
        <v>5628</v>
      </c>
      <c r="C238" s="1253" t="s">
        <v>1454</v>
      </c>
      <c r="D238" s="1254"/>
      <c r="E238" s="776" t="s">
        <v>1</v>
      </c>
      <c r="F238" s="782">
        <v>20.25</v>
      </c>
    </row>
    <row r="239" spans="2:6" x14ac:dyDescent="0.2">
      <c r="B239" s="775">
        <v>5629</v>
      </c>
      <c r="C239" s="1253" t="s">
        <v>214</v>
      </c>
      <c r="D239" s="1254"/>
      <c r="E239" s="776" t="s">
        <v>1</v>
      </c>
      <c r="F239" s="783">
        <v>5.1950000000000003</v>
      </c>
    </row>
    <row r="240" spans="2:6" x14ac:dyDescent="0.2">
      <c r="B240" s="775">
        <v>5630</v>
      </c>
      <c r="C240" s="1253" t="s">
        <v>801</v>
      </c>
      <c r="D240" s="1254"/>
      <c r="E240" s="776" t="s">
        <v>1</v>
      </c>
      <c r="F240" s="783">
        <v>4.4550000000000001</v>
      </c>
    </row>
    <row r="241" spans="2:6" x14ac:dyDescent="0.2">
      <c r="B241" s="775">
        <v>5631</v>
      </c>
      <c r="C241" s="1253" t="s">
        <v>1455</v>
      </c>
      <c r="D241" s="1254"/>
      <c r="E241" s="776" t="s">
        <v>1</v>
      </c>
      <c r="F241" s="783">
        <v>4.4550000000000001</v>
      </c>
    </row>
    <row r="242" spans="2:6" x14ac:dyDescent="0.2">
      <c r="B242" s="775">
        <v>5632</v>
      </c>
      <c r="C242" s="1253" t="s">
        <v>805</v>
      </c>
      <c r="D242" s="1254"/>
      <c r="E242" s="776" t="s">
        <v>1</v>
      </c>
      <c r="F242" s="782">
        <v>31.184999999999999</v>
      </c>
    </row>
    <row r="243" spans="2:6" x14ac:dyDescent="0.2">
      <c r="B243" s="775">
        <v>5633</v>
      </c>
      <c r="C243" s="1253" t="s">
        <v>276</v>
      </c>
      <c r="D243" s="1254"/>
      <c r="E243" s="776" t="s">
        <v>1</v>
      </c>
      <c r="F243" s="783">
        <v>5.1950000000000003</v>
      </c>
    </row>
    <row r="244" spans="2:6" x14ac:dyDescent="0.2">
      <c r="B244" s="775">
        <v>5635</v>
      </c>
      <c r="C244" s="1253" t="s">
        <v>823</v>
      </c>
      <c r="D244" s="1254"/>
      <c r="E244" s="776" t="s">
        <v>3</v>
      </c>
      <c r="F244" s="782">
        <v>28.404</v>
      </c>
    </row>
    <row r="245" spans="2:6" x14ac:dyDescent="0.2">
      <c r="B245" s="775">
        <v>5636</v>
      </c>
      <c r="C245" s="1253" t="s">
        <v>825</v>
      </c>
      <c r="D245" s="1254"/>
      <c r="E245" s="776" t="s">
        <v>3</v>
      </c>
      <c r="F245" s="782">
        <v>70.762</v>
      </c>
    </row>
    <row r="246" spans="2:6" x14ac:dyDescent="0.2">
      <c r="B246" s="775">
        <v>5637</v>
      </c>
      <c r="C246" s="1253" t="s">
        <v>849</v>
      </c>
      <c r="D246" s="1254"/>
      <c r="E246" s="776" t="s">
        <v>1</v>
      </c>
      <c r="F246" s="784">
        <v>461.06599999999997</v>
      </c>
    </row>
    <row r="247" spans="2:6" ht="12.75" customHeight="1" x14ac:dyDescent="0.2">
      <c r="B247" s="775">
        <v>5638</v>
      </c>
      <c r="C247" s="1253" t="s">
        <v>1663</v>
      </c>
      <c r="D247" s="1254"/>
      <c r="E247" s="776" t="s">
        <v>1</v>
      </c>
      <c r="F247" s="784">
        <v>498.45510000000002</v>
      </c>
    </row>
    <row r="248" spans="2:6" ht="12.75" customHeight="1" x14ac:dyDescent="0.2">
      <c r="B248" s="775">
        <v>5639</v>
      </c>
      <c r="C248" s="1253" t="s">
        <v>840</v>
      </c>
      <c r="D248" s="1254"/>
      <c r="E248" s="776" t="s">
        <v>1</v>
      </c>
      <c r="F248" s="783">
        <v>0</v>
      </c>
    </row>
    <row r="249" spans="2:6" ht="12.75" customHeight="1" x14ac:dyDescent="0.2">
      <c r="B249" s="775">
        <v>5640</v>
      </c>
      <c r="C249" s="1253" t="s">
        <v>854</v>
      </c>
      <c r="D249" s="1254"/>
      <c r="E249" s="776" t="s">
        <v>1</v>
      </c>
      <c r="F249" s="784">
        <v>100.17</v>
      </c>
    </row>
    <row r="250" spans="2:6" ht="12.75" customHeight="1" x14ac:dyDescent="0.2">
      <c r="B250" s="775">
        <v>5641</v>
      </c>
      <c r="C250" s="1253" t="s">
        <v>880</v>
      </c>
      <c r="D250" s="1254"/>
      <c r="E250" s="776" t="s">
        <v>1</v>
      </c>
      <c r="F250" s="783">
        <v>2.8378999999999999</v>
      </c>
    </row>
    <row r="251" spans="2:6" ht="12.75" customHeight="1" x14ac:dyDescent="0.2">
      <c r="B251" s="775">
        <v>5642</v>
      </c>
      <c r="C251" s="1253" t="s">
        <v>881</v>
      </c>
      <c r="D251" s="1254"/>
      <c r="E251" s="776" t="s">
        <v>1</v>
      </c>
      <c r="F251" s="782">
        <v>12</v>
      </c>
    </row>
    <row r="252" spans="2:6" x14ac:dyDescent="0.2">
      <c r="B252" s="775">
        <v>5645</v>
      </c>
      <c r="C252" s="1253" t="s">
        <v>950</v>
      </c>
      <c r="D252" s="1254"/>
      <c r="E252" s="776" t="s">
        <v>1</v>
      </c>
      <c r="F252" s="782">
        <v>22</v>
      </c>
    </row>
    <row r="253" spans="2:6" x14ac:dyDescent="0.2">
      <c r="B253" s="775">
        <v>5650</v>
      </c>
      <c r="C253" s="1253" t="s">
        <v>876</v>
      </c>
      <c r="D253" s="1254"/>
      <c r="E253" s="776" t="s">
        <v>3</v>
      </c>
      <c r="F253" s="784">
        <v>101.1904</v>
      </c>
    </row>
    <row r="254" spans="2:6" x14ac:dyDescent="0.2">
      <c r="B254" s="775">
        <v>5651</v>
      </c>
      <c r="C254" s="1253" t="s">
        <v>236</v>
      </c>
      <c r="D254" s="1254"/>
      <c r="E254" s="776" t="s">
        <v>1</v>
      </c>
      <c r="F254" s="784">
        <v>894.29</v>
      </c>
    </row>
    <row r="255" spans="2:6" x14ac:dyDescent="0.2">
      <c r="B255" s="775">
        <v>5653</v>
      </c>
      <c r="C255" s="1253" t="s">
        <v>921</v>
      </c>
      <c r="D255" s="1254"/>
      <c r="E255" s="776" t="s">
        <v>2</v>
      </c>
      <c r="F255" s="779">
        <v>6200</v>
      </c>
    </row>
    <row r="256" spans="2:6" ht="12.75" customHeight="1" x14ac:dyDescent="0.2">
      <c r="B256" s="775">
        <v>5654</v>
      </c>
      <c r="C256" s="1253" t="s">
        <v>1059</v>
      </c>
      <c r="D256" s="1254"/>
      <c r="E256" s="776" t="s">
        <v>2</v>
      </c>
      <c r="F256" s="784">
        <v>396.24</v>
      </c>
    </row>
    <row r="257" spans="2:6" ht="12.75" customHeight="1" x14ac:dyDescent="0.2">
      <c r="B257" s="775">
        <v>5655</v>
      </c>
      <c r="C257" s="1253" t="s">
        <v>1060</v>
      </c>
      <c r="D257" s="1254"/>
      <c r="E257" s="776" t="s">
        <v>3</v>
      </c>
      <c r="F257" s="784">
        <v>865.07</v>
      </c>
    </row>
    <row r="258" spans="2:6" ht="12.75" customHeight="1" x14ac:dyDescent="0.2">
      <c r="B258" s="775">
        <v>5657</v>
      </c>
      <c r="C258" s="1253" t="s">
        <v>238</v>
      </c>
      <c r="D258" s="1254"/>
      <c r="E258" s="776" t="s">
        <v>2</v>
      </c>
      <c r="F258" s="784">
        <v>500</v>
      </c>
    </row>
    <row r="259" spans="2:6" ht="12.75" customHeight="1" x14ac:dyDescent="0.2">
      <c r="B259" s="775">
        <v>5661</v>
      </c>
      <c r="C259" s="1253" t="s">
        <v>1061</v>
      </c>
      <c r="D259" s="1254"/>
      <c r="E259" s="776" t="s">
        <v>2</v>
      </c>
      <c r="F259" s="779">
        <v>2243</v>
      </c>
    </row>
    <row r="260" spans="2:6" ht="12.75" customHeight="1" x14ac:dyDescent="0.2">
      <c r="B260" s="775">
        <v>5663</v>
      </c>
      <c r="C260" s="1253" t="s">
        <v>1176</v>
      </c>
      <c r="D260" s="1254"/>
      <c r="E260" s="776" t="s">
        <v>1</v>
      </c>
      <c r="F260" s="783">
        <v>2.8022</v>
      </c>
    </row>
    <row r="261" spans="2:6" ht="12.75" customHeight="1" x14ac:dyDescent="0.2">
      <c r="B261" s="775">
        <v>5664</v>
      </c>
      <c r="C261" s="1253" t="s">
        <v>1177</v>
      </c>
      <c r="D261" s="1254"/>
      <c r="E261" s="776" t="s">
        <v>1</v>
      </c>
      <c r="F261" s="783">
        <v>2.8022</v>
      </c>
    </row>
    <row r="262" spans="2:6" x14ac:dyDescent="0.2">
      <c r="B262" s="775">
        <v>5665</v>
      </c>
      <c r="C262" s="1253" t="s">
        <v>1178</v>
      </c>
      <c r="D262" s="1254"/>
      <c r="E262" s="776" t="s">
        <v>1</v>
      </c>
      <c r="F262" s="782">
        <v>12.168799999999999</v>
      </c>
    </row>
    <row r="263" spans="2:6" ht="12.75" customHeight="1" x14ac:dyDescent="0.2">
      <c r="B263" s="775">
        <v>5666</v>
      </c>
      <c r="C263" s="1253" t="s">
        <v>1179</v>
      </c>
      <c r="D263" s="1254"/>
      <c r="E263" s="776" t="s">
        <v>1</v>
      </c>
      <c r="F263" s="782">
        <v>16.5</v>
      </c>
    </row>
    <row r="264" spans="2:6" ht="12.75" customHeight="1" x14ac:dyDescent="0.2">
      <c r="B264" s="775">
        <v>5667</v>
      </c>
      <c r="C264" s="1253" t="s">
        <v>1522</v>
      </c>
      <c r="D264" s="1254"/>
      <c r="E264" s="776" t="s">
        <v>1</v>
      </c>
      <c r="F264" s="782">
        <v>18.876100000000001</v>
      </c>
    </row>
    <row r="265" spans="2:6" ht="12.75" customHeight="1" x14ac:dyDescent="0.2">
      <c r="B265" s="775">
        <v>5668</v>
      </c>
      <c r="C265" s="1253" t="s">
        <v>1523</v>
      </c>
      <c r="D265" s="1254"/>
      <c r="E265" s="776" t="s">
        <v>1</v>
      </c>
      <c r="F265" s="782">
        <v>23.2073</v>
      </c>
    </row>
    <row r="266" spans="2:6" ht="12.75" customHeight="1" x14ac:dyDescent="0.2">
      <c r="B266" s="775">
        <v>5669</v>
      </c>
      <c r="C266" s="1253" t="s">
        <v>1524</v>
      </c>
      <c r="D266" s="1254"/>
      <c r="E266" s="776" t="s">
        <v>1</v>
      </c>
      <c r="F266" s="782">
        <v>22.279199999999999</v>
      </c>
    </row>
    <row r="267" spans="2:6" ht="12.75" customHeight="1" x14ac:dyDescent="0.2">
      <c r="B267" s="775">
        <v>5670</v>
      </c>
      <c r="C267" s="1253" t="s">
        <v>1525</v>
      </c>
      <c r="D267" s="1254"/>
      <c r="E267" s="776" t="s">
        <v>1</v>
      </c>
      <c r="F267" s="782">
        <v>23.742599999999999</v>
      </c>
    </row>
    <row r="268" spans="2:6" ht="12.75" customHeight="1" x14ac:dyDescent="0.2">
      <c r="B268" s="775">
        <v>5682</v>
      </c>
      <c r="C268" s="1253" t="s">
        <v>1421</v>
      </c>
      <c r="D268" s="1254"/>
      <c r="E268" s="776" t="s">
        <v>1</v>
      </c>
      <c r="F268" s="782">
        <v>82.228899999999996</v>
      </c>
    </row>
    <row r="269" spans="2:6" ht="12.75" customHeight="1" x14ac:dyDescent="0.2">
      <c r="B269" s="775">
        <v>5683</v>
      </c>
      <c r="C269" s="1253" t="s">
        <v>2109</v>
      </c>
      <c r="D269" s="1254"/>
      <c r="E269" s="776" t="s">
        <v>1</v>
      </c>
      <c r="F269" s="784">
        <v>131.5352</v>
      </c>
    </row>
    <row r="270" spans="2:6" ht="12.75" customHeight="1" x14ac:dyDescent="0.2">
      <c r="B270" s="775">
        <v>5684</v>
      </c>
      <c r="C270" s="1253" t="s">
        <v>1441</v>
      </c>
      <c r="D270" s="1254"/>
      <c r="E270" s="776" t="s">
        <v>1</v>
      </c>
      <c r="F270" s="782">
        <v>78.6708</v>
      </c>
    </row>
    <row r="271" spans="2:6" ht="12.75" customHeight="1" x14ac:dyDescent="0.2">
      <c r="B271" s="775">
        <v>5706</v>
      </c>
      <c r="C271" s="1253" t="s">
        <v>1526</v>
      </c>
      <c r="D271" s="1254"/>
      <c r="E271" s="776" t="s">
        <v>1</v>
      </c>
      <c r="F271" s="782">
        <v>38</v>
      </c>
    </row>
    <row r="272" spans="2:6" x14ac:dyDescent="0.2">
      <c r="B272" s="775">
        <v>5714</v>
      </c>
      <c r="C272" s="1253" t="s">
        <v>1181</v>
      </c>
      <c r="D272" s="1254"/>
      <c r="E272" s="776" t="s">
        <v>1</v>
      </c>
      <c r="F272" s="784">
        <v>234.464</v>
      </c>
    </row>
    <row r="273" spans="2:6" x14ac:dyDescent="0.2">
      <c r="B273" s="775">
        <v>5715</v>
      </c>
      <c r="C273" s="1253" t="s">
        <v>1182</v>
      </c>
      <c r="D273" s="1254"/>
      <c r="E273" s="776" t="s">
        <v>1</v>
      </c>
      <c r="F273" s="784">
        <v>289.33</v>
      </c>
    </row>
    <row r="274" spans="2:6" x14ac:dyDescent="0.2">
      <c r="B274" s="775">
        <v>5718</v>
      </c>
      <c r="C274" s="1253" t="s">
        <v>1527</v>
      </c>
      <c r="D274" s="1254"/>
      <c r="E274" s="776" t="s">
        <v>1</v>
      </c>
      <c r="F274" s="782">
        <v>48</v>
      </c>
    </row>
    <row r="275" spans="2:6" x14ac:dyDescent="0.2">
      <c r="B275" s="775">
        <v>5720</v>
      </c>
      <c r="C275" s="1253" t="s">
        <v>285</v>
      </c>
      <c r="D275" s="1254"/>
      <c r="E275" s="776" t="s">
        <v>250</v>
      </c>
      <c r="F275" s="781">
        <v>43482.85</v>
      </c>
    </row>
    <row r="276" spans="2:6" ht="12.75" customHeight="1" x14ac:dyDescent="0.2">
      <c r="B276" s="775">
        <v>5722</v>
      </c>
      <c r="C276" s="1253" t="s">
        <v>286</v>
      </c>
      <c r="D276" s="1254"/>
      <c r="E276" s="776" t="s">
        <v>250</v>
      </c>
      <c r="F276" s="781">
        <v>34786.28</v>
      </c>
    </row>
    <row r="277" spans="2:6" x14ac:dyDescent="0.2">
      <c r="B277" s="775">
        <v>5725</v>
      </c>
      <c r="C277" s="1253" t="s">
        <v>1465</v>
      </c>
      <c r="D277" s="1254"/>
      <c r="E277" s="776" t="s">
        <v>1</v>
      </c>
      <c r="F277" s="782">
        <v>85.58</v>
      </c>
    </row>
    <row r="278" spans="2:6" x14ac:dyDescent="0.2">
      <c r="B278" s="775">
        <v>5726</v>
      </c>
      <c r="C278" s="1253" t="s">
        <v>1467</v>
      </c>
      <c r="D278" s="1254"/>
      <c r="E278" s="776" t="s">
        <v>1</v>
      </c>
      <c r="F278" s="783">
        <v>2.1960000000000002</v>
      </c>
    </row>
    <row r="279" spans="2:6" x14ac:dyDescent="0.2">
      <c r="B279" s="775">
        <v>5728</v>
      </c>
      <c r="C279" s="1253" t="s">
        <v>378</v>
      </c>
      <c r="D279" s="1254"/>
      <c r="E279" s="776" t="s">
        <v>2</v>
      </c>
      <c r="F279" s="783">
        <v>7.1207000000000003</v>
      </c>
    </row>
    <row r="280" spans="2:6" ht="12.75" customHeight="1" x14ac:dyDescent="0.2">
      <c r="B280" s="775">
        <v>5730</v>
      </c>
      <c r="C280" s="1253" t="s">
        <v>379</v>
      </c>
      <c r="D280" s="1254"/>
      <c r="E280" s="776" t="s">
        <v>2</v>
      </c>
      <c r="F280" s="782">
        <v>80</v>
      </c>
    </row>
    <row r="281" spans="2:6" x14ac:dyDescent="0.2">
      <c r="B281" s="775">
        <v>5732</v>
      </c>
      <c r="C281" s="1253" t="s">
        <v>1468</v>
      </c>
      <c r="D281" s="1254"/>
      <c r="E281" s="776" t="s">
        <v>1</v>
      </c>
      <c r="F281" s="782">
        <v>30</v>
      </c>
    </row>
    <row r="282" spans="2:6" ht="12.75" customHeight="1" x14ac:dyDescent="0.2">
      <c r="B282" s="775">
        <v>5734</v>
      </c>
      <c r="C282" s="1253" t="s">
        <v>1570</v>
      </c>
      <c r="D282" s="1254"/>
      <c r="E282" s="776" t="s">
        <v>1</v>
      </c>
      <c r="F282" s="782">
        <v>52.57</v>
      </c>
    </row>
    <row r="283" spans="2:6" ht="12.75" customHeight="1" x14ac:dyDescent="0.2">
      <c r="B283" s="775">
        <v>5738</v>
      </c>
      <c r="C283" s="1253" t="s">
        <v>1571</v>
      </c>
      <c r="D283" s="1254"/>
      <c r="E283" s="776" t="s">
        <v>1</v>
      </c>
      <c r="F283" s="782">
        <v>47</v>
      </c>
    </row>
    <row r="284" spans="2:6" x14ac:dyDescent="0.2">
      <c r="B284" s="775">
        <v>5741</v>
      </c>
      <c r="C284" s="1253" t="s">
        <v>1573</v>
      </c>
      <c r="D284" s="1254"/>
      <c r="E284" s="776" t="s">
        <v>1</v>
      </c>
      <c r="F284" s="782">
        <v>20</v>
      </c>
    </row>
    <row r="285" spans="2:6" x14ac:dyDescent="0.2">
      <c r="B285" s="775">
        <v>5742</v>
      </c>
      <c r="C285" s="1253" t="s">
        <v>1574</v>
      </c>
      <c r="D285" s="1254"/>
      <c r="E285" s="776" t="s">
        <v>1</v>
      </c>
      <c r="F285" s="782">
        <v>32</v>
      </c>
    </row>
    <row r="286" spans="2:6" x14ac:dyDescent="0.2">
      <c r="B286" s="775">
        <v>5743</v>
      </c>
      <c r="C286" s="1253" t="s">
        <v>1575</v>
      </c>
      <c r="D286" s="1254"/>
      <c r="E286" s="776" t="s">
        <v>1</v>
      </c>
      <c r="F286" s="782">
        <v>20</v>
      </c>
    </row>
    <row r="287" spans="2:6" x14ac:dyDescent="0.2">
      <c r="B287" s="775">
        <v>5746</v>
      </c>
      <c r="C287" s="1253" t="s">
        <v>931</v>
      </c>
      <c r="D287" s="1254"/>
      <c r="E287" s="776" t="s">
        <v>250</v>
      </c>
      <c r="F287" s="781">
        <v>28348.7</v>
      </c>
    </row>
    <row r="288" spans="2:6" x14ac:dyDescent="0.2">
      <c r="B288" s="775">
        <v>5748</v>
      </c>
      <c r="C288" s="1253" t="s">
        <v>290</v>
      </c>
      <c r="D288" s="1254"/>
      <c r="E288" s="776" t="s">
        <v>250</v>
      </c>
      <c r="F288" s="781">
        <v>47000</v>
      </c>
    </row>
    <row r="289" spans="2:6" x14ac:dyDescent="0.2">
      <c r="B289" s="775">
        <v>5750</v>
      </c>
      <c r="C289" s="1253" t="s">
        <v>1662</v>
      </c>
      <c r="D289" s="1254"/>
      <c r="E289" s="776" t="s">
        <v>1</v>
      </c>
      <c r="F289" s="782">
        <v>22</v>
      </c>
    </row>
    <row r="290" spans="2:6" x14ac:dyDescent="0.2">
      <c r="B290" s="775">
        <v>5753</v>
      </c>
      <c r="C290" s="1253" t="s">
        <v>882</v>
      </c>
      <c r="D290" s="1254"/>
      <c r="E290" s="776" t="s">
        <v>3</v>
      </c>
      <c r="F290" s="782">
        <v>12.6</v>
      </c>
    </row>
    <row r="291" spans="2:6" ht="12.75" customHeight="1" x14ac:dyDescent="0.2">
      <c r="B291" s="775">
        <v>5755</v>
      </c>
      <c r="C291" s="1253" t="s">
        <v>1664</v>
      </c>
      <c r="D291" s="1254"/>
      <c r="E291" s="776" t="s">
        <v>3</v>
      </c>
      <c r="F291" s="782">
        <v>50</v>
      </c>
    </row>
    <row r="292" spans="2:6" x14ac:dyDescent="0.2">
      <c r="B292" s="775">
        <v>5758</v>
      </c>
      <c r="C292" s="1253" t="s">
        <v>1690</v>
      </c>
      <c r="D292" s="1254"/>
      <c r="E292" s="776" t="s">
        <v>250</v>
      </c>
      <c r="F292" s="781">
        <v>35000</v>
      </c>
    </row>
    <row r="293" spans="2:6" x14ac:dyDescent="0.2">
      <c r="B293" s="775">
        <v>5760</v>
      </c>
      <c r="C293" s="1253" t="s">
        <v>383</v>
      </c>
      <c r="D293" s="1254"/>
      <c r="E293" s="776" t="s">
        <v>2</v>
      </c>
      <c r="F293" s="784">
        <v>550</v>
      </c>
    </row>
    <row r="294" spans="2:6" x14ac:dyDescent="0.2">
      <c r="B294" s="775">
        <v>5762</v>
      </c>
      <c r="C294" s="1253" t="s">
        <v>929</v>
      </c>
      <c r="D294" s="1254"/>
      <c r="E294" s="776" t="s">
        <v>250</v>
      </c>
      <c r="F294" s="781">
        <v>26969</v>
      </c>
    </row>
    <row r="295" spans="2:6" x14ac:dyDescent="0.2">
      <c r="B295" s="775">
        <v>5764</v>
      </c>
      <c r="C295" s="1253" t="s">
        <v>249</v>
      </c>
      <c r="D295" s="1254"/>
      <c r="E295" s="776" t="s">
        <v>250</v>
      </c>
      <c r="F295" s="780">
        <v>210958.44</v>
      </c>
    </row>
    <row r="296" spans="2:6" x14ac:dyDescent="0.2">
      <c r="B296" s="775">
        <v>5766</v>
      </c>
      <c r="C296" s="1253" t="s">
        <v>251</v>
      </c>
      <c r="D296" s="1254"/>
      <c r="E296" s="776" t="s">
        <v>250</v>
      </c>
      <c r="F296" s="781">
        <v>36876.47</v>
      </c>
    </row>
    <row r="297" spans="2:6" x14ac:dyDescent="0.2">
      <c r="B297" s="775">
        <v>5768</v>
      </c>
      <c r="C297" s="1253" t="s">
        <v>1667</v>
      </c>
      <c r="D297" s="1254"/>
      <c r="E297" s="776" t="s">
        <v>250</v>
      </c>
      <c r="F297" s="781">
        <v>52179.42</v>
      </c>
    </row>
    <row r="298" spans="2:6" x14ac:dyDescent="0.2">
      <c r="B298" s="775">
        <v>5770</v>
      </c>
      <c r="C298" s="1253" t="s">
        <v>280</v>
      </c>
      <c r="D298" s="1254"/>
      <c r="E298" s="776" t="s">
        <v>250</v>
      </c>
      <c r="F298" s="781">
        <v>13914.51</v>
      </c>
    </row>
    <row r="299" spans="2:6" x14ac:dyDescent="0.2">
      <c r="B299" s="775">
        <v>5773</v>
      </c>
      <c r="C299" s="1253" t="s">
        <v>1669</v>
      </c>
      <c r="D299" s="1254"/>
      <c r="E299" s="776" t="s">
        <v>2</v>
      </c>
      <c r="F299" s="779">
        <v>2100</v>
      </c>
    </row>
    <row r="300" spans="2:6" x14ac:dyDescent="0.2">
      <c r="B300" s="775">
        <v>5774</v>
      </c>
      <c r="C300" s="1253" t="s">
        <v>242</v>
      </c>
      <c r="D300" s="1254"/>
      <c r="E300" s="776" t="s">
        <v>3</v>
      </c>
      <c r="F300" s="782">
        <v>85.5</v>
      </c>
    </row>
    <row r="301" spans="2:6" ht="12.75" customHeight="1" x14ac:dyDescent="0.2">
      <c r="B301" s="775">
        <v>5777</v>
      </c>
      <c r="C301" s="1253" t="s">
        <v>1699</v>
      </c>
      <c r="D301" s="1254"/>
      <c r="E301" s="776" t="s">
        <v>250</v>
      </c>
      <c r="F301" s="780">
        <v>241320</v>
      </c>
    </row>
    <row r="302" spans="2:6" ht="12.75" customHeight="1" x14ac:dyDescent="0.2">
      <c r="B302" s="775">
        <v>5919</v>
      </c>
      <c r="C302" s="1253" t="s">
        <v>2103</v>
      </c>
      <c r="D302" s="1254"/>
      <c r="E302" s="776" t="s">
        <v>250</v>
      </c>
      <c r="F302" s="780">
        <v>187000</v>
      </c>
    </row>
    <row r="303" spans="2:6" ht="12.75" customHeight="1" x14ac:dyDescent="0.2">
      <c r="B303" s="775">
        <v>5920</v>
      </c>
      <c r="C303" s="1253" t="s">
        <v>2104</v>
      </c>
      <c r="D303" s="1254"/>
      <c r="E303" s="776" t="s">
        <v>250</v>
      </c>
      <c r="F303" s="780">
        <v>299693</v>
      </c>
    </row>
    <row r="304" spans="2:6" ht="12.75" customHeight="1" x14ac:dyDescent="0.2">
      <c r="B304" s="775">
        <v>5921</v>
      </c>
      <c r="C304" s="1253" t="s">
        <v>2105</v>
      </c>
      <c r="D304" s="1254"/>
      <c r="E304" s="776" t="s">
        <v>250</v>
      </c>
      <c r="F304" s="1230">
        <v>1565000</v>
      </c>
    </row>
    <row r="305" spans="2:6" x14ac:dyDescent="0.2">
      <c r="B305" s="777">
        <v>80000</v>
      </c>
      <c r="C305" s="1253" t="s">
        <v>1062</v>
      </c>
      <c r="D305" s="1254"/>
      <c r="E305" s="776" t="s">
        <v>250</v>
      </c>
      <c r="F305" s="779">
        <v>4134.83</v>
      </c>
    </row>
    <row r="306" spans="2:6" x14ac:dyDescent="0.2">
      <c r="B306" s="777">
        <v>80001</v>
      </c>
      <c r="C306" s="1253" t="s">
        <v>1063</v>
      </c>
      <c r="D306" s="1254"/>
      <c r="E306" s="776" t="s">
        <v>250</v>
      </c>
      <c r="F306" s="779">
        <v>9500</v>
      </c>
    </row>
    <row r="307" spans="2:6" x14ac:dyDescent="0.2">
      <c r="B307" s="777">
        <v>80002</v>
      </c>
      <c r="C307" s="1253" t="s">
        <v>1064</v>
      </c>
      <c r="D307" s="1254"/>
      <c r="E307" s="776" t="s">
        <v>250</v>
      </c>
      <c r="F307" s="779">
        <v>4000</v>
      </c>
    </row>
    <row r="308" spans="2:6" x14ac:dyDescent="0.2">
      <c r="B308" s="777">
        <v>80003</v>
      </c>
      <c r="C308" s="1253" t="s">
        <v>1065</v>
      </c>
      <c r="D308" s="1254"/>
      <c r="E308" s="776" t="s">
        <v>250</v>
      </c>
      <c r="F308" s="783">
        <v>0</v>
      </c>
    </row>
    <row r="309" spans="2:6" ht="12.75" customHeight="1" x14ac:dyDescent="0.2">
      <c r="B309" s="777">
        <v>80004</v>
      </c>
      <c r="C309" s="1253" t="s">
        <v>1066</v>
      </c>
      <c r="D309" s="1254"/>
      <c r="E309" s="776" t="s">
        <v>250</v>
      </c>
      <c r="F309" s="783">
        <v>0</v>
      </c>
    </row>
    <row r="310" spans="2:6" x14ac:dyDescent="0.2">
      <c r="B310" s="777">
        <v>80005</v>
      </c>
      <c r="C310" s="1253" t="s">
        <v>1067</v>
      </c>
      <c r="D310" s="1254"/>
      <c r="E310" s="776" t="s">
        <v>250</v>
      </c>
      <c r="F310" s="783">
        <v>0</v>
      </c>
    </row>
    <row r="311" spans="2:6" x14ac:dyDescent="0.2">
      <c r="B311" s="777">
        <v>80006</v>
      </c>
      <c r="C311" s="1253" t="s">
        <v>1068</v>
      </c>
      <c r="D311" s="1254"/>
      <c r="E311" s="776" t="s">
        <v>250</v>
      </c>
      <c r="F311" s="781">
        <v>11428.57</v>
      </c>
    </row>
    <row r="312" spans="2:6" x14ac:dyDescent="0.2">
      <c r="B312" s="777">
        <v>80007</v>
      </c>
      <c r="C312" s="1253" t="s">
        <v>1069</v>
      </c>
      <c r="D312" s="1254"/>
      <c r="E312" s="776" t="s">
        <v>250</v>
      </c>
      <c r="F312" s="781">
        <v>36571.43</v>
      </c>
    </row>
    <row r="313" spans="2:6" x14ac:dyDescent="0.2">
      <c r="B313" s="777">
        <v>80008</v>
      </c>
      <c r="C313" s="1253" t="s">
        <v>1070</v>
      </c>
      <c r="D313" s="1254"/>
      <c r="E313" s="776" t="s">
        <v>250</v>
      </c>
      <c r="F313" s="781">
        <v>11428.57</v>
      </c>
    </row>
    <row r="314" spans="2:6" x14ac:dyDescent="0.2">
      <c r="B314" s="777">
        <v>80009</v>
      </c>
      <c r="C314" s="1253" t="s">
        <v>1071</v>
      </c>
      <c r="D314" s="1254"/>
      <c r="E314" s="776" t="s">
        <v>250</v>
      </c>
      <c r="F314" s="781">
        <v>11428.57</v>
      </c>
    </row>
    <row r="315" spans="2:6" ht="12.75" customHeight="1" x14ac:dyDescent="0.2">
      <c r="B315" s="777">
        <v>80010</v>
      </c>
      <c r="C315" s="1253" t="s">
        <v>1072</v>
      </c>
      <c r="D315" s="1254"/>
      <c r="E315" s="776" t="s">
        <v>250</v>
      </c>
      <c r="F315" s="779">
        <v>9142.86</v>
      </c>
    </row>
    <row r="316" spans="2:6" ht="12.75" customHeight="1" x14ac:dyDescent="0.2">
      <c r="B316" s="777">
        <v>80011</v>
      </c>
      <c r="C316" s="1253" t="s">
        <v>1073</v>
      </c>
      <c r="D316" s="1254"/>
      <c r="E316" s="776" t="s">
        <v>250</v>
      </c>
      <c r="F316" s="779">
        <v>5000</v>
      </c>
    </row>
    <row r="317" spans="2:6" ht="12.75" customHeight="1" x14ac:dyDescent="0.2">
      <c r="B317" s="777">
        <v>80012</v>
      </c>
      <c r="C317" s="1253" t="s">
        <v>1074</v>
      </c>
      <c r="D317" s="1254"/>
      <c r="E317" s="776" t="s">
        <v>250</v>
      </c>
      <c r="F317" s="781">
        <v>88000</v>
      </c>
    </row>
    <row r="318" spans="2:6" ht="12.75" customHeight="1" x14ac:dyDescent="0.2">
      <c r="B318" s="777">
        <v>80013</v>
      </c>
      <c r="C318" s="1253" t="s">
        <v>1075</v>
      </c>
      <c r="D318" s="1254"/>
      <c r="E318" s="776" t="s">
        <v>250</v>
      </c>
      <c r="F318" s="780">
        <v>800905.22</v>
      </c>
    </row>
    <row r="319" spans="2:6" x14ac:dyDescent="0.2">
      <c r="B319" s="777">
        <v>80014</v>
      </c>
      <c r="C319" s="1253" t="s">
        <v>1076</v>
      </c>
      <c r="D319" s="1254"/>
      <c r="E319" s="776" t="s">
        <v>250</v>
      </c>
      <c r="F319" s="781">
        <v>35000</v>
      </c>
    </row>
    <row r="320" spans="2:6" ht="12.75" customHeight="1" x14ac:dyDescent="0.2">
      <c r="B320" s="777">
        <v>80015</v>
      </c>
      <c r="C320" s="1253" t="s">
        <v>1077</v>
      </c>
      <c r="D320" s="1254"/>
      <c r="E320" s="776" t="s">
        <v>250</v>
      </c>
      <c r="F320" s="781">
        <v>27500</v>
      </c>
    </row>
    <row r="321" spans="2:6" ht="12.75" customHeight="1" x14ac:dyDescent="0.2">
      <c r="B321" s="777">
        <v>80016</v>
      </c>
      <c r="C321" s="1253" t="s">
        <v>1078</v>
      </c>
      <c r="D321" s="1254"/>
      <c r="E321" s="776" t="s">
        <v>3</v>
      </c>
      <c r="F321" s="782">
        <v>18.672799999999999</v>
      </c>
    </row>
    <row r="322" spans="2:6" x14ac:dyDescent="0.2">
      <c r="B322" s="777">
        <v>80017</v>
      </c>
      <c r="C322" s="1253" t="s">
        <v>1079</v>
      </c>
      <c r="D322" s="1254"/>
      <c r="E322" s="776" t="s">
        <v>1</v>
      </c>
      <c r="F322" s="782">
        <v>99.338999999999999</v>
      </c>
    </row>
    <row r="323" spans="2:6" ht="12.75" customHeight="1" x14ac:dyDescent="0.2">
      <c r="B323" s="777">
        <v>80018</v>
      </c>
      <c r="C323" s="1253" t="s">
        <v>1080</v>
      </c>
      <c r="D323" s="1254"/>
      <c r="E323" s="776" t="s">
        <v>250</v>
      </c>
      <c r="F323" s="781">
        <v>13200</v>
      </c>
    </row>
    <row r="324" spans="2:6" ht="12.75" customHeight="1" x14ac:dyDescent="0.2">
      <c r="B324" s="777">
        <v>80019</v>
      </c>
      <c r="C324" s="1253" t="s">
        <v>1081</v>
      </c>
      <c r="D324" s="1254"/>
      <c r="E324" s="776" t="s">
        <v>3</v>
      </c>
      <c r="F324" s="782">
        <v>11.7464</v>
      </c>
    </row>
    <row r="325" spans="2:6" ht="12.75" customHeight="1" x14ac:dyDescent="0.2">
      <c r="B325" s="777">
        <v>80020</v>
      </c>
      <c r="C325" s="1253" t="s">
        <v>1082</v>
      </c>
      <c r="D325" s="1254"/>
      <c r="E325" s="776" t="s">
        <v>1</v>
      </c>
      <c r="F325" s="783">
        <v>9.9460999999999995</v>
      </c>
    </row>
    <row r="326" spans="2:6" ht="12.75" customHeight="1" x14ac:dyDescent="0.2">
      <c r="B326" s="777">
        <v>80021</v>
      </c>
      <c r="C326" s="1253" t="s">
        <v>1083</v>
      </c>
      <c r="D326" s="1254"/>
      <c r="E326" s="776" t="s">
        <v>3</v>
      </c>
      <c r="F326" s="784">
        <v>156.52799999999999</v>
      </c>
    </row>
    <row r="327" spans="2:6" x14ac:dyDescent="0.2">
      <c r="B327" s="777">
        <v>80022</v>
      </c>
      <c r="C327" s="1253" t="s">
        <v>1084</v>
      </c>
      <c r="D327" s="1254"/>
      <c r="E327" s="776" t="s">
        <v>250</v>
      </c>
      <c r="F327" s="779">
        <v>5000</v>
      </c>
    </row>
    <row r="328" spans="2:6" ht="12.75" customHeight="1" x14ac:dyDescent="0.2">
      <c r="B328" s="777">
        <v>80023</v>
      </c>
      <c r="C328" s="1253" t="s">
        <v>1085</v>
      </c>
      <c r="D328" s="1254"/>
      <c r="E328" s="776" t="s">
        <v>250</v>
      </c>
      <c r="F328" s="779">
        <v>5500</v>
      </c>
    </row>
    <row r="329" spans="2:6" ht="12.75" customHeight="1" x14ac:dyDescent="0.2">
      <c r="B329" s="777">
        <v>80024</v>
      </c>
      <c r="C329" s="1253" t="s">
        <v>1086</v>
      </c>
      <c r="D329" s="1254"/>
      <c r="E329" s="776" t="s">
        <v>250</v>
      </c>
      <c r="F329" s="779">
        <v>5000</v>
      </c>
    </row>
    <row r="330" spans="2:6" x14ac:dyDescent="0.2">
      <c r="B330" s="777">
        <v>80025</v>
      </c>
      <c r="C330" s="1253" t="s">
        <v>1087</v>
      </c>
      <c r="D330" s="1254"/>
      <c r="E330" s="776" t="s">
        <v>250</v>
      </c>
      <c r="F330" s="779">
        <v>5000</v>
      </c>
    </row>
    <row r="331" spans="2:6" x14ac:dyDescent="0.2">
      <c r="B331" s="777">
        <v>80026</v>
      </c>
      <c r="C331" s="1253" t="s">
        <v>1088</v>
      </c>
      <c r="D331" s="1254"/>
      <c r="E331" s="776" t="s">
        <v>961</v>
      </c>
      <c r="F331" s="779">
        <v>1458.33</v>
      </c>
    </row>
    <row r="332" spans="2:6" x14ac:dyDescent="0.2">
      <c r="B332" s="777">
        <v>80027</v>
      </c>
      <c r="C332" s="1253" t="s">
        <v>1089</v>
      </c>
      <c r="D332" s="1254"/>
      <c r="E332" s="776" t="s">
        <v>961</v>
      </c>
      <c r="F332" s="782">
        <v>20.83</v>
      </c>
    </row>
    <row r="333" spans="2:6" x14ac:dyDescent="0.2">
      <c r="B333" s="777">
        <v>80028</v>
      </c>
      <c r="C333" s="1253" t="s">
        <v>1090</v>
      </c>
      <c r="D333" s="1254"/>
      <c r="E333" s="776" t="s">
        <v>250</v>
      </c>
      <c r="F333" s="779">
        <v>3500</v>
      </c>
    </row>
    <row r="334" spans="2:6" x14ac:dyDescent="0.2">
      <c r="B334" s="777">
        <v>80029</v>
      </c>
      <c r="C334" s="1253" t="s">
        <v>1091</v>
      </c>
      <c r="D334" s="1254"/>
      <c r="E334" s="776" t="s">
        <v>250</v>
      </c>
      <c r="F334" s="781">
        <v>15000</v>
      </c>
    </row>
    <row r="335" spans="2:6" x14ac:dyDescent="0.2">
      <c r="B335" s="777">
        <v>80030</v>
      </c>
      <c r="C335" s="1253" t="s">
        <v>1092</v>
      </c>
      <c r="D335" s="1254"/>
      <c r="E335" s="776" t="s">
        <v>961</v>
      </c>
      <c r="F335" s="779">
        <v>3000</v>
      </c>
    </row>
    <row r="336" spans="2:6" x14ac:dyDescent="0.2">
      <c r="B336" s="777">
        <v>80031</v>
      </c>
      <c r="C336" s="1253" t="s">
        <v>1093</v>
      </c>
      <c r="D336" s="1254"/>
      <c r="E336" s="776" t="s">
        <v>961</v>
      </c>
      <c r="F336" s="779">
        <v>1588.2353000000001</v>
      </c>
    </row>
    <row r="337" spans="2:6" x14ac:dyDescent="0.2">
      <c r="B337" s="777">
        <v>80032</v>
      </c>
      <c r="C337" s="1253" t="s">
        <v>1094</v>
      </c>
      <c r="D337" s="1254"/>
      <c r="E337" s="776" t="s">
        <v>250</v>
      </c>
      <c r="F337" s="780">
        <v>150000</v>
      </c>
    </row>
    <row r="338" spans="2:6" x14ac:dyDescent="0.2">
      <c r="B338" s="777">
        <v>80033</v>
      </c>
      <c r="C338" s="1253" t="s">
        <v>1095</v>
      </c>
      <c r="D338" s="1254"/>
      <c r="E338" s="776" t="s">
        <v>250</v>
      </c>
      <c r="F338" s="780">
        <v>125000</v>
      </c>
    </row>
    <row r="339" spans="2:6" x14ac:dyDescent="0.2">
      <c r="B339" s="777">
        <v>80034</v>
      </c>
      <c r="C339" s="1253" t="s">
        <v>1096</v>
      </c>
      <c r="D339" s="1254"/>
      <c r="E339" s="776" t="s">
        <v>961</v>
      </c>
      <c r="F339" s="779">
        <v>1693.66</v>
      </c>
    </row>
    <row r="340" spans="2:6" ht="12.75" customHeight="1" x14ac:dyDescent="0.2">
      <c r="B340" s="777">
        <v>80035</v>
      </c>
      <c r="C340" s="1253" t="s">
        <v>1097</v>
      </c>
      <c r="D340" s="1254"/>
      <c r="E340" s="776" t="s">
        <v>1</v>
      </c>
      <c r="F340" s="783">
        <v>8.8000000000000007</v>
      </c>
    </row>
    <row r="341" spans="2:6" x14ac:dyDescent="0.2">
      <c r="B341" s="777">
        <v>80036</v>
      </c>
      <c r="C341" s="1253" t="s">
        <v>1098</v>
      </c>
      <c r="D341" s="1254"/>
      <c r="E341" s="776" t="s">
        <v>250</v>
      </c>
      <c r="F341" s="781">
        <v>18000</v>
      </c>
    </row>
    <row r="342" spans="2:6" x14ac:dyDescent="0.2">
      <c r="B342" s="777">
        <v>80037</v>
      </c>
      <c r="C342" s="1253" t="s">
        <v>1099</v>
      </c>
      <c r="D342" s="1254"/>
      <c r="E342" s="776" t="s">
        <v>250</v>
      </c>
      <c r="F342" s="781">
        <v>95974.23</v>
      </c>
    </row>
    <row r="343" spans="2:6" ht="12.75" customHeight="1" x14ac:dyDescent="0.2">
      <c r="B343" s="777">
        <v>80038</v>
      </c>
      <c r="C343" s="1253" t="s">
        <v>1100</v>
      </c>
      <c r="D343" s="1254"/>
      <c r="E343" s="776" t="s">
        <v>250</v>
      </c>
      <c r="F343" s="779">
        <v>4502.79</v>
      </c>
    </row>
    <row r="344" spans="2:6" x14ac:dyDescent="0.2">
      <c r="B344" s="777">
        <v>80039</v>
      </c>
      <c r="C344" s="1253" t="s">
        <v>1101</v>
      </c>
      <c r="D344" s="1254"/>
      <c r="E344" s="776" t="s">
        <v>250</v>
      </c>
      <c r="F344" s="779">
        <v>8298.57</v>
      </c>
    </row>
    <row r="345" spans="2:6" ht="12.75" customHeight="1" x14ac:dyDescent="0.2">
      <c r="B345" s="777">
        <v>80040</v>
      </c>
      <c r="C345" s="1253" t="s">
        <v>1102</v>
      </c>
      <c r="D345" s="1254"/>
      <c r="E345" s="776" t="s">
        <v>961</v>
      </c>
      <c r="F345" s="784">
        <v>900</v>
      </c>
    </row>
    <row r="346" spans="2:6" x14ac:dyDescent="0.2">
      <c r="B346" s="777">
        <v>80041</v>
      </c>
      <c r="C346" s="1253" t="s">
        <v>1103</v>
      </c>
      <c r="D346" s="1254"/>
      <c r="E346" s="776" t="s">
        <v>250</v>
      </c>
      <c r="F346" s="781">
        <v>15000</v>
      </c>
    </row>
    <row r="347" spans="2:6" x14ac:dyDescent="0.2">
      <c r="B347" s="777">
        <v>80042</v>
      </c>
      <c r="C347" s="1253" t="s">
        <v>1104</v>
      </c>
      <c r="D347" s="1254"/>
      <c r="E347" s="776" t="s">
        <v>250</v>
      </c>
      <c r="F347" s="781">
        <v>25000</v>
      </c>
    </row>
    <row r="348" spans="2:6" x14ac:dyDescent="0.2">
      <c r="B348" s="777">
        <v>80043</v>
      </c>
      <c r="C348" s="1253" t="s">
        <v>1105</v>
      </c>
      <c r="D348" s="1254"/>
      <c r="E348" s="776" t="s">
        <v>250</v>
      </c>
      <c r="F348" s="781">
        <v>10000</v>
      </c>
    </row>
    <row r="349" spans="2:6" x14ac:dyDescent="0.2">
      <c r="B349" s="777">
        <v>80044</v>
      </c>
      <c r="C349" s="1253" t="s">
        <v>1106</v>
      </c>
      <c r="D349" s="1254"/>
      <c r="E349" s="776" t="s">
        <v>250</v>
      </c>
      <c r="F349" s="781">
        <v>20000</v>
      </c>
    </row>
    <row r="350" spans="2:6" x14ac:dyDescent="0.2">
      <c r="B350" s="777">
        <v>80045</v>
      </c>
      <c r="C350" s="1253" t="s">
        <v>1107</v>
      </c>
      <c r="D350" s="1254"/>
      <c r="E350" s="776" t="s">
        <v>961</v>
      </c>
      <c r="F350" s="784">
        <v>914.87</v>
      </c>
    </row>
    <row r="351" spans="2:6" x14ac:dyDescent="0.2">
      <c r="B351" s="777">
        <v>80046</v>
      </c>
      <c r="C351" s="1253" t="s">
        <v>1108</v>
      </c>
      <c r="D351" s="1254"/>
      <c r="E351" s="776" t="s">
        <v>961</v>
      </c>
      <c r="F351" s="779">
        <v>1189.33</v>
      </c>
    </row>
    <row r="352" spans="2:6" x14ac:dyDescent="0.2">
      <c r="B352" s="777">
        <v>80047</v>
      </c>
      <c r="C352" s="1253" t="s">
        <v>1109</v>
      </c>
      <c r="D352" s="1254"/>
      <c r="E352" s="776" t="s">
        <v>961</v>
      </c>
      <c r="F352" s="784">
        <v>217.83</v>
      </c>
    </row>
    <row r="353" spans="2:6" x14ac:dyDescent="0.2">
      <c r="B353" s="777">
        <v>80048</v>
      </c>
      <c r="C353" s="1253" t="s">
        <v>1110</v>
      </c>
      <c r="D353" s="1254"/>
      <c r="E353" s="776" t="s">
        <v>961</v>
      </c>
      <c r="F353" s="782">
        <v>24.51</v>
      </c>
    </row>
    <row r="354" spans="2:6" x14ac:dyDescent="0.2">
      <c r="B354" s="777">
        <v>80049</v>
      </c>
      <c r="C354" s="1253" t="s">
        <v>1111</v>
      </c>
      <c r="D354" s="1254"/>
      <c r="E354" s="776" t="s">
        <v>961</v>
      </c>
      <c r="F354" s="779">
        <v>1500</v>
      </c>
    </row>
    <row r="355" spans="2:6" x14ac:dyDescent="0.2">
      <c r="B355" s="777">
        <v>80050</v>
      </c>
      <c r="C355" s="1253" t="s">
        <v>1112</v>
      </c>
      <c r="D355" s="1254"/>
      <c r="E355" s="776" t="s">
        <v>961</v>
      </c>
      <c r="F355" s="784">
        <v>500</v>
      </c>
    </row>
    <row r="356" spans="2:6" x14ac:dyDescent="0.2">
      <c r="B356" s="777">
        <v>80051</v>
      </c>
      <c r="C356" s="1253" t="s">
        <v>1113</v>
      </c>
      <c r="D356" s="1254"/>
      <c r="E356" s="776" t="s">
        <v>250</v>
      </c>
      <c r="F356" s="781">
        <v>25000</v>
      </c>
    </row>
    <row r="357" spans="2:6" x14ac:dyDescent="0.2">
      <c r="B357" s="777">
        <v>80052</v>
      </c>
      <c r="C357" s="1253" t="s">
        <v>1114</v>
      </c>
      <c r="D357" s="1254"/>
      <c r="E357" s="776" t="s">
        <v>250</v>
      </c>
      <c r="F357" s="779">
        <v>7406.09</v>
      </c>
    </row>
    <row r="358" spans="2:6" ht="12.75" customHeight="1" x14ac:dyDescent="0.2">
      <c r="B358" s="777">
        <v>80053</v>
      </c>
      <c r="C358" s="1253" t="s">
        <v>1115</v>
      </c>
      <c r="D358" s="1254"/>
      <c r="E358" s="776" t="s">
        <v>250</v>
      </c>
      <c r="F358" s="779">
        <v>7544.12</v>
      </c>
    </row>
    <row r="359" spans="2:6" x14ac:dyDescent="0.2">
      <c r="B359" s="777">
        <v>80054</v>
      </c>
      <c r="C359" s="1253" t="s">
        <v>1116</v>
      </c>
      <c r="D359" s="1254"/>
      <c r="E359" s="776" t="s">
        <v>961</v>
      </c>
      <c r="F359" s="784">
        <v>312.5</v>
      </c>
    </row>
    <row r="360" spans="2:6" x14ac:dyDescent="0.2">
      <c r="B360" s="777">
        <v>80055</v>
      </c>
      <c r="C360" s="1253" t="s">
        <v>1117</v>
      </c>
      <c r="D360" s="1254"/>
      <c r="E360" s="776" t="s">
        <v>961</v>
      </c>
      <c r="F360" s="784">
        <v>490.36</v>
      </c>
    </row>
    <row r="361" spans="2:6" ht="12.75" customHeight="1" x14ac:dyDescent="0.2">
      <c r="B361" s="777">
        <v>80056</v>
      </c>
      <c r="C361" s="1253" t="s">
        <v>1118</v>
      </c>
      <c r="D361" s="1254"/>
      <c r="E361" s="776" t="s">
        <v>961</v>
      </c>
      <c r="F361" s="784">
        <v>414.93</v>
      </c>
    </row>
    <row r="362" spans="2:6" x14ac:dyDescent="0.2">
      <c r="B362" s="777">
        <v>80057</v>
      </c>
      <c r="C362" s="1253" t="s">
        <v>1119</v>
      </c>
      <c r="D362" s="1254"/>
      <c r="E362" s="776" t="s">
        <v>961</v>
      </c>
      <c r="F362" s="784">
        <v>226.32</v>
      </c>
    </row>
    <row r="363" spans="2:6" ht="12.75" customHeight="1" x14ac:dyDescent="0.2">
      <c r="B363" s="777">
        <v>80058</v>
      </c>
      <c r="C363" s="1253" t="s">
        <v>1120</v>
      </c>
      <c r="D363" s="1254"/>
      <c r="E363" s="776" t="s">
        <v>961</v>
      </c>
      <c r="F363" s="784">
        <v>264.04000000000002</v>
      </c>
    </row>
    <row r="364" spans="2:6" x14ac:dyDescent="0.2">
      <c r="B364" s="777">
        <v>80059</v>
      </c>
      <c r="C364" s="1253" t="s">
        <v>1121</v>
      </c>
      <c r="D364" s="1254"/>
      <c r="E364" s="776" t="s">
        <v>250</v>
      </c>
      <c r="F364" s="779">
        <v>8000</v>
      </c>
    </row>
    <row r="365" spans="2:6" x14ac:dyDescent="0.2">
      <c r="B365" s="777">
        <v>80060</v>
      </c>
      <c r="C365" s="1253" t="s">
        <v>1122</v>
      </c>
      <c r="D365" s="1254"/>
      <c r="E365" s="776" t="s">
        <v>250</v>
      </c>
      <c r="F365" s="779">
        <v>9886</v>
      </c>
    </row>
    <row r="366" spans="2:6" x14ac:dyDescent="0.2">
      <c r="B366" s="777">
        <v>80061</v>
      </c>
      <c r="C366" s="1253" t="s">
        <v>1123</v>
      </c>
      <c r="D366" s="1254"/>
      <c r="E366" s="776" t="s">
        <v>250</v>
      </c>
      <c r="F366" s="781">
        <v>50000</v>
      </c>
    </row>
    <row r="367" spans="2:6" x14ac:dyDescent="0.2">
      <c r="B367" s="777">
        <v>80062</v>
      </c>
      <c r="C367" s="1253" t="s">
        <v>1124</v>
      </c>
      <c r="D367" s="1254"/>
      <c r="E367" s="776" t="s">
        <v>961</v>
      </c>
      <c r="F367" s="784">
        <v>326.70999999999998</v>
      </c>
    </row>
    <row r="368" spans="2:6" x14ac:dyDescent="0.2">
      <c r="B368" s="777">
        <v>80063</v>
      </c>
      <c r="C368" s="1253" t="s">
        <v>1125</v>
      </c>
      <c r="D368" s="1254"/>
      <c r="E368" s="776" t="s">
        <v>961</v>
      </c>
      <c r="F368" s="779">
        <v>6750</v>
      </c>
    </row>
    <row r="369" spans="2:6" x14ac:dyDescent="0.2">
      <c r="B369" s="777">
        <v>80064</v>
      </c>
      <c r="C369" s="1253" t="s">
        <v>1126</v>
      </c>
      <c r="D369" s="1254"/>
      <c r="E369" s="776" t="s">
        <v>2</v>
      </c>
      <c r="F369" s="779">
        <v>1000</v>
      </c>
    </row>
    <row r="370" spans="2:6" x14ac:dyDescent="0.2">
      <c r="B370" s="777">
        <v>80065</v>
      </c>
      <c r="C370" s="1253" t="s">
        <v>2106</v>
      </c>
      <c r="D370" s="1254"/>
      <c r="E370" s="776" t="s">
        <v>250</v>
      </c>
      <c r="F370" s="780">
        <v>250000</v>
      </c>
    </row>
    <row r="371" spans="2:6" x14ac:dyDescent="0.2">
      <c r="B371" s="777">
        <v>80066</v>
      </c>
      <c r="C371" s="1253" t="s">
        <v>2087</v>
      </c>
      <c r="D371" s="1254"/>
      <c r="E371" s="776" t="s">
        <v>250</v>
      </c>
      <c r="F371" s="781">
        <v>75000</v>
      </c>
    </row>
    <row r="372" spans="2:6" ht="12.75" customHeight="1" x14ac:dyDescent="0.2">
      <c r="B372" s="777">
        <v>80067</v>
      </c>
      <c r="C372" s="1253" t="s">
        <v>1128</v>
      </c>
      <c r="D372" s="1254"/>
      <c r="E372" s="776" t="s">
        <v>2</v>
      </c>
      <c r="F372" s="781">
        <v>21700</v>
      </c>
    </row>
    <row r="373" spans="2:6" ht="12.75" customHeight="1" x14ac:dyDescent="0.2">
      <c r="B373" s="777">
        <v>80068</v>
      </c>
      <c r="C373" s="1253" t="s">
        <v>1129</v>
      </c>
      <c r="D373" s="1254"/>
      <c r="E373" s="776" t="s">
        <v>250</v>
      </c>
      <c r="F373" s="781">
        <v>24000</v>
      </c>
    </row>
    <row r="374" spans="2:6" ht="12.75" customHeight="1" x14ac:dyDescent="0.2">
      <c r="B374" s="777">
        <v>80069</v>
      </c>
      <c r="C374" s="1253" t="s">
        <v>1130</v>
      </c>
      <c r="D374" s="1254"/>
      <c r="E374" s="776" t="s">
        <v>2</v>
      </c>
      <c r="F374" s="779">
        <v>3500</v>
      </c>
    </row>
    <row r="375" spans="2:6" ht="12.75" customHeight="1" x14ac:dyDescent="0.2">
      <c r="B375" s="777">
        <v>80070</v>
      </c>
      <c r="C375" s="1253" t="s">
        <v>2098</v>
      </c>
      <c r="D375" s="1254"/>
      <c r="E375" s="776" t="s">
        <v>250</v>
      </c>
      <c r="F375" s="781">
        <v>50400</v>
      </c>
    </row>
    <row r="376" spans="2:6" ht="12.75" customHeight="1" x14ac:dyDescent="0.2">
      <c r="B376" s="777">
        <v>80071</v>
      </c>
      <c r="C376" s="1253" t="s">
        <v>1131</v>
      </c>
      <c r="D376" s="1254"/>
      <c r="E376" s="776" t="s">
        <v>2</v>
      </c>
      <c r="F376" s="779">
        <v>3500</v>
      </c>
    </row>
    <row r="377" spans="2:6" ht="12.75" customHeight="1" x14ac:dyDescent="0.2">
      <c r="B377" s="777">
        <v>80072</v>
      </c>
      <c r="C377" s="1253" t="s">
        <v>1132</v>
      </c>
      <c r="D377" s="1254"/>
      <c r="E377" s="776" t="s">
        <v>4</v>
      </c>
      <c r="F377" s="782">
        <v>36.3063</v>
      </c>
    </row>
    <row r="378" spans="2:6" ht="12.75" customHeight="1" x14ac:dyDescent="0.2">
      <c r="B378" s="777">
        <v>80073</v>
      </c>
      <c r="C378" s="1253" t="s">
        <v>533</v>
      </c>
      <c r="D378" s="1254"/>
      <c r="E378" s="776" t="s">
        <v>4</v>
      </c>
      <c r="F378" s="783">
        <v>8.64</v>
      </c>
    </row>
    <row r="379" spans="2:6" ht="12.75" customHeight="1" x14ac:dyDescent="0.2">
      <c r="B379" s="777">
        <v>80074</v>
      </c>
      <c r="C379" s="1253" t="s">
        <v>335</v>
      </c>
      <c r="D379" s="1254"/>
      <c r="E379" s="776" t="s">
        <v>4</v>
      </c>
      <c r="F379" s="782">
        <v>49.9709</v>
      </c>
    </row>
    <row r="380" spans="2:6" ht="12.75" customHeight="1" x14ac:dyDescent="0.2">
      <c r="B380" s="777">
        <v>80075</v>
      </c>
      <c r="C380" s="1253" t="s">
        <v>2110</v>
      </c>
      <c r="D380" s="1254"/>
      <c r="E380" s="776" t="s">
        <v>1</v>
      </c>
      <c r="F380" s="784">
        <v>180.05500000000001</v>
      </c>
    </row>
    <row r="381" spans="2:6" ht="12.75" customHeight="1" x14ac:dyDescent="0.2">
      <c r="B381" s="777">
        <v>80076</v>
      </c>
      <c r="C381" s="1253" t="s">
        <v>2111</v>
      </c>
      <c r="D381" s="1254"/>
      <c r="E381" s="776" t="s">
        <v>1</v>
      </c>
      <c r="F381" s="782">
        <v>75.526799999999994</v>
      </c>
    </row>
    <row r="382" spans="2:6" ht="12.75" customHeight="1" x14ac:dyDescent="0.2">
      <c r="B382" s="777">
        <v>80077</v>
      </c>
      <c r="C382" s="1253" t="s">
        <v>1058</v>
      </c>
      <c r="D382" s="1254"/>
      <c r="E382" s="776" t="s">
        <v>961</v>
      </c>
      <c r="F382" s="781">
        <v>50814</v>
      </c>
    </row>
    <row r="383" spans="2:6" ht="12.75" customHeight="1" x14ac:dyDescent="0.2">
      <c r="B383" s="777">
        <v>80078</v>
      </c>
      <c r="C383" s="1253" t="s">
        <v>1133</v>
      </c>
      <c r="D383" s="1254"/>
      <c r="E383" s="776" t="s">
        <v>1</v>
      </c>
      <c r="F383" s="784">
        <v>280</v>
      </c>
    </row>
    <row r="384" spans="2:6" x14ac:dyDescent="0.2">
      <c r="B384" s="777">
        <v>80079</v>
      </c>
      <c r="C384" s="1253" t="s">
        <v>2112</v>
      </c>
      <c r="D384" s="1254"/>
      <c r="E384" s="776" t="s">
        <v>1</v>
      </c>
      <c r="F384" s="784">
        <v>108.4393</v>
      </c>
    </row>
    <row r="385" spans="2:6" x14ac:dyDescent="0.2">
      <c r="B385" s="777">
        <v>80080</v>
      </c>
      <c r="C385" s="1253" t="s">
        <v>295</v>
      </c>
      <c r="D385" s="1254"/>
      <c r="E385" s="776" t="s">
        <v>250</v>
      </c>
      <c r="F385" s="781">
        <v>87000</v>
      </c>
    </row>
    <row r="386" spans="2:6" x14ac:dyDescent="0.2">
      <c r="B386" s="777">
        <v>80081</v>
      </c>
      <c r="C386" s="1253" t="s">
        <v>296</v>
      </c>
      <c r="D386" s="1254"/>
      <c r="E386" s="776" t="s">
        <v>250</v>
      </c>
      <c r="F386" s="780">
        <v>158562.29</v>
      </c>
    </row>
    <row r="387" spans="2:6" x14ac:dyDescent="0.2">
      <c r="B387" s="777">
        <v>80082</v>
      </c>
      <c r="C387" s="1253" t="s">
        <v>297</v>
      </c>
      <c r="D387" s="1254"/>
      <c r="E387" s="776" t="s">
        <v>250</v>
      </c>
      <c r="F387" s="780">
        <v>248285.46</v>
      </c>
    </row>
    <row r="388" spans="2:6" x14ac:dyDescent="0.2">
      <c r="B388" s="777">
        <v>80083</v>
      </c>
      <c r="C388" s="1253" t="s">
        <v>298</v>
      </c>
      <c r="D388" s="1254"/>
      <c r="E388" s="776" t="s">
        <v>250</v>
      </c>
      <c r="F388" s="780">
        <v>120384.93</v>
      </c>
    </row>
    <row r="389" spans="2:6" ht="12.75" customHeight="1" x14ac:dyDescent="0.2">
      <c r="B389" s="777">
        <v>80084</v>
      </c>
      <c r="C389" s="1253" t="s">
        <v>300</v>
      </c>
      <c r="D389" s="1254"/>
      <c r="E389" s="776" t="s">
        <v>250</v>
      </c>
      <c r="F389" s="781">
        <v>15132.07</v>
      </c>
    </row>
    <row r="390" spans="2:6" x14ac:dyDescent="0.2">
      <c r="B390" s="777">
        <v>80085</v>
      </c>
      <c r="C390" s="1253" t="s">
        <v>1134</v>
      </c>
      <c r="D390" s="1254"/>
      <c r="E390" s="776" t="s">
        <v>250</v>
      </c>
      <c r="F390" s="779">
        <v>5265.99</v>
      </c>
    </row>
    <row r="391" spans="2:6" x14ac:dyDescent="0.2">
      <c r="B391" s="777">
        <v>80086</v>
      </c>
      <c r="C391" s="1253" t="s">
        <v>1135</v>
      </c>
      <c r="D391" s="1254"/>
      <c r="E391" s="776" t="s">
        <v>250</v>
      </c>
      <c r="F391" s="781">
        <v>10789.45</v>
      </c>
    </row>
    <row r="392" spans="2:6" x14ac:dyDescent="0.2">
      <c r="B392" s="777">
        <v>80087</v>
      </c>
      <c r="C392" s="1253" t="s">
        <v>1136</v>
      </c>
      <c r="D392" s="1254"/>
      <c r="E392" s="776" t="s">
        <v>250</v>
      </c>
      <c r="F392" s="781">
        <v>15609.97</v>
      </c>
    </row>
    <row r="393" spans="2:6" x14ac:dyDescent="0.2">
      <c r="B393" s="777">
        <v>80088</v>
      </c>
      <c r="C393" s="1253" t="s">
        <v>1137</v>
      </c>
      <c r="D393" s="1254"/>
      <c r="E393" s="776" t="s">
        <v>250</v>
      </c>
      <c r="F393" s="779">
        <v>2626.48</v>
      </c>
    </row>
    <row r="394" spans="2:6" x14ac:dyDescent="0.2">
      <c r="B394" s="777">
        <v>80089</v>
      </c>
      <c r="C394" s="1253" t="s">
        <v>1642</v>
      </c>
      <c r="D394" s="1254"/>
      <c r="E394" s="776" t="s">
        <v>250</v>
      </c>
      <c r="F394" s="781">
        <v>52715.07</v>
      </c>
    </row>
    <row r="395" spans="2:6" x14ac:dyDescent="0.2">
      <c r="B395" s="777">
        <v>80090</v>
      </c>
      <c r="C395" s="1253" t="s">
        <v>1138</v>
      </c>
      <c r="D395" s="1254"/>
      <c r="E395" s="776" t="s">
        <v>250</v>
      </c>
      <c r="F395" s="784">
        <v>114.96</v>
      </c>
    </row>
    <row r="396" spans="2:6" x14ac:dyDescent="0.2">
      <c r="B396" s="777">
        <v>80091</v>
      </c>
      <c r="C396" s="1253" t="s">
        <v>1139</v>
      </c>
      <c r="D396" s="1254"/>
      <c r="E396" s="776" t="s">
        <v>250</v>
      </c>
      <c r="F396" s="779">
        <v>6113.96</v>
      </c>
    </row>
    <row r="397" spans="2:6" x14ac:dyDescent="0.2">
      <c r="B397" s="777">
        <v>80092</v>
      </c>
      <c r="C397" s="1253" t="s">
        <v>1140</v>
      </c>
      <c r="D397" s="1254"/>
      <c r="E397" s="776" t="s">
        <v>250</v>
      </c>
      <c r="F397" s="782">
        <v>17.87</v>
      </c>
    </row>
    <row r="398" spans="2:6" ht="12.75" customHeight="1" x14ac:dyDescent="0.2">
      <c r="B398" s="777">
        <v>80093</v>
      </c>
      <c r="C398" s="1253" t="s">
        <v>1141</v>
      </c>
      <c r="D398" s="1254"/>
      <c r="E398" s="776" t="s">
        <v>250</v>
      </c>
      <c r="F398" s="779">
        <v>2416.84</v>
      </c>
    </row>
    <row r="399" spans="2:6" ht="12.75" customHeight="1" x14ac:dyDescent="0.2">
      <c r="B399" s="777">
        <v>80094</v>
      </c>
      <c r="C399" s="1253" t="s">
        <v>1644</v>
      </c>
      <c r="D399" s="1254"/>
      <c r="E399" s="776" t="s">
        <v>250</v>
      </c>
      <c r="F399" s="782">
        <v>58.15</v>
      </c>
    </row>
    <row r="400" spans="2:6" x14ac:dyDescent="0.2">
      <c r="B400" s="777">
        <v>80095</v>
      </c>
      <c r="C400" s="1253" t="s">
        <v>1691</v>
      </c>
      <c r="D400" s="1254"/>
      <c r="E400" s="776" t="s">
        <v>250</v>
      </c>
      <c r="F400" s="779">
        <v>1533.6</v>
      </c>
    </row>
    <row r="401" spans="2:6" x14ac:dyDescent="0.2">
      <c r="B401" s="777">
        <v>80096</v>
      </c>
      <c r="C401" s="1253" t="s">
        <v>1643</v>
      </c>
      <c r="D401" s="1254"/>
      <c r="E401" s="776" t="s">
        <v>250</v>
      </c>
      <c r="F401" s="779">
        <v>2724.07</v>
      </c>
    </row>
    <row r="402" spans="2:6" x14ac:dyDescent="0.2">
      <c r="B402" s="777">
        <v>80097</v>
      </c>
      <c r="C402" s="1253" t="s">
        <v>1142</v>
      </c>
      <c r="D402" s="1254"/>
      <c r="E402" s="776" t="s">
        <v>250</v>
      </c>
      <c r="F402" s="779">
        <v>9203.2800000000007</v>
      </c>
    </row>
    <row r="403" spans="2:6" x14ac:dyDescent="0.2">
      <c r="B403" s="777">
        <v>80098</v>
      </c>
      <c r="C403" s="1253" t="s">
        <v>1629</v>
      </c>
      <c r="D403" s="1254"/>
      <c r="E403" s="776" t="s">
        <v>250</v>
      </c>
      <c r="F403" s="781">
        <v>27997.53</v>
      </c>
    </row>
    <row r="404" spans="2:6" x14ac:dyDescent="0.2">
      <c r="B404" s="777">
        <v>80099</v>
      </c>
      <c r="C404" s="1253" t="s">
        <v>1630</v>
      </c>
      <c r="D404" s="1254"/>
      <c r="E404" s="776" t="s">
        <v>250</v>
      </c>
      <c r="F404" s="780">
        <v>104604.11</v>
      </c>
    </row>
    <row r="405" spans="2:6" x14ac:dyDescent="0.2">
      <c r="B405" s="777">
        <v>80100</v>
      </c>
      <c r="C405" s="1253" t="s">
        <v>1631</v>
      </c>
      <c r="D405" s="1254"/>
      <c r="E405" s="776" t="s">
        <v>250</v>
      </c>
      <c r="F405" s="780">
        <v>103930.09</v>
      </c>
    </row>
    <row r="406" spans="2:6" x14ac:dyDescent="0.2">
      <c r="B406" s="777">
        <v>80101</v>
      </c>
      <c r="C406" s="1253" t="s">
        <v>1632</v>
      </c>
      <c r="D406" s="1254"/>
      <c r="E406" s="776" t="s">
        <v>250</v>
      </c>
      <c r="F406" s="780">
        <v>101236.08</v>
      </c>
    </row>
    <row r="407" spans="2:6" ht="12.75" customHeight="1" x14ac:dyDescent="0.2">
      <c r="B407" s="777">
        <v>80102</v>
      </c>
      <c r="C407" s="1253" t="s">
        <v>1645</v>
      </c>
      <c r="D407" s="1254"/>
      <c r="E407" s="776" t="s">
        <v>250</v>
      </c>
      <c r="F407" s="779">
        <v>4043.8</v>
      </c>
    </row>
    <row r="408" spans="2:6" x14ac:dyDescent="0.2">
      <c r="B408" s="777">
        <v>80103</v>
      </c>
      <c r="C408" s="1253" t="s">
        <v>1646</v>
      </c>
      <c r="D408" s="1254"/>
      <c r="E408" s="776" t="s">
        <v>250</v>
      </c>
      <c r="F408" s="784">
        <v>622.96</v>
      </c>
    </row>
    <row r="409" spans="2:6" x14ac:dyDescent="0.2">
      <c r="B409" s="777">
        <v>80104</v>
      </c>
      <c r="C409" s="1253" t="s">
        <v>1647</v>
      </c>
      <c r="D409" s="1254"/>
      <c r="E409" s="776" t="s">
        <v>250</v>
      </c>
      <c r="F409" s="781">
        <v>12232.58</v>
      </c>
    </row>
    <row r="410" spans="2:6" x14ac:dyDescent="0.2">
      <c r="B410" s="777">
        <v>80105</v>
      </c>
      <c r="C410" s="1253" t="s">
        <v>1143</v>
      </c>
      <c r="D410" s="1254"/>
      <c r="E410" s="776" t="s">
        <v>250</v>
      </c>
      <c r="F410" s="779">
        <v>7857.64</v>
      </c>
    </row>
    <row r="411" spans="2:6" x14ac:dyDescent="0.2">
      <c r="B411" s="777">
        <v>80106</v>
      </c>
      <c r="C411" s="1253" t="s">
        <v>1144</v>
      </c>
      <c r="D411" s="1254"/>
      <c r="E411" s="776" t="s">
        <v>250</v>
      </c>
      <c r="F411" s="779">
        <v>1129.5</v>
      </c>
    </row>
    <row r="412" spans="2:6" x14ac:dyDescent="0.2">
      <c r="B412" s="777">
        <v>80107</v>
      </c>
      <c r="C412" s="1253" t="s">
        <v>1145</v>
      </c>
      <c r="D412" s="1254"/>
      <c r="E412" s="776" t="s">
        <v>250</v>
      </c>
      <c r="F412" s="784">
        <v>666.83</v>
      </c>
    </row>
    <row r="413" spans="2:6" x14ac:dyDescent="0.2">
      <c r="B413" s="777">
        <v>80108</v>
      </c>
      <c r="C413" s="1253" t="s">
        <v>1146</v>
      </c>
      <c r="D413" s="1254"/>
      <c r="E413" s="776" t="s">
        <v>250</v>
      </c>
      <c r="F413" s="779">
        <v>2557.0100000000002</v>
      </c>
    </row>
    <row r="414" spans="2:6" x14ac:dyDescent="0.2">
      <c r="B414" s="777">
        <v>80109</v>
      </c>
      <c r="C414" s="1253" t="s">
        <v>1147</v>
      </c>
      <c r="D414" s="1254"/>
      <c r="E414" s="776" t="s">
        <v>250</v>
      </c>
      <c r="F414" s="779">
        <v>5195.08</v>
      </c>
    </row>
    <row r="415" spans="2:6" x14ac:dyDescent="0.2">
      <c r="B415" s="777">
        <v>80110</v>
      </c>
      <c r="C415" s="1253" t="s">
        <v>1694</v>
      </c>
      <c r="D415" s="1254"/>
      <c r="E415" s="776" t="s">
        <v>250</v>
      </c>
      <c r="F415" s="781">
        <v>45857.32</v>
      </c>
    </row>
    <row r="416" spans="2:6" x14ac:dyDescent="0.2">
      <c r="B416" s="777">
        <v>80111</v>
      </c>
      <c r="C416" s="1253" t="s">
        <v>1695</v>
      </c>
      <c r="D416" s="1254"/>
      <c r="E416" s="776" t="s">
        <v>250</v>
      </c>
      <c r="F416" s="779">
        <v>4848.3</v>
      </c>
    </row>
    <row r="417" spans="2:6" ht="12.75" customHeight="1" x14ac:dyDescent="0.2">
      <c r="B417" s="777">
        <v>80112</v>
      </c>
      <c r="C417" s="1253" t="s">
        <v>1148</v>
      </c>
      <c r="D417" s="1254"/>
      <c r="E417" s="776" t="s">
        <v>250</v>
      </c>
      <c r="F417" s="781">
        <v>25763.34</v>
      </c>
    </row>
    <row r="418" spans="2:6" x14ac:dyDescent="0.2">
      <c r="B418" s="777">
        <v>80113</v>
      </c>
      <c r="C418" s="1253" t="s">
        <v>1149</v>
      </c>
      <c r="D418" s="1254"/>
      <c r="E418" s="776" t="s">
        <v>250</v>
      </c>
      <c r="F418" s="779">
        <v>4848.3</v>
      </c>
    </row>
    <row r="419" spans="2:6" x14ac:dyDescent="0.2">
      <c r="B419" s="777">
        <v>80114</v>
      </c>
      <c r="C419" s="1253" t="s">
        <v>1150</v>
      </c>
      <c r="D419" s="1254"/>
      <c r="E419" s="776" t="s">
        <v>250</v>
      </c>
      <c r="F419" s="781">
        <v>21480.51</v>
      </c>
    </row>
    <row r="420" spans="2:6" x14ac:dyDescent="0.2">
      <c r="B420" s="777">
        <v>80115</v>
      </c>
      <c r="C420" s="1253" t="s">
        <v>1696</v>
      </c>
      <c r="D420" s="1254"/>
      <c r="E420" s="776" t="s">
        <v>250</v>
      </c>
      <c r="F420" s="781">
        <v>19948.990000000002</v>
      </c>
    </row>
    <row r="421" spans="2:6" ht="12.75" customHeight="1" x14ac:dyDescent="0.2">
      <c r="B421" s="777">
        <v>80116</v>
      </c>
      <c r="C421" s="1253" t="s">
        <v>1151</v>
      </c>
      <c r="D421" s="1254"/>
      <c r="E421" s="776" t="s">
        <v>250</v>
      </c>
      <c r="F421" s="781">
        <v>80963.58</v>
      </c>
    </row>
    <row r="422" spans="2:6" ht="12.75" customHeight="1" x14ac:dyDescent="0.2">
      <c r="B422" s="777">
        <v>80117</v>
      </c>
      <c r="C422" s="1253" t="s">
        <v>1152</v>
      </c>
      <c r="D422" s="1254"/>
      <c r="E422" s="776" t="s">
        <v>250</v>
      </c>
      <c r="F422" s="781">
        <v>96242.97</v>
      </c>
    </row>
    <row r="423" spans="2:6" ht="12.75" customHeight="1" x14ac:dyDescent="0.2">
      <c r="B423" s="777">
        <v>80118</v>
      </c>
      <c r="C423" s="1253" t="s">
        <v>1153</v>
      </c>
      <c r="D423" s="1254"/>
      <c r="E423" s="776" t="s">
        <v>250</v>
      </c>
      <c r="F423" s="781">
        <v>10703.26</v>
      </c>
    </row>
    <row r="424" spans="2:6" ht="12.75" customHeight="1" x14ac:dyDescent="0.2">
      <c r="B424" s="777">
        <v>80119</v>
      </c>
      <c r="C424" s="1253" t="s">
        <v>1154</v>
      </c>
      <c r="D424" s="1254"/>
      <c r="E424" s="776" t="s">
        <v>1</v>
      </c>
      <c r="F424" s="782">
        <v>12.012</v>
      </c>
    </row>
    <row r="425" spans="2:6" x14ac:dyDescent="0.2">
      <c r="B425" s="777">
        <v>80120</v>
      </c>
      <c r="C425" s="1253" t="s">
        <v>1155</v>
      </c>
      <c r="D425" s="1254"/>
      <c r="E425" s="776" t="s">
        <v>1</v>
      </c>
      <c r="F425" s="782">
        <v>76.657200000000003</v>
      </c>
    </row>
    <row r="426" spans="2:6" x14ac:dyDescent="0.2">
      <c r="B426" s="777">
        <v>80121</v>
      </c>
      <c r="C426" s="1253" t="s">
        <v>1156</v>
      </c>
      <c r="D426" s="1254"/>
      <c r="E426" s="776" t="s">
        <v>1</v>
      </c>
      <c r="F426" s="783">
        <v>7.4850000000000003</v>
      </c>
    </row>
    <row r="427" spans="2:6" ht="12.75" customHeight="1" x14ac:dyDescent="0.2">
      <c r="B427" s="777">
        <v>80122</v>
      </c>
      <c r="C427" s="1253" t="s">
        <v>1157</v>
      </c>
      <c r="D427" s="1254"/>
      <c r="E427" s="776" t="s">
        <v>3</v>
      </c>
      <c r="F427" s="784">
        <v>101.17919999999999</v>
      </c>
    </row>
    <row r="428" spans="2:6" ht="12.75" customHeight="1" x14ac:dyDescent="0.2">
      <c r="B428" s="777">
        <v>80123</v>
      </c>
      <c r="C428" s="1253" t="s">
        <v>829</v>
      </c>
      <c r="D428" s="1254"/>
      <c r="E428" s="776" t="s">
        <v>1</v>
      </c>
      <c r="F428" s="782">
        <v>40</v>
      </c>
    </row>
    <row r="429" spans="2:6" x14ac:dyDescent="0.2">
      <c r="B429" s="777">
        <v>80124</v>
      </c>
      <c r="C429" s="1253" t="s">
        <v>1158</v>
      </c>
      <c r="D429" s="1254"/>
      <c r="E429" s="776" t="s">
        <v>250</v>
      </c>
      <c r="F429" s="779">
        <v>1343.54</v>
      </c>
    </row>
    <row r="430" spans="2:6" ht="12.75" customHeight="1" x14ac:dyDescent="0.2">
      <c r="B430" s="777">
        <v>80125</v>
      </c>
      <c r="C430" s="1253" t="s">
        <v>1159</v>
      </c>
      <c r="D430" s="1254"/>
      <c r="E430" s="776" t="s">
        <v>250</v>
      </c>
      <c r="F430" s="779">
        <v>1343.54</v>
      </c>
    </row>
    <row r="431" spans="2:6" ht="12.75" customHeight="1" x14ac:dyDescent="0.2">
      <c r="B431" s="777">
        <v>80126</v>
      </c>
      <c r="C431" s="1253" t="s">
        <v>1160</v>
      </c>
      <c r="D431" s="1254"/>
      <c r="E431" s="776" t="s">
        <v>250</v>
      </c>
      <c r="F431" s="781">
        <v>74314.89</v>
      </c>
    </row>
    <row r="432" spans="2:6" ht="12.75" customHeight="1" x14ac:dyDescent="0.2">
      <c r="B432" s="777">
        <v>80127</v>
      </c>
      <c r="C432" s="1253" t="s">
        <v>1161</v>
      </c>
      <c r="D432" s="1254"/>
      <c r="E432" s="776" t="s">
        <v>250</v>
      </c>
      <c r="F432" s="780">
        <v>751244.18</v>
      </c>
    </row>
    <row r="433" spans="2:6" ht="12.75" customHeight="1" x14ac:dyDescent="0.2">
      <c r="B433" s="777">
        <v>80128</v>
      </c>
      <c r="C433" s="1253" t="s">
        <v>1162</v>
      </c>
      <c r="D433" s="1254"/>
      <c r="E433" s="776" t="s">
        <v>250</v>
      </c>
      <c r="F433" s="781">
        <v>68748.320000000007</v>
      </c>
    </row>
    <row r="434" spans="2:6" ht="12.75" customHeight="1" x14ac:dyDescent="0.2">
      <c r="B434" s="777">
        <v>80129</v>
      </c>
      <c r="C434" s="1253" t="s">
        <v>1163</v>
      </c>
      <c r="D434" s="1254"/>
      <c r="E434" s="776" t="s">
        <v>250</v>
      </c>
      <c r="F434" s="781">
        <v>21807.68</v>
      </c>
    </row>
    <row r="435" spans="2:6" x14ac:dyDescent="0.2">
      <c r="B435" s="777">
        <v>80130</v>
      </c>
      <c r="C435" s="1253" t="s">
        <v>1164</v>
      </c>
      <c r="D435" s="1254"/>
      <c r="E435" s="776" t="s">
        <v>250</v>
      </c>
      <c r="F435" s="780">
        <v>114701.96</v>
      </c>
    </row>
    <row r="436" spans="2:6" ht="12.75" customHeight="1" x14ac:dyDescent="0.2">
      <c r="B436" s="777">
        <v>80131</v>
      </c>
      <c r="C436" s="1253" t="s">
        <v>1165</v>
      </c>
      <c r="D436" s="1254"/>
      <c r="E436" s="776" t="s">
        <v>250</v>
      </c>
      <c r="F436" s="779">
        <v>8487.2800000000007</v>
      </c>
    </row>
    <row r="437" spans="2:6" ht="12.75" customHeight="1" x14ac:dyDescent="0.2">
      <c r="B437" s="777">
        <v>80132</v>
      </c>
      <c r="C437" s="1253" t="s">
        <v>1166</v>
      </c>
      <c r="D437" s="1254"/>
      <c r="E437" s="776" t="s">
        <v>1</v>
      </c>
      <c r="F437" s="782">
        <v>30</v>
      </c>
    </row>
    <row r="438" spans="2:6" ht="12.75" customHeight="1" x14ac:dyDescent="0.2">
      <c r="B438" s="777">
        <v>80133</v>
      </c>
      <c r="C438" s="1253" t="s">
        <v>1167</v>
      </c>
      <c r="D438" s="1254"/>
      <c r="E438" s="776" t="s">
        <v>3</v>
      </c>
      <c r="F438" s="783">
        <v>6.5</v>
      </c>
    </row>
    <row r="439" spans="2:6" x14ac:dyDescent="0.2">
      <c r="B439" s="777">
        <v>80134</v>
      </c>
      <c r="C439" s="1253" t="s">
        <v>1168</v>
      </c>
      <c r="D439" s="1254"/>
      <c r="E439" s="776" t="s">
        <v>3</v>
      </c>
      <c r="F439" s="782">
        <v>20.524999999999999</v>
      </c>
    </row>
    <row r="440" spans="2:6" x14ac:dyDescent="0.2">
      <c r="B440" s="777">
        <v>80135</v>
      </c>
      <c r="C440" s="1253" t="s">
        <v>1169</v>
      </c>
      <c r="D440" s="1254"/>
      <c r="E440" s="776" t="s">
        <v>1</v>
      </c>
      <c r="F440" s="782">
        <v>45</v>
      </c>
    </row>
    <row r="441" spans="2:6" x14ac:dyDescent="0.2">
      <c r="B441" s="777">
        <v>80136</v>
      </c>
      <c r="C441" s="1253" t="s">
        <v>1170</v>
      </c>
      <c r="D441" s="1254"/>
      <c r="E441" s="776" t="s">
        <v>250</v>
      </c>
      <c r="F441" s="781">
        <v>60000</v>
      </c>
    </row>
    <row r="442" spans="2:6" x14ac:dyDescent="0.2">
      <c r="B442" s="777">
        <v>80137</v>
      </c>
      <c r="C442" s="1253" t="s">
        <v>1171</v>
      </c>
      <c r="D442" s="1254"/>
      <c r="E442" s="776" t="s">
        <v>250</v>
      </c>
      <c r="F442" s="781">
        <v>68251.5</v>
      </c>
    </row>
    <row r="443" spans="2:6" x14ac:dyDescent="0.2">
      <c r="B443" s="777">
        <v>80138</v>
      </c>
      <c r="C443" s="1253" t="s">
        <v>1172</v>
      </c>
      <c r="D443" s="1254"/>
      <c r="E443" s="776" t="s">
        <v>250</v>
      </c>
      <c r="F443" s="780">
        <v>450000</v>
      </c>
    </row>
    <row r="467" spans="13:13" x14ac:dyDescent="0.2">
      <c r="M467" t="e">
        <f>VLOOKUP(J467,Preços!$C$6:$E$1205,4,FALSE)</f>
        <v>#N/A</v>
      </c>
    </row>
  </sheetData>
  <mergeCells count="439">
    <mergeCell ref="C414:D41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03:D403"/>
    <mergeCell ref="C404:D404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392:D392"/>
    <mergeCell ref="C393:D393"/>
    <mergeCell ref="C386:D386"/>
    <mergeCell ref="C387:D387"/>
    <mergeCell ref="C388:D388"/>
    <mergeCell ref="C389:D389"/>
    <mergeCell ref="C390:D390"/>
    <mergeCell ref="C391:D391"/>
    <mergeCell ref="C380:D380"/>
    <mergeCell ref="C381:D381"/>
    <mergeCell ref="C382:D382"/>
    <mergeCell ref="C383:D383"/>
    <mergeCell ref="C384:D384"/>
    <mergeCell ref="C385:D385"/>
    <mergeCell ref="C375:D375"/>
    <mergeCell ref="C376:D376"/>
    <mergeCell ref="C377:D377"/>
    <mergeCell ref="C378:D378"/>
    <mergeCell ref="C379:D379"/>
    <mergeCell ref="C369:D369"/>
    <mergeCell ref="C370:D370"/>
    <mergeCell ref="C371:D371"/>
    <mergeCell ref="C372:D372"/>
    <mergeCell ref="C373:D373"/>
    <mergeCell ref="C374:D374"/>
    <mergeCell ref="C363:D363"/>
    <mergeCell ref="C364:D364"/>
    <mergeCell ref="C365:D365"/>
    <mergeCell ref="C366:D366"/>
    <mergeCell ref="C367:D367"/>
    <mergeCell ref="C368:D368"/>
    <mergeCell ref="C357:D357"/>
    <mergeCell ref="C358:D358"/>
    <mergeCell ref="C359:D359"/>
    <mergeCell ref="C360:D360"/>
    <mergeCell ref="C361:D361"/>
    <mergeCell ref="C362:D362"/>
    <mergeCell ref="C351:D351"/>
    <mergeCell ref="C352:D352"/>
    <mergeCell ref="C353:D353"/>
    <mergeCell ref="C354:D354"/>
    <mergeCell ref="C355:D355"/>
    <mergeCell ref="C356:D356"/>
    <mergeCell ref="C345:D345"/>
    <mergeCell ref="C346:D346"/>
    <mergeCell ref="C347:D347"/>
    <mergeCell ref="C348:D348"/>
    <mergeCell ref="C349:D349"/>
    <mergeCell ref="C350:D350"/>
    <mergeCell ref="C339:D339"/>
    <mergeCell ref="C340:D340"/>
    <mergeCell ref="C341:D341"/>
    <mergeCell ref="C342:D342"/>
    <mergeCell ref="C343:D343"/>
    <mergeCell ref="C344:D344"/>
    <mergeCell ref="C333:D333"/>
    <mergeCell ref="C334:D334"/>
    <mergeCell ref="C335:D335"/>
    <mergeCell ref="C336:D336"/>
    <mergeCell ref="C337:D337"/>
    <mergeCell ref="C338:D338"/>
    <mergeCell ref="C327:D327"/>
    <mergeCell ref="C328:D328"/>
    <mergeCell ref="C329:D329"/>
    <mergeCell ref="C330:D330"/>
    <mergeCell ref="C331:D331"/>
    <mergeCell ref="C332:D332"/>
    <mergeCell ref="C321:D321"/>
    <mergeCell ref="C322:D322"/>
    <mergeCell ref="C323:D323"/>
    <mergeCell ref="C324:D324"/>
    <mergeCell ref="C325:D325"/>
    <mergeCell ref="C326:D326"/>
    <mergeCell ref="C315:D315"/>
    <mergeCell ref="C316:D316"/>
    <mergeCell ref="C317:D317"/>
    <mergeCell ref="C318:D318"/>
    <mergeCell ref="C319:D319"/>
    <mergeCell ref="C320:D320"/>
    <mergeCell ref="C309:D309"/>
    <mergeCell ref="C310:D310"/>
    <mergeCell ref="C311:D311"/>
    <mergeCell ref="C312:D312"/>
    <mergeCell ref="C313:D313"/>
    <mergeCell ref="C314:D314"/>
    <mergeCell ref="C303:D303"/>
    <mergeCell ref="C304:D304"/>
    <mergeCell ref="C305:D305"/>
    <mergeCell ref="C306:D306"/>
    <mergeCell ref="C307:D307"/>
    <mergeCell ref="C308:D308"/>
    <mergeCell ref="C297:D297"/>
    <mergeCell ref="C298:D298"/>
    <mergeCell ref="C299:D299"/>
    <mergeCell ref="C300:D300"/>
    <mergeCell ref="C301:D301"/>
    <mergeCell ref="C302:D302"/>
    <mergeCell ref="C291:D291"/>
    <mergeCell ref="C292:D292"/>
    <mergeCell ref="C293:D293"/>
    <mergeCell ref="C294:D294"/>
    <mergeCell ref="C295:D295"/>
    <mergeCell ref="C296:D296"/>
    <mergeCell ref="C285:D285"/>
    <mergeCell ref="C286:D286"/>
    <mergeCell ref="C287:D287"/>
    <mergeCell ref="C288:D288"/>
    <mergeCell ref="C289:D289"/>
    <mergeCell ref="C290:D290"/>
    <mergeCell ref="C279:D279"/>
    <mergeCell ref="C280:D280"/>
    <mergeCell ref="C281:D281"/>
    <mergeCell ref="C282:D282"/>
    <mergeCell ref="C283:D283"/>
    <mergeCell ref="C284:D284"/>
    <mergeCell ref="C273:D273"/>
    <mergeCell ref="C274:D274"/>
    <mergeCell ref="C275:D275"/>
    <mergeCell ref="C276:D276"/>
    <mergeCell ref="C277:D277"/>
    <mergeCell ref="C278:D278"/>
    <mergeCell ref="C267:D267"/>
    <mergeCell ref="C268:D268"/>
    <mergeCell ref="C269:D269"/>
    <mergeCell ref="C270:D270"/>
    <mergeCell ref="C271:D271"/>
    <mergeCell ref="C272:D272"/>
    <mergeCell ref="C261:D261"/>
    <mergeCell ref="C262:D262"/>
    <mergeCell ref="C263:D263"/>
    <mergeCell ref="C264:D264"/>
    <mergeCell ref="C265:D265"/>
    <mergeCell ref="C266:D266"/>
    <mergeCell ref="C255:D255"/>
    <mergeCell ref="C256:D256"/>
    <mergeCell ref="C257:D257"/>
    <mergeCell ref="C258:D258"/>
    <mergeCell ref="C259:D259"/>
    <mergeCell ref="C260:D260"/>
    <mergeCell ref="C249:D249"/>
    <mergeCell ref="C250:D250"/>
    <mergeCell ref="C251:D251"/>
    <mergeCell ref="C252:D252"/>
    <mergeCell ref="C253:D253"/>
    <mergeCell ref="C254:D254"/>
    <mergeCell ref="C244:D244"/>
    <mergeCell ref="C245:D245"/>
    <mergeCell ref="C246:D246"/>
    <mergeCell ref="C247:D247"/>
    <mergeCell ref="C248:D248"/>
    <mergeCell ref="C238:D238"/>
    <mergeCell ref="C239:D239"/>
    <mergeCell ref="C240:D240"/>
    <mergeCell ref="C241:D241"/>
    <mergeCell ref="C242:D242"/>
    <mergeCell ref="C243:D243"/>
    <mergeCell ref="C232:D232"/>
    <mergeCell ref="C233:D233"/>
    <mergeCell ref="C234:D234"/>
    <mergeCell ref="C235:D235"/>
    <mergeCell ref="C236:D236"/>
    <mergeCell ref="C237:D237"/>
    <mergeCell ref="C226:D226"/>
    <mergeCell ref="C227:D227"/>
    <mergeCell ref="C228:D228"/>
    <mergeCell ref="C229:D229"/>
    <mergeCell ref="C230:D230"/>
    <mergeCell ref="C231:D231"/>
    <mergeCell ref="C220:D220"/>
    <mergeCell ref="C221:D221"/>
    <mergeCell ref="C222:D222"/>
    <mergeCell ref="C223:D223"/>
    <mergeCell ref="C224:D224"/>
    <mergeCell ref="C225:D225"/>
    <mergeCell ref="C214:D214"/>
    <mergeCell ref="C215:D215"/>
    <mergeCell ref="C216:D216"/>
    <mergeCell ref="C217:D217"/>
    <mergeCell ref="C218:D218"/>
    <mergeCell ref="C219:D219"/>
    <mergeCell ref="C208:D208"/>
    <mergeCell ref="C209:D209"/>
    <mergeCell ref="C210:D210"/>
    <mergeCell ref="C211:D211"/>
    <mergeCell ref="C212:D212"/>
    <mergeCell ref="C213:D213"/>
    <mergeCell ref="C202:D202"/>
    <mergeCell ref="C203:D203"/>
    <mergeCell ref="C204:D204"/>
    <mergeCell ref="C205:D205"/>
    <mergeCell ref="C206:D206"/>
    <mergeCell ref="C207:D207"/>
    <mergeCell ref="C196:D196"/>
    <mergeCell ref="C197:D197"/>
    <mergeCell ref="C198:D198"/>
    <mergeCell ref="C199:D199"/>
    <mergeCell ref="C200:D200"/>
    <mergeCell ref="C201:D201"/>
    <mergeCell ref="C190:D190"/>
    <mergeCell ref="C191:D191"/>
    <mergeCell ref="C192:D192"/>
    <mergeCell ref="C193:D193"/>
    <mergeCell ref="C194:D194"/>
    <mergeCell ref="C195:D195"/>
    <mergeCell ref="C184:D184"/>
    <mergeCell ref="C185:D185"/>
    <mergeCell ref="C186:D186"/>
    <mergeCell ref="C187:D187"/>
    <mergeCell ref="C188:D188"/>
    <mergeCell ref="C189:D189"/>
    <mergeCell ref="C178:D178"/>
    <mergeCell ref="C179:D179"/>
    <mergeCell ref="C180:D180"/>
    <mergeCell ref="C181:D181"/>
    <mergeCell ref="C182:D182"/>
    <mergeCell ref="C183:D183"/>
    <mergeCell ref="C172:D172"/>
    <mergeCell ref="C173:D173"/>
    <mergeCell ref="C174:D174"/>
    <mergeCell ref="C175:D175"/>
    <mergeCell ref="C176:D176"/>
    <mergeCell ref="C177:D177"/>
    <mergeCell ref="C166:D166"/>
    <mergeCell ref="C167:D167"/>
    <mergeCell ref="C168:D168"/>
    <mergeCell ref="C169:D169"/>
    <mergeCell ref="C170:D170"/>
    <mergeCell ref="C171:D171"/>
    <mergeCell ref="C160:D160"/>
    <mergeCell ref="C161:D161"/>
    <mergeCell ref="C162:D162"/>
    <mergeCell ref="C163:D163"/>
    <mergeCell ref="C164:D164"/>
    <mergeCell ref="C165:D165"/>
    <mergeCell ref="C154:D154"/>
    <mergeCell ref="C155:D155"/>
    <mergeCell ref="C156:D156"/>
    <mergeCell ref="C157:D157"/>
    <mergeCell ref="C158:D158"/>
    <mergeCell ref="C159:D159"/>
    <mergeCell ref="C148:D148"/>
    <mergeCell ref="C149:D149"/>
    <mergeCell ref="C150:D150"/>
    <mergeCell ref="C151:D151"/>
    <mergeCell ref="C152:D152"/>
    <mergeCell ref="C153:D153"/>
    <mergeCell ref="C142:D142"/>
    <mergeCell ref="C143:D143"/>
    <mergeCell ref="C144:D144"/>
    <mergeCell ref="C145:D145"/>
    <mergeCell ref="C146:D146"/>
    <mergeCell ref="C147:D147"/>
    <mergeCell ref="C136:D136"/>
    <mergeCell ref="C137:D137"/>
    <mergeCell ref="C138:D138"/>
    <mergeCell ref="C139:D139"/>
    <mergeCell ref="C140:D140"/>
    <mergeCell ref="C141:D141"/>
    <mergeCell ref="C130:D130"/>
    <mergeCell ref="C131:D131"/>
    <mergeCell ref="C132:D132"/>
    <mergeCell ref="C133:D133"/>
    <mergeCell ref="C134:D134"/>
    <mergeCell ref="C135:D135"/>
    <mergeCell ref="C124:D124"/>
    <mergeCell ref="C125:D125"/>
    <mergeCell ref="C126:D126"/>
    <mergeCell ref="C127:D127"/>
    <mergeCell ref="C128:D128"/>
    <mergeCell ref="C129:D129"/>
    <mergeCell ref="C118:D118"/>
    <mergeCell ref="C119:D119"/>
    <mergeCell ref="C120:D120"/>
    <mergeCell ref="C121:D121"/>
    <mergeCell ref="C122:D122"/>
    <mergeCell ref="C123:D123"/>
    <mergeCell ref="C112:D112"/>
    <mergeCell ref="C113:D113"/>
    <mergeCell ref="C114:D114"/>
    <mergeCell ref="C115:D115"/>
    <mergeCell ref="C116:D116"/>
    <mergeCell ref="C117:D117"/>
    <mergeCell ref="C106:D106"/>
    <mergeCell ref="C107:D107"/>
    <mergeCell ref="C108:D108"/>
    <mergeCell ref="C109:D109"/>
    <mergeCell ref="C110:D110"/>
    <mergeCell ref="C111:D111"/>
    <mergeCell ref="C100:D100"/>
    <mergeCell ref="C101:D101"/>
    <mergeCell ref="C102:D102"/>
    <mergeCell ref="C103:D103"/>
    <mergeCell ref="C104:D104"/>
    <mergeCell ref="C105:D105"/>
    <mergeCell ref="C94:D94"/>
    <mergeCell ref="C95:D95"/>
    <mergeCell ref="C96:D96"/>
    <mergeCell ref="C97:D97"/>
    <mergeCell ref="C98:D98"/>
    <mergeCell ref="C99:D99"/>
    <mergeCell ref="C88:D88"/>
    <mergeCell ref="C89:D89"/>
    <mergeCell ref="C90:D90"/>
    <mergeCell ref="C91:D91"/>
    <mergeCell ref="C92:D92"/>
    <mergeCell ref="C93:D93"/>
    <mergeCell ref="C82:D82"/>
    <mergeCell ref="C83:D83"/>
    <mergeCell ref="C84:D84"/>
    <mergeCell ref="C85:D85"/>
    <mergeCell ref="C86:D86"/>
    <mergeCell ref="C87:D87"/>
    <mergeCell ref="C76:D76"/>
    <mergeCell ref="C77:D77"/>
    <mergeCell ref="C78:D78"/>
    <mergeCell ref="C79:D79"/>
    <mergeCell ref="C80:D80"/>
    <mergeCell ref="C81:D81"/>
    <mergeCell ref="C70:D70"/>
    <mergeCell ref="C71:D71"/>
    <mergeCell ref="C72:D72"/>
    <mergeCell ref="C73:D73"/>
    <mergeCell ref="C74:D74"/>
    <mergeCell ref="C75:D75"/>
    <mergeCell ref="C64:D64"/>
    <mergeCell ref="C65:D65"/>
    <mergeCell ref="C66:D66"/>
    <mergeCell ref="C67:D67"/>
    <mergeCell ref="C68:D68"/>
    <mergeCell ref="C69:D69"/>
    <mergeCell ref="C58:D58"/>
    <mergeCell ref="C59:D59"/>
    <mergeCell ref="C60:D60"/>
    <mergeCell ref="C61:D61"/>
    <mergeCell ref="C62:D62"/>
    <mergeCell ref="C63:D63"/>
    <mergeCell ref="C52:D52"/>
    <mergeCell ref="C53:D53"/>
    <mergeCell ref="C54:D54"/>
    <mergeCell ref="C55:D55"/>
    <mergeCell ref="C56:D56"/>
    <mergeCell ref="C57:D57"/>
    <mergeCell ref="C46:D46"/>
    <mergeCell ref="C47:D47"/>
    <mergeCell ref="C48:D48"/>
    <mergeCell ref="C49:D49"/>
    <mergeCell ref="C50:D50"/>
    <mergeCell ref="C51:D51"/>
    <mergeCell ref="C40:D40"/>
    <mergeCell ref="C41:D41"/>
    <mergeCell ref="C42:D42"/>
    <mergeCell ref="C43:D43"/>
    <mergeCell ref="C44:D44"/>
    <mergeCell ref="C45:D45"/>
    <mergeCell ref="C34:D34"/>
    <mergeCell ref="C35:D35"/>
    <mergeCell ref="C36:D36"/>
    <mergeCell ref="C37:D37"/>
    <mergeCell ref="C38:D38"/>
    <mergeCell ref="C39:D39"/>
    <mergeCell ref="C29:D29"/>
    <mergeCell ref="C30:D30"/>
    <mergeCell ref="C31:D31"/>
    <mergeCell ref="C32:D32"/>
    <mergeCell ref="C33:D33"/>
    <mergeCell ref="C22:D22"/>
    <mergeCell ref="C23:D23"/>
    <mergeCell ref="C24:D24"/>
    <mergeCell ref="C25:D25"/>
    <mergeCell ref="C26:D26"/>
    <mergeCell ref="C27:D27"/>
    <mergeCell ref="C20:D20"/>
    <mergeCell ref="C21:D21"/>
    <mergeCell ref="C10:D10"/>
    <mergeCell ref="C11:D11"/>
    <mergeCell ref="C12:D12"/>
    <mergeCell ref="C13:D13"/>
    <mergeCell ref="C14:D14"/>
    <mergeCell ref="C15:D15"/>
    <mergeCell ref="C28:D28"/>
    <mergeCell ref="A4:I4"/>
    <mergeCell ref="C6:D6"/>
    <mergeCell ref="C7:D7"/>
    <mergeCell ref="C8:D8"/>
    <mergeCell ref="C9:D9"/>
    <mergeCell ref="C16:D16"/>
    <mergeCell ref="C17:D17"/>
    <mergeCell ref="C18:D18"/>
    <mergeCell ref="C19:D19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33:D433"/>
    <mergeCell ref="C423:D423"/>
    <mergeCell ref="C440:D440"/>
    <mergeCell ref="C441:D441"/>
    <mergeCell ref="C442:D442"/>
    <mergeCell ref="C443:D443"/>
    <mergeCell ref="C439:D439"/>
    <mergeCell ref="C434:D434"/>
    <mergeCell ref="C435:D435"/>
    <mergeCell ref="C436:D436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8:D438"/>
    <mergeCell ref="C437:D43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5"/>
  <sheetViews>
    <sheetView showGridLines="0" topLeftCell="A28" workbookViewId="0">
      <selection activeCell="F50" sqref="F50"/>
    </sheetView>
  </sheetViews>
  <sheetFormatPr defaultRowHeight="12.75" x14ac:dyDescent="0.2"/>
  <cols>
    <col min="1" max="1" width="30.85546875" customWidth="1"/>
  </cols>
  <sheetData>
    <row r="1" spans="1:16" s="53" customFormat="1" ht="15" customHeight="1" x14ac:dyDescent="0.2">
      <c r="A1" s="343"/>
      <c r="B1" s="362" t="s">
        <v>199</v>
      </c>
      <c r="C1" s="339" t="str">
        <f>ORÇAMENTO!I4</f>
        <v>SENSE106</v>
      </c>
      <c r="D1" s="338"/>
      <c r="E1" s="338"/>
      <c r="F1" s="338"/>
      <c r="G1" s="338"/>
      <c r="H1" s="338"/>
      <c r="I1" s="338"/>
      <c r="J1" s="338"/>
      <c r="K1" s="338"/>
      <c r="L1" s="345"/>
      <c r="M1" s="346"/>
      <c r="N1" s="62"/>
      <c r="O1" s="62"/>
      <c r="P1" s="62"/>
    </row>
    <row r="2" spans="1:16" s="215" customFormat="1" ht="15" customHeight="1" x14ac:dyDescent="0.2">
      <c r="A2" s="397"/>
      <c r="B2" s="362" t="s">
        <v>173</v>
      </c>
      <c r="C2" s="363" t="str">
        <f>ORÇAMENTO!I5</f>
        <v>HOLZE EMPREENDIMENTOS</v>
      </c>
      <c r="D2" s="339"/>
      <c r="E2" s="339"/>
      <c r="F2" s="339"/>
      <c r="G2" s="339"/>
      <c r="H2" s="339"/>
      <c r="I2" s="339"/>
      <c r="J2" s="339"/>
      <c r="K2" s="339"/>
      <c r="L2" s="347"/>
      <c r="M2" s="348"/>
    </row>
    <row r="3" spans="1:16" s="215" customFormat="1" ht="15" customHeight="1" x14ac:dyDescent="0.2">
      <c r="A3" s="344"/>
      <c r="B3" s="362" t="s">
        <v>174</v>
      </c>
      <c r="C3" s="633" t="str">
        <f>ORÇAMENTO!O5</f>
        <v>R01 - Edileni Silva</v>
      </c>
      <c r="D3" s="339"/>
      <c r="E3" s="339"/>
      <c r="F3" s="339"/>
      <c r="G3" s="339"/>
      <c r="H3" s="339"/>
      <c r="I3" s="339"/>
      <c r="J3" s="339"/>
      <c r="K3" s="341"/>
      <c r="L3" s="349"/>
      <c r="M3" s="350"/>
    </row>
    <row r="4" spans="1:16" s="59" customFormat="1" ht="20.45" customHeight="1" x14ac:dyDescent="0.2">
      <c r="A4" s="1251" t="s">
        <v>336</v>
      </c>
      <c r="B4" s="1251"/>
      <c r="C4" s="1251"/>
      <c r="D4" s="1251"/>
      <c r="E4" s="1251"/>
      <c r="F4" s="1251"/>
      <c r="G4" s="1251"/>
      <c r="H4" s="1251"/>
      <c r="I4" s="1251"/>
      <c r="J4" s="1251"/>
      <c r="K4" s="1251"/>
      <c r="L4" s="1252"/>
      <c r="M4" s="1252"/>
    </row>
    <row r="41" spans="5:7" x14ac:dyDescent="0.2">
      <c r="E41" s="786" t="s">
        <v>331</v>
      </c>
      <c r="F41" s="785">
        <v>720.16</v>
      </c>
      <c r="G41" s="787" t="s">
        <v>13</v>
      </c>
    </row>
    <row r="42" spans="5:7" x14ac:dyDescent="0.2">
      <c r="E42" s="786" t="s">
        <v>330</v>
      </c>
      <c r="F42" s="785">
        <f>28*2+25.72*2</f>
        <v>107.44</v>
      </c>
      <c r="G42" s="787" t="s">
        <v>3</v>
      </c>
    </row>
    <row r="45" spans="5:7" x14ac:dyDescent="0.2">
      <c r="E45" s="788" t="s">
        <v>228</v>
      </c>
      <c r="F45">
        <v>622.80999999999995</v>
      </c>
    </row>
    <row r="46" spans="5:7" x14ac:dyDescent="0.2">
      <c r="E46" s="788" t="s">
        <v>401</v>
      </c>
      <c r="F46">
        <v>653.04999999999995</v>
      </c>
    </row>
    <row r="47" spans="5:7" x14ac:dyDescent="0.2">
      <c r="E47" s="788" t="s">
        <v>402</v>
      </c>
      <c r="F47">
        <v>653.04999999999995</v>
      </c>
    </row>
    <row r="48" spans="5:7" x14ac:dyDescent="0.2">
      <c r="E48" s="788" t="s">
        <v>403</v>
      </c>
      <c r="F48">
        <v>653.04999999999995</v>
      </c>
    </row>
    <row r="49" spans="5:6" x14ac:dyDescent="0.2">
      <c r="E49" s="788" t="s">
        <v>229</v>
      </c>
      <c r="F49">
        <v>653.04999999999995</v>
      </c>
    </row>
    <row r="50" spans="5:6" x14ac:dyDescent="0.2">
      <c r="E50" s="788" t="s">
        <v>405</v>
      </c>
      <c r="F50">
        <f>269.69*20</f>
        <v>5393.8</v>
      </c>
    </row>
    <row r="51" spans="5:6" x14ac:dyDescent="0.2">
      <c r="E51" s="788" t="s">
        <v>84</v>
      </c>
      <c r="F51">
        <v>269.69</v>
      </c>
    </row>
    <row r="52" spans="5:6" x14ac:dyDescent="0.2">
      <c r="E52" s="788" t="s">
        <v>1216</v>
      </c>
      <c r="F52">
        <v>67.760000000000005</v>
      </c>
    </row>
    <row r="55" spans="5:6" x14ac:dyDescent="0.2">
      <c r="E55" s="788" t="s">
        <v>1470</v>
      </c>
      <c r="F55">
        <f>F45+F46+F47+F48+F49+F50+F52</f>
        <v>8696.5700000000015</v>
      </c>
    </row>
  </sheetData>
  <mergeCells count="1">
    <mergeCell ref="A4:M4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43800"/>
    <pageSetUpPr fitToPage="1"/>
  </sheetPr>
  <dimension ref="A1:H37"/>
  <sheetViews>
    <sheetView showGridLines="0" view="pageBreakPreview" zoomScaleNormal="100" zoomScaleSheetLayoutView="100" workbookViewId="0">
      <selection activeCell="B2" sqref="B2"/>
    </sheetView>
  </sheetViews>
  <sheetFormatPr defaultRowHeight="12.75" x14ac:dyDescent="0.2"/>
  <cols>
    <col min="1" max="1" width="28.7109375" customWidth="1"/>
    <col min="2" max="2" width="19.42578125" customWidth="1"/>
    <col min="3" max="3" width="53.85546875" bestFit="1" customWidth="1"/>
    <col min="4" max="4" width="20.7109375" customWidth="1"/>
    <col min="5" max="5" width="24.7109375" customWidth="1"/>
    <col min="7" max="7" width="44.7109375" customWidth="1"/>
  </cols>
  <sheetData>
    <row r="1" spans="1:8" s="53" customFormat="1" ht="15" customHeight="1" x14ac:dyDescent="0.2">
      <c r="A1" s="345"/>
      <c r="B1" s="382" t="s">
        <v>199</v>
      </c>
      <c r="C1" s="383" t="str">
        <f>ORÇAMENTO!I4</f>
        <v>SENSE106</v>
      </c>
      <c r="D1" s="386"/>
      <c r="E1" s="346"/>
      <c r="F1" s="62"/>
      <c r="G1" s="62"/>
      <c r="H1" s="62"/>
    </row>
    <row r="2" spans="1:8" s="53" customFormat="1" ht="15" customHeight="1" x14ac:dyDescent="0.2">
      <c r="A2" s="411"/>
      <c r="B2" s="382" t="s">
        <v>173</v>
      </c>
      <c r="C2" s="413" t="str">
        <f>ORÇAMENTO!I5</f>
        <v>HOLZE EMPREENDIMENTOS</v>
      </c>
      <c r="D2" s="386"/>
      <c r="E2" s="412"/>
      <c r="F2" s="62"/>
      <c r="G2" s="62"/>
      <c r="H2" s="62"/>
    </row>
    <row r="3" spans="1:8" s="59" customFormat="1" ht="15" customHeight="1" x14ac:dyDescent="0.2">
      <c r="A3" s="355"/>
      <c r="B3" s="384" t="s">
        <v>174</v>
      </c>
      <c r="C3" s="385" t="s">
        <v>175</v>
      </c>
      <c r="D3" s="387"/>
      <c r="E3" s="350"/>
    </row>
    <row r="4" spans="1:8" s="59" customFormat="1" ht="20.45" customHeight="1" x14ac:dyDescent="0.2">
      <c r="A4" s="1251" t="s">
        <v>194</v>
      </c>
      <c r="B4" s="1252"/>
      <c r="C4" s="1252"/>
      <c r="D4" s="1252"/>
      <c r="E4" s="1252"/>
    </row>
    <row r="5" spans="1:8" s="59" customFormat="1" ht="18.600000000000001" customHeight="1" x14ac:dyDescent="0.2">
      <c r="A5" s="392" t="s">
        <v>198</v>
      </c>
      <c r="B5" s="393"/>
      <c r="C5" s="393"/>
      <c r="D5" s="393"/>
      <c r="E5" s="394"/>
    </row>
    <row r="6" spans="1:8" ht="16.899999999999999" customHeight="1" x14ac:dyDescent="0.2">
      <c r="A6" s="366" t="s">
        <v>17</v>
      </c>
      <c r="B6" s="367" t="s">
        <v>190</v>
      </c>
      <c r="C6" s="367" t="s">
        <v>191</v>
      </c>
      <c r="D6" s="367" t="s">
        <v>192</v>
      </c>
      <c r="E6" s="368" t="s">
        <v>193</v>
      </c>
      <c r="G6" s="213"/>
    </row>
    <row r="7" spans="1:8" s="377" customFormat="1" ht="15" customHeight="1" x14ac:dyDescent="0.2">
      <c r="A7" s="374"/>
      <c r="B7" s="375"/>
      <c r="C7" s="376"/>
      <c r="D7" s="389"/>
      <c r="E7" s="388"/>
      <c r="G7" s="213"/>
    </row>
    <row r="8" spans="1:8" s="377" customFormat="1" ht="15" customHeight="1" x14ac:dyDescent="0.2">
      <c r="A8" s="378"/>
      <c r="B8" s="379"/>
      <c r="C8" s="380"/>
      <c r="D8" s="390"/>
      <c r="E8" s="372"/>
      <c r="G8" s="213"/>
    </row>
    <row r="9" spans="1:8" s="377" customFormat="1" ht="15" customHeight="1" x14ac:dyDescent="0.2">
      <c r="A9" s="378"/>
      <c r="B9" s="381"/>
      <c r="C9" s="380"/>
      <c r="D9" s="390"/>
      <c r="E9" s="372"/>
    </row>
    <row r="10" spans="1:8" ht="15" customHeight="1" x14ac:dyDescent="0.2">
      <c r="A10" s="378"/>
      <c r="B10" s="381"/>
      <c r="C10" s="370"/>
      <c r="D10" s="390"/>
      <c r="E10" s="372"/>
    </row>
    <row r="11" spans="1:8" ht="15" customHeight="1" x14ac:dyDescent="0.2">
      <c r="A11" s="369"/>
      <c r="B11" s="371"/>
      <c r="C11" s="365"/>
      <c r="D11" s="390"/>
      <c r="E11" s="373"/>
    </row>
    <row r="12" spans="1:8" ht="15" customHeight="1" x14ac:dyDescent="0.2">
      <c r="A12" s="369"/>
      <c r="B12" s="371"/>
      <c r="C12" s="370"/>
      <c r="D12" s="391"/>
      <c r="E12" s="373"/>
    </row>
    <row r="13" spans="1:8" ht="15" customHeight="1" x14ac:dyDescent="0.2">
      <c r="A13" s="369"/>
      <c r="B13" s="371"/>
      <c r="C13" s="370"/>
      <c r="D13" s="391"/>
      <c r="E13" s="373"/>
    </row>
    <row r="14" spans="1:8" ht="15" customHeight="1" x14ac:dyDescent="0.2">
      <c r="A14" s="369"/>
      <c r="B14" s="371"/>
      <c r="C14" s="370"/>
      <c r="D14" s="391"/>
      <c r="E14" s="373"/>
    </row>
    <row r="15" spans="1:8" ht="15" customHeight="1" x14ac:dyDescent="0.2">
      <c r="A15" s="369"/>
      <c r="B15" s="371"/>
      <c r="C15" s="370"/>
      <c r="D15" s="391"/>
      <c r="E15" s="373"/>
    </row>
    <row r="16" spans="1:8" ht="15" customHeight="1" x14ac:dyDescent="0.2">
      <c r="A16" s="369"/>
      <c r="B16" s="371"/>
      <c r="C16" s="370"/>
      <c r="D16" s="391"/>
      <c r="E16" s="373"/>
    </row>
    <row r="17" spans="1:5" ht="15" customHeight="1" x14ac:dyDescent="0.2">
      <c r="A17" s="369"/>
      <c r="B17" s="371"/>
      <c r="C17" s="370"/>
      <c r="D17" s="391"/>
      <c r="E17" s="373"/>
    </row>
    <row r="18" spans="1:5" ht="15" customHeight="1" x14ac:dyDescent="0.2">
      <c r="A18" s="369"/>
      <c r="B18" s="371"/>
      <c r="C18" s="370"/>
      <c r="D18" s="391"/>
      <c r="E18" s="373"/>
    </row>
    <row r="19" spans="1:5" ht="15" customHeight="1" x14ac:dyDescent="0.2">
      <c r="A19" s="369"/>
      <c r="B19" s="371"/>
      <c r="C19" s="370"/>
      <c r="D19" s="391"/>
      <c r="E19" s="373"/>
    </row>
    <row r="20" spans="1:5" ht="15" customHeight="1" x14ac:dyDescent="0.2">
      <c r="A20" s="369"/>
      <c r="B20" s="371"/>
      <c r="C20" s="370"/>
      <c r="D20" s="391"/>
      <c r="E20" s="373"/>
    </row>
    <row r="21" spans="1:5" ht="15" customHeight="1" x14ac:dyDescent="0.2">
      <c r="A21" s="369"/>
      <c r="B21" s="371"/>
      <c r="C21" s="370"/>
      <c r="D21" s="391"/>
      <c r="E21" s="373"/>
    </row>
    <row r="22" spans="1:5" ht="15" customHeight="1" x14ac:dyDescent="0.2">
      <c r="A22" s="369"/>
      <c r="B22" s="371"/>
      <c r="C22" s="370"/>
      <c r="D22" s="391"/>
      <c r="E22" s="373"/>
    </row>
    <row r="23" spans="1:5" ht="15" customHeight="1" x14ac:dyDescent="0.2">
      <c r="A23" s="369"/>
      <c r="B23" s="371"/>
      <c r="C23" s="370"/>
      <c r="D23" s="391"/>
      <c r="E23" s="373"/>
    </row>
    <row r="24" spans="1:5" ht="15" customHeight="1" x14ac:dyDescent="0.2">
      <c r="A24" s="369"/>
      <c r="B24" s="371"/>
      <c r="C24" s="370"/>
      <c r="D24" s="391"/>
      <c r="E24" s="373"/>
    </row>
    <row r="25" spans="1:5" ht="15" customHeight="1" x14ac:dyDescent="0.2">
      <c r="A25" s="369"/>
      <c r="B25" s="371"/>
      <c r="C25" s="370"/>
      <c r="D25" s="391"/>
      <c r="E25" s="373"/>
    </row>
    <row r="26" spans="1:5" ht="15" customHeight="1" x14ac:dyDescent="0.2">
      <c r="A26" s="369"/>
      <c r="B26" s="371"/>
      <c r="C26" s="370"/>
      <c r="D26" s="391"/>
      <c r="E26" s="373"/>
    </row>
    <row r="27" spans="1:5" ht="15" customHeight="1" x14ac:dyDescent="0.2">
      <c r="A27" s="369"/>
      <c r="B27" s="371"/>
      <c r="C27" s="370"/>
      <c r="D27" s="391"/>
      <c r="E27" s="373"/>
    </row>
    <row r="28" spans="1:5" ht="15" customHeight="1" x14ac:dyDescent="0.2">
      <c r="A28" s="369"/>
      <c r="B28" s="371"/>
      <c r="C28" s="370"/>
      <c r="D28" s="391"/>
      <c r="E28" s="373"/>
    </row>
    <row r="29" spans="1:5" ht="15" customHeight="1" x14ac:dyDescent="0.2">
      <c r="A29" s="369"/>
      <c r="B29" s="371"/>
      <c r="C29" s="370"/>
      <c r="D29" s="391"/>
      <c r="E29" s="373"/>
    </row>
    <row r="30" spans="1:5" ht="15" customHeight="1" x14ac:dyDescent="0.2">
      <c r="A30" s="369"/>
      <c r="B30" s="371"/>
      <c r="C30" s="370"/>
      <c r="D30" s="391"/>
      <c r="E30" s="373"/>
    </row>
    <row r="31" spans="1:5" ht="15" customHeight="1" x14ac:dyDescent="0.2">
      <c r="A31" s="369"/>
      <c r="B31" s="371"/>
      <c r="C31" s="370"/>
      <c r="D31" s="391"/>
      <c r="E31" s="373"/>
    </row>
    <row r="32" spans="1:5" ht="15" customHeight="1" x14ac:dyDescent="0.2">
      <c r="A32" s="369"/>
      <c r="B32" s="371"/>
      <c r="C32" s="370"/>
      <c r="D32" s="391"/>
      <c r="E32" s="373"/>
    </row>
    <row r="33" spans="1:5" ht="15" customHeight="1" x14ac:dyDescent="0.2">
      <c r="A33" s="369"/>
      <c r="B33" s="371"/>
      <c r="C33" s="370"/>
      <c r="D33" s="391"/>
      <c r="E33" s="373"/>
    </row>
    <row r="34" spans="1:5" ht="15" customHeight="1" x14ac:dyDescent="0.2">
      <c r="A34" s="369"/>
      <c r="B34" s="371"/>
      <c r="C34" s="370"/>
      <c r="D34" s="391"/>
      <c r="E34" s="373"/>
    </row>
    <row r="35" spans="1:5" ht="15" customHeight="1" x14ac:dyDescent="0.2">
      <c r="A35" s="369"/>
      <c r="B35" s="371"/>
      <c r="C35" s="370"/>
      <c r="D35" s="391"/>
      <c r="E35" s="373"/>
    </row>
    <row r="36" spans="1:5" ht="15" customHeight="1" x14ac:dyDescent="0.2">
      <c r="A36" s="369"/>
      <c r="B36" s="371"/>
      <c r="C36" s="370"/>
      <c r="D36" s="391"/>
      <c r="E36" s="373"/>
    </row>
    <row r="37" spans="1:5" ht="15" customHeight="1" x14ac:dyDescent="0.2">
      <c r="A37" s="369"/>
      <c r="B37" s="371"/>
      <c r="C37" s="370"/>
      <c r="D37" s="391"/>
      <c r="E37" s="373"/>
    </row>
  </sheetData>
  <mergeCells count="1">
    <mergeCell ref="A4:E4"/>
  </mergeCells>
  <conditionalFormatting sqref="D7:D37">
    <cfRule type="containsText" dxfId="7572" priority="1" operator="containsText" text="Recebido">
      <formula>NOT(ISERROR(SEARCH("Recebido",D7)))</formula>
    </cfRule>
    <cfRule type="containsText" dxfId="7571" priority="2" operator="containsText" text="Aguardando">
      <formula>NOT(ISERROR(SEARCH("Aguardando",D7)))</formula>
    </cfRule>
    <cfRule type="containsText" dxfId="7570" priority="3" operator="containsText" text="Não">
      <formula>NOT(ISERROR(SEARCH("Não",D7)))</formula>
    </cfRule>
  </conditionalFormatting>
  <dataValidations disablePrompts="1" count="1">
    <dataValidation type="list" allowBlank="1" showInputMessage="1" showErrorMessage="1" sqref="D7:D37" xr:uid="{00000000-0002-0000-0900-000000000000}">
      <formula1>"Aguardando, Recebido, Não atuam na região"</formula1>
    </dataValidation>
  </dataValidations>
  <pageMargins left="0.511811024" right="0.511811024" top="0.78740157499999996" bottom="0.78740157499999996" header="0.31496062000000002" footer="0.31496062000000002"/>
  <pageSetup paperSize="9" scale="63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43800"/>
    <pageSetUpPr fitToPage="1"/>
  </sheetPr>
  <dimension ref="A1:P158"/>
  <sheetViews>
    <sheetView showGridLines="0" view="pageBreakPreview" zoomScaleNormal="90" zoomScaleSheetLayoutView="100" workbookViewId="0">
      <pane ySplit="7" topLeftCell="A8" activePane="bottomLeft" state="frozen"/>
      <selection activeCell="B54" sqref="B54"/>
      <selection pane="bottomLeft" activeCell="E39" sqref="E9:E39"/>
    </sheetView>
  </sheetViews>
  <sheetFormatPr defaultRowHeight="11.25" x14ac:dyDescent="0.2"/>
  <cols>
    <col min="1" max="1" width="28.85546875" style="4" customWidth="1"/>
    <col min="2" max="2" width="15.28515625" style="4" bestFit="1" customWidth="1"/>
    <col min="3" max="3" width="7.5703125" style="4" bestFit="1" customWidth="1"/>
    <col min="4" max="4" width="10.5703125" style="4" customWidth="1"/>
    <col min="5" max="5" width="10.140625" style="4" customWidth="1"/>
    <col min="6" max="6" width="14.5703125" style="4" customWidth="1"/>
    <col min="7" max="7" width="9" style="4" customWidth="1"/>
    <col min="8" max="8" width="10.42578125" style="4" customWidth="1"/>
    <col min="9" max="9" width="11" style="4" customWidth="1"/>
    <col min="10" max="10" width="10" style="4" customWidth="1"/>
    <col min="11" max="11" width="9" style="4" bestFit="1" customWidth="1"/>
    <col min="12" max="12" width="10.7109375" style="4" customWidth="1"/>
    <col min="13" max="13" width="11.140625" style="4" customWidth="1"/>
    <col min="14" max="255" width="9.140625" style="4"/>
    <col min="256" max="257" width="11" style="4" customWidth="1"/>
    <col min="258" max="258" width="17.85546875" style="4" customWidth="1"/>
    <col min="259" max="259" width="7.140625" style="4" customWidth="1"/>
    <col min="260" max="261" width="9.140625" style="4"/>
    <col min="262" max="263" width="6.7109375" style="4" customWidth="1"/>
    <col min="264" max="265" width="8.42578125" style="4" customWidth="1"/>
    <col min="266" max="266" width="10" style="4" customWidth="1"/>
    <col min="267" max="267" width="8.42578125" style="4" customWidth="1"/>
    <col min="268" max="268" width="10.7109375" style="4" customWidth="1"/>
    <col min="269" max="269" width="9.7109375" style="4" customWidth="1"/>
    <col min="270" max="511" width="9.140625" style="4"/>
    <col min="512" max="513" width="11" style="4" customWidth="1"/>
    <col min="514" max="514" width="17.85546875" style="4" customWidth="1"/>
    <col min="515" max="515" width="7.140625" style="4" customWidth="1"/>
    <col min="516" max="517" width="9.140625" style="4"/>
    <col min="518" max="519" width="6.7109375" style="4" customWidth="1"/>
    <col min="520" max="521" width="8.42578125" style="4" customWidth="1"/>
    <col min="522" max="522" width="10" style="4" customWidth="1"/>
    <col min="523" max="523" width="8.42578125" style="4" customWidth="1"/>
    <col min="524" max="524" width="10.7109375" style="4" customWidth="1"/>
    <col min="525" max="525" width="9.7109375" style="4" customWidth="1"/>
    <col min="526" max="767" width="9.140625" style="4"/>
    <col min="768" max="769" width="11" style="4" customWidth="1"/>
    <col min="770" max="770" width="17.85546875" style="4" customWidth="1"/>
    <col min="771" max="771" width="7.140625" style="4" customWidth="1"/>
    <col min="772" max="773" width="9.140625" style="4"/>
    <col min="774" max="775" width="6.7109375" style="4" customWidth="1"/>
    <col min="776" max="777" width="8.42578125" style="4" customWidth="1"/>
    <col min="778" max="778" width="10" style="4" customWidth="1"/>
    <col min="779" max="779" width="8.42578125" style="4" customWidth="1"/>
    <col min="780" max="780" width="10.7109375" style="4" customWidth="1"/>
    <col min="781" max="781" width="9.7109375" style="4" customWidth="1"/>
    <col min="782" max="1023" width="9.140625" style="4"/>
    <col min="1024" max="1025" width="11" style="4" customWidth="1"/>
    <col min="1026" max="1026" width="17.85546875" style="4" customWidth="1"/>
    <col min="1027" max="1027" width="7.140625" style="4" customWidth="1"/>
    <col min="1028" max="1029" width="9.140625" style="4"/>
    <col min="1030" max="1031" width="6.7109375" style="4" customWidth="1"/>
    <col min="1032" max="1033" width="8.42578125" style="4" customWidth="1"/>
    <col min="1034" max="1034" width="10" style="4" customWidth="1"/>
    <col min="1035" max="1035" width="8.42578125" style="4" customWidth="1"/>
    <col min="1036" max="1036" width="10.7109375" style="4" customWidth="1"/>
    <col min="1037" max="1037" width="9.7109375" style="4" customWidth="1"/>
    <col min="1038" max="1279" width="9.140625" style="4"/>
    <col min="1280" max="1281" width="11" style="4" customWidth="1"/>
    <col min="1282" max="1282" width="17.85546875" style="4" customWidth="1"/>
    <col min="1283" max="1283" width="7.140625" style="4" customWidth="1"/>
    <col min="1284" max="1285" width="9.140625" style="4"/>
    <col min="1286" max="1287" width="6.7109375" style="4" customWidth="1"/>
    <col min="1288" max="1289" width="8.42578125" style="4" customWidth="1"/>
    <col min="1290" max="1290" width="10" style="4" customWidth="1"/>
    <col min="1291" max="1291" width="8.42578125" style="4" customWidth="1"/>
    <col min="1292" max="1292" width="10.7109375" style="4" customWidth="1"/>
    <col min="1293" max="1293" width="9.7109375" style="4" customWidth="1"/>
    <col min="1294" max="1535" width="9.140625" style="4"/>
    <col min="1536" max="1537" width="11" style="4" customWidth="1"/>
    <col min="1538" max="1538" width="17.85546875" style="4" customWidth="1"/>
    <col min="1539" max="1539" width="7.140625" style="4" customWidth="1"/>
    <col min="1540" max="1541" width="9.140625" style="4"/>
    <col min="1542" max="1543" width="6.7109375" style="4" customWidth="1"/>
    <col min="1544" max="1545" width="8.42578125" style="4" customWidth="1"/>
    <col min="1546" max="1546" width="10" style="4" customWidth="1"/>
    <col min="1547" max="1547" width="8.42578125" style="4" customWidth="1"/>
    <col min="1548" max="1548" width="10.7109375" style="4" customWidth="1"/>
    <col min="1549" max="1549" width="9.7109375" style="4" customWidth="1"/>
    <col min="1550" max="1791" width="9.140625" style="4"/>
    <col min="1792" max="1793" width="11" style="4" customWidth="1"/>
    <col min="1794" max="1794" width="17.85546875" style="4" customWidth="1"/>
    <col min="1795" max="1795" width="7.140625" style="4" customWidth="1"/>
    <col min="1796" max="1797" width="9.140625" style="4"/>
    <col min="1798" max="1799" width="6.7109375" style="4" customWidth="1"/>
    <col min="1800" max="1801" width="8.42578125" style="4" customWidth="1"/>
    <col min="1802" max="1802" width="10" style="4" customWidth="1"/>
    <col min="1803" max="1803" width="8.42578125" style="4" customWidth="1"/>
    <col min="1804" max="1804" width="10.7109375" style="4" customWidth="1"/>
    <col min="1805" max="1805" width="9.7109375" style="4" customWidth="1"/>
    <col min="1806" max="2047" width="9.140625" style="4"/>
    <col min="2048" max="2049" width="11" style="4" customWidth="1"/>
    <col min="2050" max="2050" width="17.85546875" style="4" customWidth="1"/>
    <col min="2051" max="2051" width="7.140625" style="4" customWidth="1"/>
    <col min="2052" max="2053" width="9.140625" style="4"/>
    <col min="2054" max="2055" width="6.7109375" style="4" customWidth="1"/>
    <col min="2056" max="2057" width="8.42578125" style="4" customWidth="1"/>
    <col min="2058" max="2058" width="10" style="4" customWidth="1"/>
    <col min="2059" max="2059" width="8.42578125" style="4" customWidth="1"/>
    <col min="2060" max="2060" width="10.7109375" style="4" customWidth="1"/>
    <col min="2061" max="2061" width="9.7109375" style="4" customWidth="1"/>
    <col min="2062" max="2303" width="9.140625" style="4"/>
    <col min="2304" max="2305" width="11" style="4" customWidth="1"/>
    <col min="2306" max="2306" width="17.85546875" style="4" customWidth="1"/>
    <col min="2307" max="2307" width="7.140625" style="4" customWidth="1"/>
    <col min="2308" max="2309" width="9.140625" style="4"/>
    <col min="2310" max="2311" width="6.7109375" style="4" customWidth="1"/>
    <col min="2312" max="2313" width="8.42578125" style="4" customWidth="1"/>
    <col min="2314" max="2314" width="10" style="4" customWidth="1"/>
    <col min="2315" max="2315" width="8.42578125" style="4" customWidth="1"/>
    <col min="2316" max="2316" width="10.7109375" style="4" customWidth="1"/>
    <col min="2317" max="2317" width="9.7109375" style="4" customWidth="1"/>
    <col min="2318" max="2559" width="9.140625" style="4"/>
    <col min="2560" max="2561" width="11" style="4" customWidth="1"/>
    <col min="2562" max="2562" width="17.85546875" style="4" customWidth="1"/>
    <col min="2563" max="2563" width="7.140625" style="4" customWidth="1"/>
    <col min="2564" max="2565" width="9.140625" style="4"/>
    <col min="2566" max="2567" width="6.7109375" style="4" customWidth="1"/>
    <col min="2568" max="2569" width="8.42578125" style="4" customWidth="1"/>
    <col min="2570" max="2570" width="10" style="4" customWidth="1"/>
    <col min="2571" max="2571" width="8.42578125" style="4" customWidth="1"/>
    <col min="2572" max="2572" width="10.7109375" style="4" customWidth="1"/>
    <col min="2573" max="2573" width="9.7109375" style="4" customWidth="1"/>
    <col min="2574" max="2815" width="9.140625" style="4"/>
    <col min="2816" max="2817" width="11" style="4" customWidth="1"/>
    <col min="2818" max="2818" width="17.85546875" style="4" customWidth="1"/>
    <col min="2819" max="2819" width="7.140625" style="4" customWidth="1"/>
    <col min="2820" max="2821" width="9.140625" style="4"/>
    <col min="2822" max="2823" width="6.7109375" style="4" customWidth="1"/>
    <col min="2824" max="2825" width="8.42578125" style="4" customWidth="1"/>
    <col min="2826" max="2826" width="10" style="4" customWidth="1"/>
    <col min="2827" max="2827" width="8.42578125" style="4" customWidth="1"/>
    <col min="2828" max="2828" width="10.7109375" style="4" customWidth="1"/>
    <col min="2829" max="2829" width="9.7109375" style="4" customWidth="1"/>
    <col min="2830" max="3071" width="9.140625" style="4"/>
    <col min="3072" max="3073" width="11" style="4" customWidth="1"/>
    <col min="3074" max="3074" width="17.85546875" style="4" customWidth="1"/>
    <col min="3075" max="3075" width="7.140625" style="4" customWidth="1"/>
    <col min="3076" max="3077" width="9.140625" style="4"/>
    <col min="3078" max="3079" width="6.7109375" style="4" customWidth="1"/>
    <col min="3080" max="3081" width="8.42578125" style="4" customWidth="1"/>
    <col min="3082" max="3082" width="10" style="4" customWidth="1"/>
    <col min="3083" max="3083" width="8.42578125" style="4" customWidth="1"/>
    <col min="3084" max="3084" width="10.7109375" style="4" customWidth="1"/>
    <col min="3085" max="3085" width="9.7109375" style="4" customWidth="1"/>
    <col min="3086" max="3327" width="9.140625" style="4"/>
    <col min="3328" max="3329" width="11" style="4" customWidth="1"/>
    <col min="3330" max="3330" width="17.85546875" style="4" customWidth="1"/>
    <col min="3331" max="3331" width="7.140625" style="4" customWidth="1"/>
    <col min="3332" max="3333" width="9.140625" style="4"/>
    <col min="3334" max="3335" width="6.7109375" style="4" customWidth="1"/>
    <col min="3336" max="3337" width="8.42578125" style="4" customWidth="1"/>
    <col min="3338" max="3338" width="10" style="4" customWidth="1"/>
    <col min="3339" max="3339" width="8.42578125" style="4" customWidth="1"/>
    <col min="3340" max="3340" width="10.7109375" style="4" customWidth="1"/>
    <col min="3341" max="3341" width="9.7109375" style="4" customWidth="1"/>
    <col min="3342" max="3583" width="9.140625" style="4"/>
    <col min="3584" max="3585" width="11" style="4" customWidth="1"/>
    <col min="3586" max="3586" width="17.85546875" style="4" customWidth="1"/>
    <col min="3587" max="3587" width="7.140625" style="4" customWidth="1"/>
    <col min="3588" max="3589" width="9.140625" style="4"/>
    <col min="3590" max="3591" width="6.7109375" style="4" customWidth="1"/>
    <col min="3592" max="3593" width="8.42578125" style="4" customWidth="1"/>
    <col min="3594" max="3594" width="10" style="4" customWidth="1"/>
    <col min="3595" max="3595" width="8.42578125" style="4" customWidth="1"/>
    <col min="3596" max="3596" width="10.7109375" style="4" customWidth="1"/>
    <col min="3597" max="3597" width="9.7109375" style="4" customWidth="1"/>
    <col min="3598" max="3839" width="9.140625" style="4"/>
    <col min="3840" max="3841" width="11" style="4" customWidth="1"/>
    <col min="3842" max="3842" width="17.85546875" style="4" customWidth="1"/>
    <col min="3843" max="3843" width="7.140625" style="4" customWidth="1"/>
    <col min="3844" max="3845" width="9.140625" style="4"/>
    <col min="3846" max="3847" width="6.7109375" style="4" customWidth="1"/>
    <col min="3848" max="3849" width="8.42578125" style="4" customWidth="1"/>
    <col min="3850" max="3850" width="10" style="4" customWidth="1"/>
    <col min="3851" max="3851" width="8.42578125" style="4" customWidth="1"/>
    <col min="3852" max="3852" width="10.7109375" style="4" customWidth="1"/>
    <col min="3853" max="3853" width="9.7109375" style="4" customWidth="1"/>
    <col min="3854" max="4095" width="9.140625" style="4"/>
    <col min="4096" max="4097" width="11" style="4" customWidth="1"/>
    <col min="4098" max="4098" width="17.85546875" style="4" customWidth="1"/>
    <col min="4099" max="4099" width="7.140625" style="4" customWidth="1"/>
    <col min="4100" max="4101" width="9.140625" style="4"/>
    <col min="4102" max="4103" width="6.7109375" style="4" customWidth="1"/>
    <col min="4104" max="4105" width="8.42578125" style="4" customWidth="1"/>
    <col min="4106" max="4106" width="10" style="4" customWidth="1"/>
    <col min="4107" max="4107" width="8.42578125" style="4" customWidth="1"/>
    <col min="4108" max="4108" width="10.7109375" style="4" customWidth="1"/>
    <col min="4109" max="4109" width="9.7109375" style="4" customWidth="1"/>
    <col min="4110" max="4351" width="9.140625" style="4"/>
    <col min="4352" max="4353" width="11" style="4" customWidth="1"/>
    <col min="4354" max="4354" width="17.85546875" style="4" customWidth="1"/>
    <col min="4355" max="4355" width="7.140625" style="4" customWidth="1"/>
    <col min="4356" max="4357" width="9.140625" style="4"/>
    <col min="4358" max="4359" width="6.7109375" style="4" customWidth="1"/>
    <col min="4360" max="4361" width="8.42578125" style="4" customWidth="1"/>
    <col min="4362" max="4362" width="10" style="4" customWidth="1"/>
    <col min="4363" max="4363" width="8.42578125" style="4" customWidth="1"/>
    <col min="4364" max="4364" width="10.7109375" style="4" customWidth="1"/>
    <col min="4365" max="4365" width="9.7109375" style="4" customWidth="1"/>
    <col min="4366" max="4607" width="9.140625" style="4"/>
    <col min="4608" max="4609" width="11" style="4" customWidth="1"/>
    <col min="4610" max="4610" width="17.85546875" style="4" customWidth="1"/>
    <col min="4611" max="4611" width="7.140625" style="4" customWidth="1"/>
    <col min="4612" max="4613" width="9.140625" style="4"/>
    <col min="4614" max="4615" width="6.7109375" style="4" customWidth="1"/>
    <col min="4616" max="4617" width="8.42578125" style="4" customWidth="1"/>
    <col min="4618" max="4618" width="10" style="4" customWidth="1"/>
    <col min="4619" max="4619" width="8.42578125" style="4" customWidth="1"/>
    <col min="4620" max="4620" width="10.7109375" style="4" customWidth="1"/>
    <col min="4621" max="4621" width="9.7109375" style="4" customWidth="1"/>
    <col min="4622" max="4863" width="9.140625" style="4"/>
    <col min="4864" max="4865" width="11" style="4" customWidth="1"/>
    <col min="4866" max="4866" width="17.85546875" style="4" customWidth="1"/>
    <col min="4867" max="4867" width="7.140625" style="4" customWidth="1"/>
    <col min="4868" max="4869" width="9.140625" style="4"/>
    <col min="4870" max="4871" width="6.7109375" style="4" customWidth="1"/>
    <col min="4872" max="4873" width="8.42578125" style="4" customWidth="1"/>
    <col min="4874" max="4874" width="10" style="4" customWidth="1"/>
    <col min="4875" max="4875" width="8.42578125" style="4" customWidth="1"/>
    <col min="4876" max="4876" width="10.7109375" style="4" customWidth="1"/>
    <col min="4877" max="4877" width="9.7109375" style="4" customWidth="1"/>
    <col min="4878" max="5119" width="9.140625" style="4"/>
    <col min="5120" max="5121" width="11" style="4" customWidth="1"/>
    <col min="5122" max="5122" width="17.85546875" style="4" customWidth="1"/>
    <col min="5123" max="5123" width="7.140625" style="4" customWidth="1"/>
    <col min="5124" max="5125" width="9.140625" style="4"/>
    <col min="5126" max="5127" width="6.7109375" style="4" customWidth="1"/>
    <col min="5128" max="5129" width="8.42578125" style="4" customWidth="1"/>
    <col min="5130" max="5130" width="10" style="4" customWidth="1"/>
    <col min="5131" max="5131" width="8.42578125" style="4" customWidth="1"/>
    <col min="5132" max="5132" width="10.7109375" style="4" customWidth="1"/>
    <col min="5133" max="5133" width="9.7109375" style="4" customWidth="1"/>
    <col min="5134" max="5375" width="9.140625" style="4"/>
    <col min="5376" max="5377" width="11" style="4" customWidth="1"/>
    <col min="5378" max="5378" width="17.85546875" style="4" customWidth="1"/>
    <col min="5379" max="5379" width="7.140625" style="4" customWidth="1"/>
    <col min="5380" max="5381" width="9.140625" style="4"/>
    <col min="5382" max="5383" width="6.7109375" style="4" customWidth="1"/>
    <col min="5384" max="5385" width="8.42578125" style="4" customWidth="1"/>
    <col min="5386" max="5386" width="10" style="4" customWidth="1"/>
    <col min="5387" max="5387" width="8.42578125" style="4" customWidth="1"/>
    <col min="5388" max="5388" width="10.7109375" style="4" customWidth="1"/>
    <col min="5389" max="5389" width="9.7109375" style="4" customWidth="1"/>
    <col min="5390" max="5631" width="9.140625" style="4"/>
    <col min="5632" max="5633" width="11" style="4" customWidth="1"/>
    <col min="5634" max="5634" width="17.85546875" style="4" customWidth="1"/>
    <col min="5635" max="5635" width="7.140625" style="4" customWidth="1"/>
    <col min="5636" max="5637" width="9.140625" style="4"/>
    <col min="5638" max="5639" width="6.7109375" style="4" customWidth="1"/>
    <col min="5640" max="5641" width="8.42578125" style="4" customWidth="1"/>
    <col min="5642" max="5642" width="10" style="4" customWidth="1"/>
    <col min="5643" max="5643" width="8.42578125" style="4" customWidth="1"/>
    <col min="5644" max="5644" width="10.7109375" style="4" customWidth="1"/>
    <col min="5645" max="5645" width="9.7109375" style="4" customWidth="1"/>
    <col min="5646" max="5887" width="9.140625" style="4"/>
    <col min="5888" max="5889" width="11" style="4" customWidth="1"/>
    <col min="5890" max="5890" width="17.85546875" style="4" customWidth="1"/>
    <col min="5891" max="5891" width="7.140625" style="4" customWidth="1"/>
    <col min="5892" max="5893" width="9.140625" style="4"/>
    <col min="5894" max="5895" width="6.7109375" style="4" customWidth="1"/>
    <col min="5896" max="5897" width="8.42578125" style="4" customWidth="1"/>
    <col min="5898" max="5898" width="10" style="4" customWidth="1"/>
    <col min="5899" max="5899" width="8.42578125" style="4" customWidth="1"/>
    <col min="5900" max="5900" width="10.7109375" style="4" customWidth="1"/>
    <col min="5901" max="5901" width="9.7109375" style="4" customWidth="1"/>
    <col min="5902" max="6143" width="9.140625" style="4"/>
    <col min="6144" max="6145" width="11" style="4" customWidth="1"/>
    <col min="6146" max="6146" width="17.85546875" style="4" customWidth="1"/>
    <col min="6147" max="6147" width="7.140625" style="4" customWidth="1"/>
    <col min="6148" max="6149" width="9.140625" style="4"/>
    <col min="6150" max="6151" width="6.7109375" style="4" customWidth="1"/>
    <col min="6152" max="6153" width="8.42578125" style="4" customWidth="1"/>
    <col min="6154" max="6154" width="10" style="4" customWidth="1"/>
    <col min="6155" max="6155" width="8.42578125" style="4" customWidth="1"/>
    <col min="6156" max="6156" width="10.7109375" style="4" customWidth="1"/>
    <col min="6157" max="6157" width="9.7109375" style="4" customWidth="1"/>
    <col min="6158" max="6399" width="9.140625" style="4"/>
    <col min="6400" max="6401" width="11" style="4" customWidth="1"/>
    <col min="6402" max="6402" width="17.85546875" style="4" customWidth="1"/>
    <col min="6403" max="6403" width="7.140625" style="4" customWidth="1"/>
    <col min="6404" max="6405" width="9.140625" style="4"/>
    <col min="6406" max="6407" width="6.7109375" style="4" customWidth="1"/>
    <col min="6408" max="6409" width="8.42578125" style="4" customWidth="1"/>
    <col min="6410" max="6410" width="10" style="4" customWidth="1"/>
    <col min="6411" max="6411" width="8.42578125" style="4" customWidth="1"/>
    <col min="6412" max="6412" width="10.7109375" style="4" customWidth="1"/>
    <col min="6413" max="6413" width="9.7109375" style="4" customWidth="1"/>
    <col min="6414" max="6655" width="9.140625" style="4"/>
    <col min="6656" max="6657" width="11" style="4" customWidth="1"/>
    <col min="6658" max="6658" width="17.85546875" style="4" customWidth="1"/>
    <col min="6659" max="6659" width="7.140625" style="4" customWidth="1"/>
    <col min="6660" max="6661" width="9.140625" style="4"/>
    <col min="6662" max="6663" width="6.7109375" style="4" customWidth="1"/>
    <col min="6664" max="6665" width="8.42578125" style="4" customWidth="1"/>
    <col min="6666" max="6666" width="10" style="4" customWidth="1"/>
    <col min="6667" max="6667" width="8.42578125" style="4" customWidth="1"/>
    <col min="6668" max="6668" width="10.7109375" style="4" customWidth="1"/>
    <col min="6669" max="6669" width="9.7109375" style="4" customWidth="1"/>
    <col min="6670" max="6911" width="9.140625" style="4"/>
    <col min="6912" max="6913" width="11" style="4" customWidth="1"/>
    <col min="6914" max="6914" width="17.85546875" style="4" customWidth="1"/>
    <col min="6915" max="6915" width="7.140625" style="4" customWidth="1"/>
    <col min="6916" max="6917" width="9.140625" style="4"/>
    <col min="6918" max="6919" width="6.7109375" style="4" customWidth="1"/>
    <col min="6920" max="6921" width="8.42578125" style="4" customWidth="1"/>
    <col min="6922" max="6922" width="10" style="4" customWidth="1"/>
    <col min="6923" max="6923" width="8.42578125" style="4" customWidth="1"/>
    <col min="6924" max="6924" width="10.7109375" style="4" customWidth="1"/>
    <col min="6925" max="6925" width="9.7109375" style="4" customWidth="1"/>
    <col min="6926" max="7167" width="9.140625" style="4"/>
    <col min="7168" max="7169" width="11" style="4" customWidth="1"/>
    <col min="7170" max="7170" width="17.85546875" style="4" customWidth="1"/>
    <col min="7171" max="7171" width="7.140625" style="4" customWidth="1"/>
    <col min="7172" max="7173" width="9.140625" style="4"/>
    <col min="7174" max="7175" width="6.7109375" style="4" customWidth="1"/>
    <col min="7176" max="7177" width="8.42578125" style="4" customWidth="1"/>
    <col min="7178" max="7178" width="10" style="4" customWidth="1"/>
    <col min="7179" max="7179" width="8.42578125" style="4" customWidth="1"/>
    <col min="7180" max="7180" width="10.7109375" style="4" customWidth="1"/>
    <col min="7181" max="7181" width="9.7109375" style="4" customWidth="1"/>
    <col min="7182" max="7423" width="9.140625" style="4"/>
    <col min="7424" max="7425" width="11" style="4" customWidth="1"/>
    <col min="7426" max="7426" width="17.85546875" style="4" customWidth="1"/>
    <col min="7427" max="7427" width="7.140625" style="4" customWidth="1"/>
    <col min="7428" max="7429" width="9.140625" style="4"/>
    <col min="7430" max="7431" width="6.7109375" style="4" customWidth="1"/>
    <col min="7432" max="7433" width="8.42578125" style="4" customWidth="1"/>
    <col min="7434" max="7434" width="10" style="4" customWidth="1"/>
    <col min="7435" max="7435" width="8.42578125" style="4" customWidth="1"/>
    <col min="7436" max="7436" width="10.7109375" style="4" customWidth="1"/>
    <col min="7437" max="7437" width="9.7109375" style="4" customWidth="1"/>
    <col min="7438" max="7679" width="9.140625" style="4"/>
    <col min="7680" max="7681" width="11" style="4" customWidth="1"/>
    <col min="7682" max="7682" width="17.85546875" style="4" customWidth="1"/>
    <col min="7683" max="7683" width="7.140625" style="4" customWidth="1"/>
    <col min="7684" max="7685" width="9.140625" style="4"/>
    <col min="7686" max="7687" width="6.7109375" style="4" customWidth="1"/>
    <col min="7688" max="7689" width="8.42578125" style="4" customWidth="1"/>
    <col min="7690" max="7690" width="10" style="4" customWidth="1"/>
    <col min="7691" max="7691" width="8.42578125" style="4" customWidth="1"/>
    <col min="7692" max="7692" width="10.7109375" style="4" customWidth="1"/>
    <col min="7693" max="7693" width="9.7109375" style="4" customWidth="1"/>
    <col min="7694" max="7935" width="9.140625" style="4"/>
    <col min="7936" max="7937" width="11" style="4" customWidth="1"/>
    <col min="7938" max="7938" width="17.85546875" style="4" customWidth="1"/>
    <col min="7939" max="7939" width="7.140625" style="4" customWidth="1"/>
    <col min="7940" max="7941" width="9.140625" style="4"/>
    <col min="7942" max="7943" width="6.7109375" style="4" customWidth="1"/>
    <col min="7944" max="7945" width="8.42578125" style="4" customWidth="1"/>
    <col min="7946" max="7946" width="10" style="4" customWidth="1"/>
    <col min="7947" max="7947" width="8.42578125" style="4" customWidth="1"/>
    <col min="7948" max="7948" width="10.7109375" style="4" customWidth="1"/>
    <col min="7949" max="7949" width="9.7109375" style="4" customWidth="1"/>
    <col min="7950" max="8191" width="9.140625" style="4"/>
    <col min="8192" max="8193" width="11" style="4" customWidth="1"/>
    <col min="8194" max="8194" width="17.85546875" style="4" customWidth="1"/>
    <col min="8195" max="8195" width="7.140625" style="4" customWidth="1"/>
    <col min="8196" max="8197" width="9.140625" style="4"/>
    <col min="8198" max="8199" width="6.7109375" style="4" customWidth="1"/>
    <col min="8200" max="8201" width="8.42578125" style="4" customWidth="1"/>
    <col min="8202" max="8202" width="10" style="4" customWidth="1"/>
    <col min="8203" max="8203" width="8.42578125" style="4" customWidth="1"/>
    <col min="8204" max="8204" width="10.7109375" style="4" customWidth="1"/>
    <col min="8205" max="8205" width="9.7109375" style="4" customWidth="1"/>
    <col min="8206" max="8447" width="9.140625" style="4"/>
    <col min="8448" max="8449" width="11" style="4" customWidth="1"/>
    <col min="8450" max="8450" width="17.85546875" style="4" customWidth="1"/>
    <col min="8451" max="8451" width="7.140625" style="4" customWidth="1"/>
    <col min="8452" max="8453" width="9.140625" style="4"/>
    <col min="8454" max="8455" width="6.7109375" style="4" customWidth="1"/>
    <col min="8456" max="8457" width="8.42578125" style="4" customWidth="1"/>
    <col min="8458" max="8458" width="10" style="4" customWidth="1"/>
    <col min="8459" max="8459" width="8.42578125" style="4" customWidth="1"/>
    <col min="8460" max="8460" width="10.7109375" style="4" customWidth="1"/>
    <col min="8461" max="8461" width="9.7109375" style="4" customWidth="1"/>
    <col min="8462" max="8703" width="9.140625" style="4"/>
    <col min="8704" max="8705" width="11" style="4" customWidth="1"/>
    <col min="8706" max="8706" width="17.85546875" style="4" customWidth="1"/>
    <col min="8707" max="8707" width="7.140625" style="4" customWidth="1"/>
    <col min="8708" max="8709" width="9.140625" style="4"/>
    <col min="8710" max="8711" width="6.7109375" style="4" customWidth="1"/>
    <col min="8712" max="8713" width="8.42578125" style="4" customWidth="1"/>
    <col min="8714" max="8714" width="10" style="4" customWidth="1"/>
    <col min="8715" max="8715" width="8.42578125" style="4" customWidth="1"/>
    <col min="8716" max="8716" width="10.7109375" style="4" customWidth="1"/>
    <col min="8717" max="8717" width="9.7109375" style="4" customWidth="1"/>
    <col min="8718" max="8959" width="9.140625" style="4"/>
    <col min="8960" max="8961" width="11" style="4" customWidth="1"/>
    <col min="8962" max="8962" width="17.85546875" style="4" customWidth="1"/>
    <col min="8963" max="8963" width="7.140625" style="4" customWidth="1"/>
    <col min="8964" max="8965" width="9.140625" style="4"/>
    <col min="8966" max="8967" width="6.7109375" style="4" customWidth="1"/>
    <col min="8968" max="8969" width="8.42578125" style="4" customWidth="1"/>
    <col min="8970" max="8970" width="10" style="4" customWidth="1"/>
    <col min="8971" max="8971" width="8.42578125" style="4" customWidth="1"/>
    <col min="8972" max="8972" width="10.7109375" style="4" customWidth="1"/>
    <col min="8973" max="8973" width="9.7109375" style="4" customWidth="1"/>
    <col min="8974" max="9215" width="9.140625" style="4"/>
    <col min="9216" max="9217" width="11" style="4" customWidth="1"/>
    <col min="9218" max="9218" width="17.85546875" style="4" customWidth="1"/>
    <col min="9219" max="9219" width="7.140625" style="4" customWidth="1"/>
    <col min="9220" max="9221" width="9.140625" style="4"/>
    <col min="9222" max="9223" width="6.7109375" style="4" customWidth="1"/>
    <col min="9224" max="9225" width="8.42578125" style="4" customWidth="1"/>
    <col min="9226" max="9226" width="10" style="4" customWidth="1"/>
    <col min="9227" max="9227" width="8.42578125" style="4" customWidth="1"/>
    <col min="9228" max="9228" width="10.7109375" style="4" customWidth="1"/>
    <col min="9229" max="9229" width="9.7109375" style="4" customWidth="1"/>
    <col min="9230" max="9471" width="9.140625" style="4"/>
    <col min="9472" max="9473" width="11" style="4" customWidth="1"/>
    <col min="9474" max="9474" width="17.85546875" style="4" customWidth="1"/>
    <col min="9475" max="9475" width="7.140625" style="4" customWidth="1"/>
    <col min="9476" max="9477" width="9.140625" style="4"/>
    <col min="9478" max="9479" width="6.7109375" style="4" customWidth="1"/>
    <col min="9480" max="9481" width="8.42578125" style="4" customWidth="1"/>
    <col min="9482" max="9482" width="10" style="4" customWidth="1"/>
    <col min="9483" max="9483" width="8.42578125" style="4" customWidth="1"/>
    <col min="9484" max="9484" width="10.7109375" style="4" customWidth="1"/>
    <col min="9485" max="9485" width="9.7109375" style="4" customWidth="1"/>
    <col min="9486" max="9727" width="9.140625" style="4"/>
    <col min="9728" max="9729" width="11" style="4" customWidth="1"/>
    <col min="9730" max="9730" width="17.85546875" style="4" customWidth="1"/>
    <col min="9731" max="9731" width="7.140625" style="4" customWidth="1"/>
    <col min="9732" max="9733" width="9.140625" style="4"/>
    <col min="9734" max="9735" width="6.7109375" style="4" customWidth="1"/>
    <col min="9736" max="9737" width="8.42578125" style="4" customWidth="1"/>
    <col min="9738" max="9738" width="10" style="4" customWidth="1"/>
    <col min="9739" max="9739" width="8.42578125" style="4" customWidth="1"/>
    <col min="9740" max="9740" width="10.7109375" style="4" customWidth="1"/>
    <col min="9741" max="9741" width="9.7109375" style="4" customWidth="1"/>
    <col min="9742" max="9983" width="9.140625" style="4"/>
    <col min="9984" max="9985" width="11" style="4" customWidth="1"/>
    <col min="9986" max="9986" width="17.85546875" style="4" customWidth="1"/>
    <col min="9987" max="9987" width="7.140625" style="4" customWidth="1"/>
    <col min="9988" max="9989" width="9.140625" style="4"/>
    <col min="9990" max="9991" width="6.7109375" style="4" customWidth="1"/>
    <col min="9992" max="9993" width="8.42578125" style="4" customWidth="1"/>
    <col min="9994" max="9994" width="10" style="4" customWidth="1"/>
    <col min="9995" max="9995" width="8.42578125" style="4" customWidth="1"/>
    <col min="9996" max="9996" width="10.7109375" style="4" customWidth="1"/>
    <col min="9997" max="9997" width="9.7109375" style="4" customWidth="1"/>
    <col min="9998" max="10239" width="9.140625" style="4"/>
    <col min="10240" max="10241" width="11" style="4" customWidth="1"/>
    <col min="10242" max="10242" width="17.85546875" style="4" customWidth="1"/>
    <col min="10243" max="10243" width="7.140625" style="4" customWidth="1"/>
    <col min="10244" max="10245" width="9.140625" style="4"/>
    <col min="10246" max="10247" width="6.7109375" style="4" customWidth="1"/>
    <col min="10248" max="10249" width="8.42578125" style="4" customWidth="1"/>
    <col min="10250" max="10250" width="10" style="4" customWidth="1"/>
    <col min="10251" max="10251" width="8.42578125" style="4" customWidth="1"/>
    <col min="10252" max="10252" width="10.7109375" style="4" customWidth="1"/>
    <col min="10253" max="10253" width="9.7109375" style="4" customWidth="1"/>
    <col min="10254" max="10495" width="9.140625" style="4"/>
    <col min="10496" max="10497" width="11" style="4" customWidth="1"/>
    <col min="10498" max="10498" width="17.85546875" style="4" customWidth="1"/>
    <col min="10499" max="10499" width="7.140625" style="4" customWidth="1"/>
    <col min="10500" max="10501" width="9.140625" style="4"/>
    <col min="10502" max="10503" width="6.7109375" style="4" customWidth="1"/>
    <col min="10504" max="10505" width="8.42578125" style="4" customWidth="1"/>
    <col min="10506" max="10506" width="10" style="4" customWidth="1"/>
    <col min="10507" max="10507" width="8.42578125" style="4" customWidth="1"/>
    <col min="10508" max="10508" width="10.7109375" style="4" customWidth="1"/>
    <col min="10509" max="10509" width="9.7109375" style="4" customWidth="1"/>
    <col min="10510" max="10751" width="9.140625" style="4"/>
    <col min="10752" max="10753" width="11" style="4" customWidth="1"/>
    <col min="10754" max="10754" width="17.85546875" style="4" customWidth="1"/>
    <col min="10755" max="10755" width="7.140625" style="4" customWidth="1"/>
    <col min="10756" max="10757" width="9.140625" style="4"/>
    <col min="10758" max="10759" width="6.7109375" style="4" customWidth="1"/>
    <col min="10760" max="10761" width="8.42578125" style="4" customWidth="1"/>
    <col min="10762" max="10762" width="10" style="4" customWidth="1"/>
    <col min="10763" max="10763" width="8.42578125" style="4" customWidth="1"/>
    <col min="10764" max="10764" width="10.7109375" style="4" customWidth="1"/>
    <col min="10765" max="10765" width="9.7109375" style="4" customWidth="1"/>
    <col min="10766" max="11007" width="9.140625" style="4"/>
    <col min="11008" max="11009" width="11" style="4" customWidth="1"/>
    <col min="11010" max="11010" width="17.85546875" style="4" customWidth="1"/>
    <col min="11011" max="11011" width="7.140625" style="4" customWidth="1"/>
    <col min="11012" max="11013" width="9.140625" style="4"/>
    <col min="11014" max="11015" width="6.7109375" style="4" customWidth="1"/>
    <col min="11016" max="11017" width="8.42578125" style="4" customWidth="1"/>
    <col min="11018" max="11018" width="10" style="4" customWidth="1"/>
    <col min="11019" max="11019" width="8.42578125" style="4" customWidth="1"/>
    <col min="11020" max="11020" width="10.7109375" style="4" customWidth="1"/>
    <col min="11021" max="11021" width="9.7109375" style="4" customWidth="1"/>
    <col min="11022" max="11263" width="9.140625" style="4"/>
    <col min="11264" max="11265" width="11" style="4" customWidth="1"/>
    <col min="11266" max="11266" width="17.85546875" style="4" customWidth="1"/>
    <col min="11267" max="11267" width="7.140625" style="4" customWidth="1"/>
    <col min="11268" max="11269" width="9.140625" style="4"/>
    <col min="11270" max="11271" width="6.7109375" style="4" customWidth="1"/>
    <col min="11272" max="11273" width="8.42578125" style="4" customWidth="1"/>
    <col min="11274" max="11274" width="10" style="4" customWidth="1"/>
    <col min="11275" max="11275" width="8.42578125" style="4" customWidth="1"/>
    <col min="11276" max="11276" width="10.7109375" style="4" customWidth="1"/>
    <col min="11277" max="11277" width="9.7109375" style="4" customWidth="1"/>
    <col min="11278" max="11519" width="9.140625" style="4"/>
    <col min="11520" max="11521" width="11" style="4" customWidth="1"/>
    <col min="11522" max="11522" width="17.85546875" style="4" customWidth="1"/>
    <col min="11523" max="11523" width="7.140625" style="4" customWidth="1"/>
    <col min="11524" max="11525" width="9.140625" style="4"/>
    <col min="11526" max="11527" width="6.7109375" style="4" customWidth="1"/>
    <col min="11528" max="11529" width="8.42578125" style="4" customWidth="1"/>
    <col min="11530" max="11530" width="10" style="4" customWidth="1"/>
    <col min="11531" max="11531" width="8.42578125" style="4" customWidth="1"/>
    <col min="11532" max="11532" width="10.7109375" style="4" customWidth="1"/>
    <col min="11533" max="11533" width="9.7109375" style="4" customWidth="1"/>
    <col min="11534" max="11775" width="9.140625" style="4"/>
    <col min="11776" max="11777" width="11" style="4" customWidth="1"/>
    <col min="11778" max="11778" width="17.85546875" style="4" customWidth="1"/>
    <col min="11779" max="11779" width="7.140625" style="4" customWidth="1"/>
    <col min="11780" max="11781" width="9.140625" style="4"/>
    <col min="11782" max="11783" width="6.7109375" style="4" customWidth="1"/>
    <col min="11784" max="11785" width="8.42578125" style="4" customWidth="1"/>
    <col min="11786" max="11786" width="10" style="4" customWidth="1"/>
    <col min="11787" max="11787" width="8.42578125" style="4" customWidth="1"/>
    <col min="11788" max="11788" width="10.7109375" style="4" customWidth="1"/>
    <col min="11789" max="11789" width="9.7109375" style="4" customWidth="1"/>
    <col min="11790" max="12031" width="9.140625" style="4"/>
    <col min="12032" max="12033" width="11" style="4" customWidth="1"/>
    <col min="12034" max="12034" width="17.85546875" style="4" customWidth="1"/>
    <col min="12035" max="12035" width="7.140625" style="4" customWidth="1"/>
    <col min="12036" max="12037" width="9.140625" style="4"/>
    <col min="12038" max="12039" width="6.7109375" style="4" customWidth="1"/>
    <col min="12040" max="12041" width="8.42578125" style="4" customWidth="1"/>
    <col min="12042" max="12042" width="10" style="4" customWidth="1"/>
    <col min="12043" max="12043" width="8.42578125" style="4" customWidth="1"/>
    <col min="12044" max="12044" width="10.7109375" style="4" customWidth="1"/>
    <col min="12045" max="12045" width="9.7109375" style="4" customWidth="1"/>
    <col min="12046" max="12287" width="9.140625" style="4"/>
    <col min="12288" max="12289" width="11" style="4" customWidth="1"/>
    <col min="12290" max="12290" width="17.85546875" style="4" customWidth="1"/>
    <col min="12291" max="12291" width="7.140625" style="4" customWidth="1"/>
    <col min="12292" max="12293" width="9.140625" style="4"/>
    <col min="12294" max="12295" width="6.7109375" style="4" customWidth="1"/>
    <col min="12296" max="12297" width="8.42578125" style="4" customWidth="1"/>
    <col min="12298" max="12298" width="10" style="4" customWidth="1"/>
    <col min="12299" max="12299" width="8.42578125" style="4" customWidth="1"/>
    <col min="12300" max="12300" width="10.7109375" style="4" customWidth="1"/>
    <col min="12301" max="12301" width="9.7109375" style="4" customWidth="1"/>
    <col min="12302" max="12543" width="9.140625" style="4"/>
    <col min="12544" max="12545" width="11" style="4" customWidth="1"/>
    <col min="12546" max="12546" width="17.85546875" style="4" customWidth="1"/>
    <col min="12547" max="12547" width="7.140625" style="4" customWidth="1"/>
    <col min="12548" max="12549" width="9.140625" style="4"/>
    <col min="12550" max="12551" width="6.7109375" style="4" customWidth="1"/>
    <col min="12552" max="12553" width="8.42578125" style="4" customWidth="1"/>
    <col min="12554" max="12554" width="10" style="4" customWidth="1"/>
    <col min="12555" max="12555" width="8.42578125" style="4" customWidth="1"/>
    <col min="12556" max="12556" width="10.7109375" style="4" customWidth="1"/>
    <col min="12557" max="12557" width="9.7109375" style="4" customWidth="1"/>
    <col min="12558" max="12799" width="9.140625" style="4"/>
    <col min="12800" max="12801" width="11" style="4" customWidth="1"/>
    <col min="12802" max="12802" width="17.85546875" style="4" customWidth="1"/>
    <col min="12803" max="12803" width="7.140625" style="4" customWidth="1"/>
    <col min="12804" max="12805" width="9.140625" style="4"/>
    <col min="12806" max="12807" width="6.7109375" style="4" customWidth="1"/>
    <col min="12808" max="12809" width="8.42578125" style="4" customWidth="1"/>
    <col min="12810" max="12810" width="10" style="4" customWidth="1"/>
    <col min="12811" max="12811" width="8.42578125" style="4" customWidth="1"/>
    <col min="12812" max="12812" width="10.7109375" style="4" customWidth="1"/>
    <col min="12813" max="12813" width="9.7109375" style="4" customWidth="1"/>
    <col min="12814" max="13055" width="9.140625" style="4"/>
    <col min="13056" max="13057" width="11" style="4" customWidth="1"/>
    <col min="13058" max="13058" width="17.85546875" style="4" customWidth="1"/>
    <col min="13059" max="13059" width="7.140625" style="4" customWidth="1"/>
    <col min="13060" max="13061" width="9.140625" style="4"/>
    <col min="13062" max="13063" width="6.7109375" style="4" customWidth="1"/>
    <col min="13064" max="13065" width="8.42578125" style="4" customWidth="1"/>
    <col min="13066" max="13066" width="10" style="4" customWidth="1"/>
    <col min="13067" max="13067" width="8.42578125" style="4" customWidth="1"/>
    <col min="13068" max="13068" width="10.7109375" style="4" customWidth="1"/>
    <col min="13069" max="13069" width="9.7109375" style="4" customWidth="1"/>
    <col min="13070" max="13311" width="9.140625" style="4"/>
    <col min="13312" max="13313" width="11" style="4" customWidth="1"/>
    <col min="13314" max="13314" width="17.85546875" style="4" customWidth="1"/>
    <col min="13315" max="13315" width="7.140625" style="4" customWidth="1"/>
    <col min="13316" max="13317" width="9.140625" style="4"/>
    <col min="13318" max="13319" width="6.7109375" style="4" customWidth="1"/>
    <col min="13320" max="13321" width="8.42578125" style="4" customWidth="1"/>
    <col min="13322" max="13322" width="10" style="4" customWidth="1"/>
    <col min="13323" max="13323" width="8.42578125" style="4" customWidth="1"/>
    <col min="13324" max="13324" width="10.7109375" style="4" customWidth="1"/>
    <col min="13325" max="13325" width="9.7109375" style="4" customWidth="1"/>
    <col min="13326" max="13567" width="9.140625" style="4"/>
    <col min="13568" max="13569" width="11" style="4" customWidth="1"/>
    <col min="13570" max="13570" width="17.85546875" style="4" customWidth="1"/>
    <col min="13571" max="13571" width="7.140625" style="4" customWidth="1"/>
    <col min="13572" max="13573" width="9.140625" style="4"/>
    <col min="13574" max="13575" width="6.7109375" style="4" customWidth="1"/>
    <col min="13576" max="13577" width="8.42578125" style="4" customWidth="1"/>
    <col min="13578" max="13578" width="10" style="4" customWidth="1"/>
    <col min="13579" max="13579" width="8.42578125" style="4" customWidth="1"/>
    <col min="13580" max="13580" width="10.7109375" style="4" customWidth="1"/>
    <col min="13581" max="13581" width="9.7109375" style="4" customWidth="1"/>
    <col min="13582" max="13823" width="9.140625" style="4"/>
    <col min="13824" max="13825" width="11" style="4" customWidth="1"/>
    <col min="13826" max="13826" width="17.85546875" style="4" customWidth="1"/>
    <col min="13827" max="13827" width="7.140625" style="4" customWidth="1"/>
    <col min="13828" max="13829" width="9.140625" style="4"/>
    <col min="13830" max="13831" width="6.7109375" style="4" customWidth="1"/>
    <col min="13832" max="13833" width="8.42578125" style="4" customWidth="1"/>
    <col min="13834" max="13834" width="10" style="4" customWidth="1"/>
    <col min="13835" max="13835" width="8.42578125" style="4" customWidth="1"/>
    <col min="13836" max="13836" width="10.7109375" style="4" customWidth="1"/>
    <col min="13837" max="13837" width="9.7109375" style="4" customWidth="1"/>
    <col min="13838" max="14079" width="9.140625" style="4"/>
    <col min="14080" max="14081" width="11" style="4" customWidth="1"/>
    <col min="14082" max="14082" width="17.85546875" style="4" customWidth="1"/>
    <col min="14083" max="14083" width="7.140625" style="4" customWidth="1"/>
    <col min="14084" max="14085" width="9.140625" style="4"/>
    <col min="14086" max="14087" width="6.7109375" style="4" customWidth="1"/>
    <col min="14088" max="14089" width="8.42578125" style="4" customWidth="1"/>
    <col min="14090" max="14090" width="10" style="4" customWidth="1"/>
    <col min="14091" max="14091" width="8.42578125" style="4" customWidth="1"/>
    <col min="14092" max="14092" width="10.7109375" style="4" customWidth="1"/>
    <col min="14093" max="14093" width="9.7109375" style="4" customWidth="1"/>
    <col min="14094" max="14335" width="9.140625" style="4"/>
    <col min="14336" max="14337" width="11" style="4" customWidth="1"/>
    <col min="14338" max="14338" width="17.85546875" style="4" customWidth="1"/>
    <col min="14339" max="14339" width="7.140625" style="4" customWidth="1"/>
    <col min="14340" max="14341" width="9.140625" style="4"/>
    <col min="14342" max="14343" width="6.7109375" style="4" customWidth="1"/>
    <col min="14344" max="14345" width="8.42578125" style="4" customWidth="1"/>
    <col min="14346" max="14346" width="10" style="4" customWidth="1"/>
    <col min="14347" max="14347" width="8.42578125" style="4" customWidth="1"/>
    <col min="14348" max="14348" width="10.7109375" style="4" customWidth="1"/>
    <col min="14349" max="14349" width="9.7109375" style="4" customWidth="1"/>
    <col min="14350" max="14591" width="9.140625" style="4"/>
    <col min="14592" max="14593" width="11" style="4" customWidth="1"/>
    <col min="14594" max="14594" width="17.85546875" style="4" customWidth="1"/>
    <col min="14595" max="14595" width="7.140625" style="4" customWidth="1"/>
    <col min="14596" max="14597" width="9.140625" style="4"/>
    <col min="14598" max="14599" width="6.7109375" style="4" customWidth="1"/>
    <col min="14600" max="14601" width="8.42578125" style="4" customWidth="1"/>
    <col min="14602" max="14602" width="10" style="4" customWidth="1"/>
    <col min="14603" max="14603" width="8.42578125" style="4" customWidth="1"/>
    <col min="14604" max="14604" width="10.7109375" style="4" customWidth="1"/>
    <col min="14605" max="14605" width="9.7109375" style="4" customWidth="1"/>
    <col min="14606" max="14847" width="9.140625" style="4"/>
    <col min="14848" max="14849" width="11" style="4" customWidth="1"/>
    <col min="14850" max="14850" width="17.85546875" style="4" customWidth="1"/>
    <col min="14851" max="14851" width="7.140625" style="4" customWidth="1"/>
    <col min="14852" max="14853" width="9.140625" style="4"/>
    <col min="14854" max="14855" width="6.7109375" style="4" customWidth="1"/>
    <col min="14856" max="14857" width="8.42578125" style="4" customWidth="1"/>
    <col min="14858" max="14858" width="10" style="4" customWidth="1"/>
    <col min="14859" max="14859" width="8.42578125" style="4" customWidth="1"/>
    <col min="14860" max="14860" width="10.7109375" style="4" customWidth="1"/>
    <col min="14861" max="14861" width="9.7109375" style="4" customWidth="1"/>
    <col min="14862" max="15103" width="9.140625" style="4"/>
    <col min="15104" max="15105" width="11" style="4" customWidth="1"/>
    <col min="15106" max="15106" width="17.85546875" style="4" customWidth="1"/>
    <col min="15107" max="15107" width="7.140625" style="4" customWidth="1"/>
    <col min="15108" max="15109" width="9.140625" style="4"/>
    <col min="15110" max="15111" width="6.7109375" style="4" customWidth="1"/>
    <col min="15112" max="15113" width="8.42578125" style="4" customWidth="1"/>
    <col min="15114" max="15114" width="10" style="4" customWidth="1"/>
    <col min="15115" max="15115" width="8.42578125" style="4" customWidth="1"/>
    <col min="15116" max="15116" width="10.7109375" style="4" customWidth="1"/>
    <col min="15117" max="15117" width="9.7109375" style="4" customWidth="1"/>
    <col min="15118" max="15359" width="9.140625" style="4"/>
    <col min="15360" max="15361" width="11" style="4" customWidth="1"/>
    <col min="15362" max="15362" width="17.85546875" style="4" customWidth="1"/>
    <col min="15363" max="15363" width="7.140625" style="4" customWidth="1"/>
    <col min="15364" max="15365" width="9.140625" style="4"/>
    <col min="15366" max="15367" width="6.7109375" style="4" customWidth="1"/>
    <col min="15368" max="15369" width="8.42578125" style="4" customWidth="1"/>
    <col min="15370" max="15370" width="10" style="4" customWidth="1"/>
    <col min="15371" max="15371" width="8.42578125" style="4" customWidth="1"/>
    <col min="15372" max="15372" width="10.7109375" style="4" customWidth="1"/>
    <col min="15373" max="15373" width="9.7109375" style="4" customWidth="1"/>
    <col min="15374" max="15615" width="9.140625" style="4"/>
    <col min="15616" max="15617" width="11" style="4" customWidth="1"/>
    <col min="15618" max="15618" width="17.85546875" style="4" customWidth="1"/>
    <col min="15619" max="15619" width="7.140625" style="4" customWidth="1"/>
    <col min="15620" max="15621" width="9.140625" style="4"/>
    <col min="15622" max="15623" width="6.7109375" style="4" customWidth="1"/>
    <col min="15624" max="15625" width="8.42578125" style="4" customWidth="1"/>
    <col min="15626" max="15626" width="10" style="4" customWidth="1"/>
    <col min="15627" max="15627" width="8.42578125" style="4" customWidth="1"/>
    <col min="15628" max="15628" width="10.7109375" style="4" customWidth="1"/>
    <col min="15629" max="15629" width="9.7109375" style="4" customWidth="1"/>
    <col min="15630" max="15871" width="9.140625" style="4"/>
    <col min="15872" max="15873" width="11" style="4" customWidth="1"/>
    <col min="15874" max="15874" width="17.85546875" style="4" customWidth="1"/>
    <col min="15875" max="15875" width="7.140625" style="4" customWidth="1"/>
    <col min="15876" max="15877" width="9.140625" style="4"/>
    <col min="15878" max="15879" width="6.7109375" style="4" customWidth="1"/>
    <col min="15880" max="15881" width="8.42578125" style="4" customWidth="1"/>
    <col min="15882" max="15882" width="10" style="4" customWidth="1"/>
    <col min="15883" max="15883" width="8.42578125" style="4" customWidth="1"/>
    <col min="15884" max="15884" width="10.7109375" style="4" customWidth="1"/>
    <col min="15885" max="15885" width="9.7109375" style="4" customWidth="1"/>
    <col min="15886" max="16127" width="9.140625" style="4"/>
    <col min="16128" max="16129" width="11" style="4" customWidth="1"/>
    <col min="16130" max="16130" width="17.85546875" style="4" customWidth="1"/>
    <col min="16131" max="16131" width="7.140625" style="4" customWidth="1"/>
    <col min="16132" max="16133" width="9.140625" style="4"/>
    <col min="16134" max="16135" width="6.7109375" style="4" customWidth="1"/>
    <col min="16136" max="16137" width="8.42578125" style="4" customWidth="1"/>
    <col min="16138" max="16138" width="10" style="4" customWidth="1"/>
    <col min="16139" max="16139" width="8.42578125" style="4" customWidth="1"/>
    <col min="16140" max="16140" width="10.7109375" style="4" customWidth="1"/>
    <col min="16141" max="16141" width="9.7109375" style="4" customWidth="1"/>
    <col min="16142" max="16384" width="9.140625" style="4"/>
  </cols>
  <sheetData>
    <row r="1" spans="1:16" s="53" customFormat="1" ht="15" customHeight="1" x14ac:dyDescent="0.2">
      <c r="A1" s="343"/>
      <c r="B1" s="362" t="s">
        <v>199</v>
      </c>
      <c r="C1" s="339" t="str">
        <f>ORÇAMENTO!I4</f>
        <v>SENSE106</v>
      </c>
      <c r="D1" s="338"/>
      <c r="E1" s="338"/>
      <c r="F1" s="338"/>
      <c r="G1" s="338"/>
      <c r="H1" s="338"/>
      <c r="I1" s="338"/>
      <c r="J1" s="338"/>
      <c r="K1" s="338"/>
      <c r="L1" s="345"/>
      <c r="M1" s="346"/>
      <c r="N1" s="62"/>
      <c r="O1" s="62"/>
      <c r="P1" s="62"/>
    </row>
    <row r="2" spans="1:16" s="215" customFormat="1" ht="15" customHeight="1" x14ac:dyDescent="0.2">
      <c r="A2" s="397"/>
      <c r="B2" s="362" t="s">
        <v>173</v>
      </c>
      <c r="C2" s="363" t="str">
        <f>ORÇAMENTO!I5</f>
        <v>HOLZE EMPREENDIMENTOS</v>
      </c>
      <c r="D2" s="339"/>
      <c r="E2" s="339"/>
      <c r="F2" s="339"/>
      <c r="G2" s="339"/>
      <c r="H2" s="339"/>
      <c r="I2" s="339"/>
      <c r="J2" s="339"/>
      <c r="K2" s="339"/>
      <c r="L2" s="347"/>
      <c r="M2" s="348"/>
    </row>
    <row r="3" spans="1:16" s="215" customFormat="1" ht="15" customHeight="1" x14ac:dyDescent="0.2">
      <c r="A3" s="344"/>
      <c r="B3" s="362" t="s">
        <v>174</v>
      </c>
      <c r="C3" s="339" t="s">
        <v>312</v>
      </c>
      <c r="D3" s="339"/>
      <c r="E3" s="339"/>
      <c r="F3" s="339"/>
      <c r="G3" s="339"/>
      <c r="H3" s="339"/>
      <c r="I3" s="339"/>
      <c r="J3" s="339"/>
      <c r="K3" s="341"/>
      <c r="L3" s="349"/>
      <c r="M3" s="350"/>
    </row>
    <row r="4" spans="1:16" s="59" customFormat="1" ht="20.45" customHeight="1" x14ac:dyDescent="0.2">
      <c r="A4" s="1251" t="s">
        <v>176</v>
      </c>
      <c r="B4" s="1251"/>
      <c r="C4" s="1251"/>
      <c r="D4" s="1251"/>
      <c r="E4" s="1251"/>
      <c r="F4" s="1251"/>
      <c r="G4" s="1251"/>
      <c r="H4" s="1251"/>
      <c r="I4" s="1251"/>
      <c r="J4" s="1251"/>
      <c r="K4" s="1251"/>
      <c r="L4" s="1252"/>
      <c r="M4" s="1252"/>
    </row>
    <row r="5" spans="1:16" ht="12" customHeight="1" x14ac:dyDescent="0.2">
      <c r="A5" s="1261" t="s">
        <v>6</v>
      </c>
      <c r="B5" s="1264" t="s">
        <v>10</v>
      </c>
      <c r="C5" s="1264" t="s">
        <v>18</v>
      </c>
      <c r="D5" s="1265" t="s">
        <v>40</v>
      </c>
      <c r="E5" s="1266"/>
      <c r="F5" s="1266"/>
      <c r="G5" s="1267"/>
      <c r="H5" s="1268" t="s">
        <v>9</v>
      </c>
      <c r="I5" s="1264" t="s">
        <v>41</v>
      </c>
      <c r="J5" s="1264" t="s">
        <v>128</v>
      </c>
      <c r="K5" s="1260" t="s">
        <v>95</v>
      </c>
      <c r="L5" s="1261"/>
      <c r="M5" s="304" t="s">
        <v>129</v>
      </c>
    </row>
    <row r="6" spans="1:16" ht="11.25" customHeight="1" x14ac:dyDescent="0.2">
      <c r="A6" s="1261"/>
      <c r="B6" s="1264"/>
      <c r="C6" s="1264"/>
      <c r="D6" s="310" t="s">
        <v>130</v>
      </c>
      <c r="E6" s="310" t="s">
        <v>131</v>
      </c>
      <c r="F6" s="310" t="s">
        <v>132</v>
      </c>
      <c r="G6" s="310" t="s">
        <v>7</v>
      </c>
      <c r="H6" s="1269"/>
      <c r="I6" s="1270"/>
      <c r="J6" s="1270"/>
      <c r="K6" s="1262"/>
      <c r="L6" s="1263"/>
      <c r="M6" s="311" t="s">
        <v>133</v>
      </c>
    </row>
    <row r="7" spans="1:16" ht="12" customHeight="1" x14ac:dyDescent="0.2">
      <c r="A7" s="1261"/>
      <c r="B7" s="1264"/>
      <c r="C7" s="1264"/>
      <c r="D7" s="305" t="s">
        <v>3</v>
      </c>
      <c r="E7" s="305" t="s">
        <v>3</v>
      </c>
      <c r="F7" s="305" t="s">
        <v>3</v>
      </c>
      <c r="G7" s="305" t="s">
        <v>3</v>
      </c>
      <c r="H7" s="309" t="s">
        <v>3</v>
      </c>
      <c r="I7" s="309" t="s">
        <v>4</v>
      </c>
      <c r="J7" s="309" t="s">
        <v>4</v>
      </c>
      <c r="K7" s="312" t="s">
        <v>4</v>
      </c>
      <c r="L7" s="310" t="s">
        <v>10</v>
      </c>
      <c r="M7" s="304"/>
    </row>
    <row r="8" spans="1:16" s="145" customFormat="1" ht="93.75" customHeight="1" x14ac:dyDescent="0.2">
      <c r="A8" s="1271" t="s">
        <v>1214</v>
      </c>
      <c r="B8" s="1271"/>
      <c r="C8" s="1271"/>
      <c r="D8" s="1271"/>
      <c r="E8" s="1271"/>
      <c r="F8" s="1271"/>
      <c r="G8" s="1271"/>
      <c r="H8" s="1271"/>
      <c r="I8" s="1271"/>
      <c r="J8" s="1271"/>
      <c r="K8" s="1271"/>
      <c r="L8" s="1271"/>
      <c r="M8" s="1271"/>
      <c r="N8" s="170"/>
    </row>
    <row r="9" spans="1:16" s="145" customFormat="1" ht="15" customHeight="1" x14ac:dyDescent="0.2">
      <c r="A9" s="174" t="s">
        <v>109</v>
      </c>
      <c r="B9" s="171" t="s">
        <v>139</v>
      </c>
      <c r="C9" s="172">
        <v>1</v>
      </c>
      <c r="D9" s="174"/>
      <c r="E9" s="177">
        <v>35</v>
      </c>
      <c r="F9" s="173">
        <v>0.5</v>
      </c>
      <c r="G9" s="175">
        <f t="shared" ref="G9:G16" si="0">IF(C9="","",ROUNDUP((E9-D9),1))</f>
        <v>35</v>
      </c>
      <c r="H9" s="175">
        <f t="shared" ref="H9:H16" si="1">IF(C9="","",C9*G9)</f>
        <v>35</v>
      </c>
      <c r="I9" s="175">
        <f t="shared" ref="I9:I16" si="2">IF(C9="","",PI()*((F9/2)^2)*H9)</f>
        <v>6.8722339297276722</v>
      </c>
      <c r="J9" s="175">
        <f t="shared" ref="J9:J16" si="3">IF(C9="","",I9*1.3)</f>
        <v>8.9339041086459741</v>
      </c>
      <c r="K9" s="176">
        <f t="shared" ref="K9:K16" si="4">IF(C9="","",I9)</f>
        <v>6.8722339297276722</v>
      </c>
      <c r="L9" s="239" t="s">
        <v>98</v>
      </c>
      <c r="M9" s="175">
        <f t="shared" ref="M9:M16" si="5">IF(C9="","",K9*$M$7)</f>
        <v>0</v>
      </c>
    </row>
    <row r="10" spans="1:16" s="145" customFormat="1" ht="15" customHeight="1" x14ac:dyDescent="0.2">
      <c r="A10" s="174" t="s">
        <v>110</v>
      </c>
      <c r="B10" s="171" t="s">
        <v>139</v>
      </c>
      <c r="C10" s="172">
        <v>1</v>
      </c>
      <c r="D10" s="173"/>
      <c r="E10" s="177">
        <v>35</v>
      </c>
      <c r="F10" s="173">
        <v>0.5</v>
      </c>
      <c r="G10" s="175">
        <f t="shared" si="0"/>
        <v>35</v>
      </c>
      <c r="H10" s="175">
        <f t="shared" si="1"/>
        <v>35</v>
      </c>
      <c r="I10" s="175">
        <f t="shared" si="2"/>
        <v>6.8722339297276722</v>
      </c>
      <c r="J10" s="175">
        <f t="shared" si="3"/>
        <v>8.9339041086459741</v>
      </c>
      <c r="K10" s="176">
        <f t="shared" si="4"/>
        <v>6.8722339297276722</v>
      </c>
      <c r="L10" s="239" t="s">
        <v>98</v>
      </c>
      <c r="M10" s="175">
        <f t="shared" si="5"/>
        <v>0</v>
      </c>
    </row>
    <row r="11" spans="1:16" s="145" customFormat="1" ht="15" customHeight="1" x14ac:dyDescent="0.2">
      <c r="A11" s="174" t="s">
        <v>111</v>
      </c>
      <c r="B11" s="171" t="s">
        <v>139</v>
      </c>
      <c r="C11" s="172">
        <v>1</v>
      </c>
      <c r="D11" s="173"/>
      <c r="E11" s="177">
        <v>35</v>
      </c>
      <c r="F11" s="173">
        <v>0.5</v>
      </c>
      <c r="G11" s="175">
        <f t="shared" si="0"/>
        <v>35</v>
      </c>
      <c r="H11" s="175">
        <f t="shared" si="1"/>
        <v>35</v>
      </c>
      <c r="I11" s="175">
        <f t="shared" si="2"/>
        <v>6.8722339297276722</v>
      </c>
      <c r="J11" s="175">
        <f t="shared" si="3"/>
        <v>8.9339041086459741</v>
      </c>
      <c r="K11" s="176">
        <f t="shared" si="4"/>
        <v>6.8722339297276722</v>
      </c>
      <c r="L11" s="239" t="s">
        <v>98</v>
      </c>
      <c r="M11" s="175">
        <f t="shared" si="5"/>
        <v>0</v>
      </c>
    </row>
    <row r="12" spans="1:16" s="145" customFormat="1" ht="15" customHeight="1" x14ac:dyDescent="0.2">
      <c r="A12" s="174" t="s">
        <v>1185</v>
      </c>
      <c r="B12" s="171" t="s">
        <v>139</v>
      </c>
      <c r="C12" s="172">
        <v>1</v>
      </c>
      <c r="D12" s="173"/>
      <c r="E12" s="177">
        <v>35</v>
      </c>
      <c r="F12" s="173">
        <v>0.5</v>
      </c>
      <c r="G12" s="175">
        <f t="shared" si="0"/>
        <v>35</v>
      </c>
      <c r="H12" s="175">
        <f t="shared" si="1"/>
        <v>35</v>
      </c>
      <c r="I12" s="175">
        <f t="shared" si="2"/>
        <v>6.8722339297276722</v>
      </c>
      <c r="J12" s="175">
        <f t="shared" si="3"/>
        <v>8.9339041086459741</v>
      </c>
      <c r="K12" s="176">
        <f t="shared" si="4"/>
        <v>6.8722339297276722</v>
      </c>
      <c r="L12" s="239" t="s">
        <v>98</v>
      </c>
      <c r="M12" s="175">
        <f t="shared" si="5"/>
        <v>0</v>
      </c>
    </row>
    <row r="13" spans="1:16" s="145" customFormat="1" ht="15" customHeight="1" x14ac:dyDescent="0.2">
      <c r="A13" s="174" t="s">
        <v>1186</v>
      </c>
      <c r="B13" s="171" t="s">
        <v>139</v>
      </c>
      <c r="C13" s="172">
        <v>1</v>
      </c>
      <c r="D13" s="174"/>
      <c r="E13" s="177">
        <v>35</v>
      </c>
      <c r="F13" s="173">
        <v>0.5</v>
      </c>
      <c r="G13" s="175">
        <f t="shared" si="0"/>
        <v>35</v>
      </c>
      <c r="H13" s="175">
        <f t="shared" si="1"/>
        <v>35</v>
      </c>
      <c r="I13" s="175">
        <f t="shared" si="2"/>
        <v>6.8722339297276722</v>
      </c>
      <c r="J13" s="175">
        <f t="shared" si="3"/>
        <v>8.9339041086459741</v>
      </c>
      <c r="K13" s="176">
        <f t="shared" si="4"/>
        <v>6.8722339297276722</v>
      </c>
      <c r="L13" s="239" t="s">
        <v>98</v>
      </c>
      <c r="M13" s="175">
        <f t="shared" si="5"/>
        <v>0</v>
      </c>
    </row>
    <row r="14" spans="1:16" s="145" customFormat="1" ht="15" customHeight="1" x14ac:dyDescent="0.2">
      <c r="A14" s="174" t="s">
        <v>1187</v>
      </c>
      <c r="B14" s="171" t="s">
        <v>139</v>
      </c>
      <c r="C14" s="172">
        <v>1</v>
      </c>
      <c r="D14" s="173"/>
      <c r="E14" s="177">
        <v>35</v>
      </c>
      <c r="F14" s="173">
        <v>0.5</v>
      </c>
      <c r="G14" s="175">
        <f t="shared" si="0"/>
        <v>35</v>
      </c>
      <c r="H14" s="175">
        <f t="shared" si="1"/>
        <v>35</v>
      </c>
      <c r="I14" s="175">
        <f t="shared" si="2"/>
        <v>6.8722339297276722</v>
      </c>
      <c r="J14" s="175">
        <f t="shared" si="3"/>
        <v>8.9339041086459741</v>
      </c>
      <c r="K14" s="176">
        <f t="shared" si="4"/>
        <v>6.8722339297276722</v>
      </c>
      <c r="L14" s="239" t="s">
        <v>98</v>
      </c>
      <c r="M14" s="175">
        <f t="shared" si="5"/>
        <v>0</v>
      </c>
    </row>
    <row r="15" spans="1:16" s="145" customFormat="1" ht="15" customHeight="1" x14ac:dyDescent="0.2">
      <c r="A15" s="174" t="s">
        <v>1188</v>
      </c>
      <c r="B15" s="171" t="s">
        <v>139</v>
      </c>
      <c r="C15" s="172">
        <v>1</v>
      </c>
      <c r="D15" s="173"/>
      <c r="E15" s="177">
        <v>35</v>
      </c>
      <c r="F15" s="173">
        <v>0.5</v>
      </c>
      <c r="G15" s="175">
        <f t="shared" si="0"/>
        <v>35</v>
      </c>
      <c r="H15" s="175">
        <f t="shared" si="1"/>
        <v>35</v>
      </c>
      <c r="I15" s="175">
        <f t="shared" si="2"/>
        <v>6.8722339297276722</v>
      </c>
      <c r="J15" s="175">
        <f t="shared" si="3"/>
        <v>8.9339041086459741</v>
      </c>
      <c r="K15" s="176">
        <f t="shared" si="4"/>
        <v>6.8722339297276722</v>
      </c>
      <c r="L15" s="239" t="s">
        <v>98</v>
      </c>
      <c r="M15" s="175">
        <f t="shared" si="5"/>
        <v>0</v>
      </c>
    </row>
    <row r="16" spans="1:16" s="145" customFormat="1" ht="15" customHeight="1" x14ac:dyDescent="0.2">
      <c r="A16" s="174" t="s">
        <v>1189</v>
      </c>
      <c r="B16" s="171" t="s">
        <v>139</v>
      </c>
      <c r="C16" s="172">
        <v>1</v>
      </c>
      <c r="D16" s="173"/>
      <c r="E16" s="177">
        <v>35</v>
      </c>
      <c r="F16" s="173">
        <v>0.5</v>
      </c>
      <c r="G16" s="175">
        <f t="shared" si="0"/>
        <v>35</v>
      </c>
      <c r="H16" s="175">
        <f t="shared" si="1"/>
        <v>35</v>
      </c>
      <c r="I16" s="175">
        <f t="shared" si="2"/>
        <v>6.8722339297276722</v>
      </c>
      <c r="J16" s="175">
        <f t="shared" si="3"/>
        <v>8.9339041086459741</v>
      </c>
      <c r="K16" s="176">
        <f t="shared" si="4"/>
        <v>6.8722339297276722</v>
      </c>
      <c r="L16" s="239" t="s">
        <v>98</v>
      </c>
      <c r="M16" s="175">
        <f t="shared" si="5"/>
        <v>0</v>
      </c>
    </row>
    <row r="17" spans="1:13" s="145" customFormat="1" ht="15" customHeight="1" x14ac:dyDescent="0.2">
      <c r="A17" s="174" t="s">
        <v>1190</v>
      </c>
      <c r="B17" s="171" t="s">
        <v>139</v>
      </c>
      <c r="C17" s="172">
        <v>1</v>
      </c>
      <c r="D17" s="174"/>
      <c r="E17" s="177">
        <v>35</v>
      </c>
      <c r="F17" s="173">
        <v>0.5</v>
      </c>
      <c r="G17" s="175">
        <f t="shared" ref="G17:G24" si="6">IF(C17="","",ROUNDUP((E17-D17),1))</f>
        <v>35</v>
      </c>
      <c r="H17" s="175">
        <f t="shared" ref="H17:H24" si="7">IF(C17="","",C17*G17)</f>
        <v>35</v>
      </c>
      <c r="I17" s="175">
        <f t="shared" ref="I17:I24" si="8">IF(C17="","",PI()*((F17/2)^2)*H17)</f>
        <v>6.8722339297276722</v>
      </c>
      <c r="J17" s="175">
        <f t="shared" ref="J17:J24" si="9">IF(C17="","",I17*1.3)</f>
        <v>8.9339041086459741</v>
      </c>
      <c r="K17" s="176">
        <f t="shared" ref="K17:K24" si="10">IF(C17="","",I17)</f>
        <v>6.8722339297276722</v>
      </c>
      <c r="L17" s="239" t="s">
        <v>98</v>
      </c>
      <c r="M17" s="175">
        <f t="shared" ref="M17:M24" si="11">IF(C17="","",K17*$M$7)</f>
        <v>0</v>
      </c>
    </row>
    <row r="18" spans="1:13" s="145" customFormat="1" ht="15" customHeight="1" x14ac:dyDescent="0.2">
      <c r="A18" s="174" t="s">
        <v>1191</v>
      </c>
      <c r="B18" s="171" t="s">
        <v>139</v>
      </c>
      <c r="C18" s="172">
        <v>1</v>
      </c>
      <c r="D18" s="173"/>
      <c r="E18" s="177">
        <v>35</v>
      </c>
      <c r="F18" s="173">
        <v>0.5</v>
      </c>
      <c r="G18" s="175">
        <f t="shared" si="6"/>
        <v>35</v>
      </c>
      <c r="H18" s="175">
        <f t="shared" si="7"/>
        <v>35</v>
      </c>
      <c r="I18" s="175">
        <f t="shared" si="8"/>
        <v>6.8722339297276722</v>
      </c>
      <c r="J18" s="175">
        <f t="shared" si="9"/>
        <v>8.9339041086459741</v>
      </c>
      <c r="K18" s="176">
        <f t="shared" si="10"/>
        <v>6.8722339297276722</v>
      </c>
      <c r="L18" s="239" t="s">
        <v>98</v>
      </c>
      <c r="M18" s="175">
        <f t="shared" si="11"/>
        <v>0</v>
      </c>
    </row>
    <row r="19" spans="1:13" s="145" customFormat="1" ht="15" customHeight="1" x14ac:dyDescent="0.2">
      <c r="A19" s="174" t="s">
        <v>1192</v>
      </c>
      <c r="B19" s="171" t="s">
        <v>139</v>
      </c>
      <c r="C19" s="172">
        <v>1</v>
      </c>
      <c r="D19" s="173"/>
      <c r="E19" s="177">
        <v>35</v>
      </c>
      <c r="F19" s="173">
        <v>0.5</v>
      </c>
      <c r="G19" s="175">
        <f t="shared" si="6"/>
        <v>35</v>
      </c>
      <c r="H19" s="175">
        <f t="shared" si="7"/>
        <v>35</v>
      </c>
      <c r="I19" s="175">
        <f t="shared" si="8"/>
        <v>6.8722339297276722</v>
      </c>
      <c r="J19" s="175">
        <f t="shared" si="9"/>
        <v>8.9339041086459741</v>
      </c>
      <c r="K19" s="176">
        <f t="shared" si="10"/>
        <v>6.8722339297276722</v>
      </c>
      <c r="L19" s="239" t="s">
        <v>98</v>
      </c>
      <c r="M19" s="175">
        <f t="shared" si="11"/>
        <v>0</v>
      </c>
    </row>
    <row r="20" spans="1:13" s="145" customFormat="1" ht="15" customHeight="1" x14ac:dyDescent="0.2">
      <c r="A20" s="174" t="s">
        <v>1193</v>
      </c>
      <c r="B20" s="171" t="s">
        <v>134</v>
      </c>
      <c r="C20" s="172">
        <v>1</v>
      </c>
      <c r="D20" s="173"/>
      <c r="E20" s="177">
        <v>35</v>
      </c>
      <c r="F20" s="173">
        <v>0.6</v>
      </c>
      <c r="G20" s="175">
        <f t="shared" si="6"/>
        <v>35</v>
      </c>
      <c r="H20" s="175">
        <f t="shared" si="7"/>
        <v>35</v>
      </c>
      <c r="I20" s="175">
        <f t="shared" si="8"/>
        <v>9.8960168588078492</v>
      </c>
      <c r="J20" s="175">
        <f t="shared" si="9"/>
        <v>12.864821916450204</v>
      </c>
      <c r="K20" s="176">
        <f t="shared" si="10"/>
        <v>9.8960168588078492</v>
      </c>
      <c r="L20" s="239" t="s">
        <v>98</v>
      </c>
      <c r="M20" s="175">
        <f t="shared" si="11"/>
        <v>0</v>
      </c>
    </row>
    <row r="21" spans="1:13" s="145" customFormat="1" ht="15" customHeight="1" x14ac:dyDescent="0.2">
      <c r="A21" s="174" t="s">
        <v>1194</v>
      </c>
      <c r="B21" s="171" t="s">
        <v>139</v>
      </c>
      <c r="C21" s="172">
        <v>1</v>
      </c>
      <c r="D21" s="174"/>
      <c r="E21" s="177">
        <v>35</v>
      </c>
      <c r="F21" s="173">
        <v>0.5</v>
      </c>
      <c r="G21" s="175">
        <f t="shared" si="6"/>
        <v>35</v>
      </c>
      <c r="H21" s="175">
        <f t="shared" si="7"/>
        <v>35</v>
      </c>
      <c r="I21" s="175">
        <f t="shared" si="8"/>
        <v>6.8722339297276722</v>
      </c>
      <c r="J21" s="175">
        <f t="shared" si="9"/>
        <v>8.9339041086459741</v>
      </c>
      <c r="K21" s="176">
        <f t="shared" si="10"/>
        <v>6.8722339297276722</v>
      </c>
      <c r="L21" s="239" t="s">
        <v>98</v>
      </c>
      <c r="M21" s="175">
        <f t="shared" si="11"/>
        <v>0</v>
      </c>
    </row>
    <row r="22" spans="1:13" s="145" customFormat="1" ht="15" customHeight="1" x14ac:dyDescent="0.2">
      <c r="A22" s="174" t="s">
        <v>1195</v>
      </c>
      <c r="B22" s="171" t="s">
        <v>139</v>
      </c>
      <c r="C22" s="172">
        <v>1</v>
      </c>
      <c r="D22" s="173"/>
      <c r="E22" s="177">
        <v>35</v>
      </c>
      <c r="F22" s="173">
        <v>0.5</v>
      </c>
      <c r="G22" s="175">
        <f t="shared" si="6"/>
        <v>35</v>
      </c>
      <c r="H22" s="175">
        <f t="shared" si="7"/>
        <v>35</v>
      </c>
      <c r="I22" s="175">
        <f t="shared" si="8"/>
        <v>6.8722339297276722</v>
      </c>
      <c r="J22" s="175">
        <f t="shared" si="9"/>
        <v>8.9339041086459741</v>
      </c>
      <c r="K22" s="176">
        <f t="shared" si="10"/>
        <v>6.8722339297276722</v>
      </c>
      <c r="L22" s="239" t="s">
        <v>98</v>
      </c>
      <c r="M22" s="175">
        <f t="shared" si="11"/>
        <v>0</v>
      </c>
    </row>
    <row r="23" spans="1:13" s="145" customFormat="1" ht="15" customHeight="1" x14ac:dyDescent="0.2">
      <c r="A23" s="174" t="s">
        <v>1196</v>
      </c>
      <c r="B23" s="171" t="s">
        <v>139</v>
      </c>
      <c r="C23" s="172">
        <v>1</v>
      </c>
      <c r="D23" s="173"/>
      <c r="E23" s="177">
        <v>35</v>
      </c>
      <c r="F23" s="173">
        <v>0.5</v>
      </c>
      <c r="G23" s="175">
        <f t="shared" si="6"/>
        <v>35</v>
      </c>
      <c r="H23" s="175">
        <f t="shared" si="7"/>
        <v>35</v>
      </c>
      <c r="I23" s="175">
        <f t="shared" si="8"/>
        <v>6.8722339297276722</v>
      </c>
      <c r="J23" s="175">
        <f t="shared" si="9"/>
        <v>8.9339041086459741</v>
      </c>
      <c r="K23" s="176">
        <f t="shared" si="10"/>
        <v>6.8722339297276722</v>
      </c>
      <c r="L23" s="239" t="s">
        <v>98</v>
      </c>
      <c r="M23" s="175">
        <f t="shared" si="11"/>
        <v>0</v>
      </c>
    </row>
    <row r="24" spans="1:13" s="145" customFormat="1" ht="15" customHeight="1" x14ac:dyDescent="0.2">
      <c r="A24" s="174" t="s">
        <v>1197</v>
      </c>
      <c r="B24" s="171" t="s">
        <v>139</v>
      </c>
      <c r="C24" s="172">
        <v>1</v>
      </c>
      <c r="D24" s="173"/>
      <c r="E24" s="177">
        <v>35</v>
      </c>
      <c r="F24" s="173">
        <v>0.5</v>
      </c>
      <c r="G24" s="175">
        <f t="shared" si="6"/>
        <v>35</v>
      </c>
      <c r="H24" s="175">
        <f t="shared" si="7"/>
        <v>35</v>
      </c>
      <c r="I24" s="175">
        <f t="shared" si="8"/>
        <v>6.8722339297276722</v>
      </c>
      <c r="J24" s="175">
        <f t="shared" si="9"/>
        <v>8.9339041086459741</v>
      </c>
      <c r="K24" s="176">
        <f t="shared" si="10"/>
        <v>6.8722339297276722</v>
      </c>
      <c r="L24" s="239" t="s">
        <v>98</v>
      </c>
      <c r="M24" s="175">
        <f t="shared" si="11"/>
        <v>0</v>
      </c>
    </row>
    <row r="25" spans="1:13" s="145" customFormat="1" ht="15" customHeight="1" x14ac:dyDescent="0.2">
      <c r="A25" s="174" t="s">
        <v>1198</v>
      </c>
      <c r="B25" s="171" t="s">
        <v>134</v>
      </c>
      <c r="C25" s="172">
        <v>2</v>
      </c>
      <c r="D25" s="174"/>
      <c r="E25" s="177">
        <v>35</v>
      </c>
      <c r="F25" s="173">
        <v>0.6</v>
      </c>
      <c r="G25" s="175">
        <f t="shared" ref="G25:G32" si="12">IF(C25="","",ROUNDUP((E25-D25),1))</f>
        <v>35</v>
      </c>
      <c r="H25" s="175">
        <f t="shared" ref="H25:H32" si="13">IF(C25="","",C25*G25)</f>
        <v>70</v>
      </c>
      <c r="I25" s="175">
        <f t="shared" ref="I25:I32" si="14">IF(C25="","",PI()*((F25/2)^2)*H25)</f>
        <v>19.792033717615698</v>
      </c>
      <c r="J25" s="175">
        <f t="shared" ref="J25:J32" si="15">IF(C25="","",I25*1.3)</f>
        <v>25.729643832900408</v>
      </c>
      <c r="K25" s="176">
        <f t="shared" ref="K25:K32" si="16">IF(C25="","",I25)</f>
        <v>19.792033717615698</v>
      </c>
      <c r="L25" s="239" t="s">
        <v>98</v>
      </c>
      <c r="M25" s="175">
        <f t="shared" ref="M25:M32" si="17">IF(C25="","",K25*$M$7)</f>
        <v>0</v>
      </c>
    </row>
    <row r="26" spans="1:13" s="145" customFormat="1" ht="15" customHeight="1" x14ac:dyDescent="0.2">
      <c r="A26" s="174" t="s">
        <v>1199</v>
      </c>
      <c r="B26" s="171" t="s">
        <v>139</v>
      </c>
      <c r="C26" s="172">
        <v>5</v>
      </c>
      <c r="D26" s="173"/>
      <c r="E26" s="177">
        <v>35</v>
      </c>
      <c r="F26" s="173">
        <v>0.5</v>
      </c>
      <c r="G26" s="175">
        <f t="shared" si="12"/>
        <v>35</v>
      </c>
      <c r="H26" s="175">
        <f t="shared" si="13"/>
        <v>175</v>
      </c>
      <c r="I26" s="175">
        <f t="shared" si="14"/>
        <v>34.361169648638359</v>
      </c>
      <c r="J26" s="175">
        <f t="shared" si="15"/>
        <v>44.669520543229872</v>
      </c>
      <c r="K26" s="176">
        <f t="shared" si="16"/>
        <v>34.361169648638359</v>
      </c>
      <c r="L26" s="239" t="s">
        <v>98</v>
      </c>
      <c r="M26" s="175">
        <f t="shared" si="17"/>
        <v>0</v>
      </c>
    </row>
    <row r="27" spans="1:13" s="145" customFormat="1" ht="15" customHeight="1" x14ac:dyDescent="0.2">
      <c r="A27" s="174" t="s">
        <v>1200</v>
      </c>
      <c r="B27" s="171" t="s">
        <v>134</v>
      </c>
      <c r="C27" s="172">
        <v>7</v>
      </c>
      <c r="D27" s="173"/>
      <c r="E27" s="177">
        <v>35</v>
      </c>
      <c r="F27" s="173">
        <v>0.6</v>
      </c>
      <c r="G27" s="175">
        <f t="shared" si="12"/>
        <v>35</v>
      </c>
      <c r="H27" s="175">
        <f t="shared" si="13"/>
        <v>245</v>
      </c>
      <c r="I27" s="175">
        <f t="shared" si="14"/>
        <v>69.272118011654939</v>
      </c>
      <c r="J27" s="175">
        <f t="shared" si="15"/>
        <v>90.053753415151419</v>
      </c>
      <c r="K27" s="176">
        <f t="shared" si="16"/>
        <v>69.272118011654939</v>
      </c>
      <c r="L27" s="239" t="s">
        <v>98</v>
      </c>
      <c r="M27" s="175">
        <f t="shared" si="17"/>
        <v>0</v>
      </c>
    </row>
    <row r="28" spans="1:13" s="145" customFormat="1" ht="15" customHeight="1" x14ac:dyDescent="0.2">
      <c r="A28" s="174" t="s">
        <v>1201</v>
      </c>
      <c r="B28" s="171" t="s">
        <v>134</v>
      </c>
      <c r="C28" s="172">
        <v>7</v>
      </c>
      <c r="D28" s="173"/>
      <c r="E28" s="177">
        <v>35</v>
      </c>
      <c r="F28" s="173">
        <v>0.6</v>
      </c>
      <c r="G28" s="175">
        <f t="shared" si="12"/>
        <v>35</v>
      </c>
      <c r="H28" s="175">
        <f t="shared" si="13"/>
        <v>245</v>
      </c>
      <c r="I28" s="175">
        <f t="shared" si="14"/>
        <v>69.272118011654939</v>
      </c>
      <c r="J28" s="175">
        <f t="shared" si="15"/>
        <v>90.053753415151419</v>
      </c>
      <c r="K28" s="176">
        <f t="shared" si="16"/>
        <v>69.272118011654939</v>
      </c>
      <c r="L28" s="239" t="s">
        <v>98</v>
      </c>
      <c r="M28" s="175">
        <f t="shared" si="17"/>
        <v>0</v>
      </c>
    </row>
    <row r="29" spans="1:13" s="145" customFormat="1" ht="15" customHeight="1" x14ac:dyDescent="0.2">
      <c r="A29" s="174" t="s">
        <v>1202</v>
      </c>
      <c r="B29" s="171" t="s">
        <v>134</v>
      </c>
      <c r="C29" s="172">
        <v>3</v>
      </c>
      <c r="D29" s="174"/>
      <c r="E29" s="177">
        <v>35</v>
      </c>
      <c r="F29" s="173">
        <v>0.6</v>
      </c>
      <c r="G29" s="175">
        <f t="shared" si="12"/>
        <v>35</v>
      </c>
      <c r="H29" s="175">
        <f t="shared" si="13"/>
        <v>105</v>
      </c>
      <c r="I29" s="175">
        <f t="shared" si="14"/>
        <v>29.688050576423546</v>
      </c>
      <c r="J29" s="175">
        <f t="shared" si="15"/>
        <v>38.594465749350611</v>
      </c>
      <c r="K29" s="176">
        <f t="shared" si="16"/>
        <v>29.688050576423546</v>
      </c>
      <c r="L29" s="239" t="s">
        <v>98</v>
      </c>
      <c r="M29" s="175">
        <f t="shared" si="17"/>
        <v>0</v>
      </c>
    </row>
    <row r="30" spans="1:13" s="145" customFormat="1" ht="15" customHeight="1" x14ac:dyDescent="0.2">
      <c r="A30" s="174" t="s">
        <v>1203</v>
      </c>
      <c r="B30" s="171" t="s">
        <v>134</v>
      </c>
      <c r="C30" s="172">
        <v>3</v>
      </c>
      <c r="D30" s="173"/>
      <c r="E30" s="177">
        <v>35</v>
      </c>
      <c r="F30" s="173">
        <v>0.6</v>
      </c>
      <c r="G30" s="175">
        <f t="shared" si="12"/>
        <v>35</v>
      </c>
      <c r="H30" s="175">
        <f t="shared" si="13"/>
        <v>105</v>
      </c>
      <c r="I30" s="175">
        <f t="shared" si="14"/>
        <v>29.688050576423546</v>
      </c>
      <c r="J30" s="175">
        <f t="shared" si="15"/>
        <v>38.594465749350611</v>
      </c>
      <c r="K30" s="176">
        <f t="shared" si="16"/>
        <v>29.688050576423546</v>
      </c>
      <c r="L30" s="239" t="s">
        <v>98</v>
      </c>
      <c r="M30" s="175">
        <f t="shared" si="17"/>
        <v>0</v>
      </c>
    </row>
    <row r="31" spans="1:13" s="145" customFormat="1" ht="15" customHeight="1" x14ac:dyDescent="0.2">
      <c r="A31" s="174" t="s">
        <v>1204</v>
      </c>
      <c r="B31" s="171" t="s">
        <v>134</v>
      </c>
      <c r="C31" s="172">
        <v>4</v>
      </c>
      <c r="D31" s="173"/>
      <c r="E31" s="177">
        <v>35</v>
      </c>
      <c r="F31" s="173">
        <v>0.6</v>
      </c>
      <c r="G31" s="175">
        <f t="shared" si="12"/>
        <v>35</v>
      </c>
      <c r="H31" s="175">
        <f t="shared" si="13"/>
        <v>140</v>
      </c>
      <c r="I31" s="175">
        <f t="shared" si="14"/>
        <v>39.584067435231397</v>
      </c>
      <c r="J31" s="175">
        <f t="shared" si="15"/>
        <v>51.459287665800815</v>
      </c>
      <c r="K31" s="176">
        <f t="shared" si="16"/>
        <v>39.584067435231397</v>
      </c>
      <c r="L31" s="239" t="s">
        <v>98</v>
      </c>
      <c r="M31" s="175">
        <f t="shared" si="17"/>
        <v>0</v>
      </c>
    </row>
    <row r="32" spans="1:13" s="145" customFormat="1" ht="15" customHeight="1" x14ac:dyDescent="0.2">
      <c r="A32" s="174" t="s">
        <v>1205</v>
      </c>
      <c r="B32" s="171" t="s">
        <v>134</v>
      </c>
      <c r="C32" s="172">
        <v>9</v>
      </c>
      <c r="D32" s="173"/>
      <c r="E32" s="177">
        <v>35</v>
      </c>
      <c r="F32" s="173">
        <v>0.6</v>
      </c>
      <c r="G32" s="175">
        <f t="shared" si="12"/>
        <v>35</v>
      </c>
      <c r="H32" s="175">
        <f t="shared" si="13"/>
        <v>315</v>
      </c>
      <c r="I32" s="175">
        <f t="shared" si="14"/>
        <v>89.064151729270634</v>
      </c>
      <c r="J32" s="175">
        <f t="shared" si="15"/>
        <v>115.78339724805183</v>
      </c>
      <c r="K32" s="176">
        <f t="shared" si="16"/>
        <v>89.064151729270634</v>
      </c>
      <c r="L32" s="239" t="s">
        <v>98</v>
      </c>
      <c r="M32" s="175">
        <f t="shared" si="17"/>
        <v>0</v>
      </c>
    </row>
    <row r="33" spans="1:13" s="145" customFormat="1" ht="15" customHeight="1" x14ac:dyDescent="0.2">
      <c r="A33" s="174" t="s">
        <v>1206</v>
      </c>
      <c r="B33" s="171" t="s">
        <v>134</v>
      </c>
      <c r="C33" s="172">
        <v>5</v>
      </c>
      <c r="D33" s="174"/>
      <c r="E33" s="177">
        <v>35</v>
      </c>
      <c r="F33" s="173">
        <v>0.6</v>
      </c>
      <c r="G33" s="175">
        <f t="shared" ref="G33:G40" si="18">IF(C33="","",ROUNDUP((E33-D33),1))</f>
        <v>35</v>
      </c>
      <c r="H33" s="175">
        <f t="shared" ref="H33:H40" si="19">IF(C33="","",C33*G33)</f>
        <v>175</v>
      </c>
      <c r="I33" s="175">
        <f t="shared" ref="I33:I40" si="20">IF(C33="","",PI()*((F33/2)^2)*H33)</f>
        <v>49.480084294039244</v>
      </c>
      <c r="J33" s="175">
        <f t="shared" ref="J33:J40" si="21">IF(C33="","",I33*1.3)</f>
        <v>64.324109582251026</v>
      </c>
      <c r="K33" s="176">
        <f t="shared" ref="K33:K40" si="22">IF(C33="","",I33)</f>
        <v>49.480084294039244</v>
      </c>
      <c r="L33" s="239" t="s">
        <v>98</v>
      </c>
      <c r="M33" s="175">
        <f t="shared" ref="M33:M40" si="23">IF(C33="","",K33*$M$7)</f>
        <v>0</v>
      </c>
    </row>
    <row r="34" spans="1:13" s="145" customFormat="1" ht="15" customHeight="1" x14ac:dyDescent="0.2">
      <c r="A34" s="174" t="s">
        <v>1207</v>
      </c>
      <c r="B34" s="171" t="s">
        <v>139</v>
      </c>
      <c r="C34" s="172">
        <v>3</v>
      </c>
      <c r="D34" s="173"/>
      <c r="E34" s="177">
        <v>35</v>
      </c>
      <c r="F34" s="173">
        <v>0.5</v>
      </c>
      <c r="G34" s="175">
        <f t="shared" si="18"/>
        <v>35</v>
      </c>
      <c r="H34" s="175">
        <f t="shared" si="19"/>
        <v>105</v>
      </c>
      <c r="I34" s="175">
        <f t="shared" si="20"/>
        <v>20.616701789183018</v>
      </c>
      <c r="J34" s="175">
        <f t="shared" si="21"/>
        <v>26.801712325937924</v>
      </c>
      <c r="K34" s="176">
        <f t="shared" si="22"/>
        <v>20.616701789183018</v>
      </c>
      <c r="L34" s="239" t="s">
        <v>98</v>
      </c>
      <c r="M34" s="175">
        <f t="shared" si="23"/>
        <v>0</v>
      </c>
    </row>
    <row r="35" spans="1:13" s="145" customFormat="1" ht="15" customHeight="1" x14ac:dyDescent="0.2">
      <c r="A35" s="174" t="s">
        <v>1208</v>
      </c>
      <c r="B35" s="171" t="s">
        <v>134</v>
      </c>
      <c r="C35" s="172">
        <v>3</v>
      </c>
      <c r="D35" s="173"/>
      <c r="E35" s="177">
        <v>35</v>
      </c>
      <c r="F35" s="173">
        <v>0.6</v>
      </c>
      <c r="G35" s="175">
        <f t="shared" si="18"/>
        <v>35</v>
      </c>
      <c r="H35" s="175">
        <f t="shared" si="19"/>
        <v>105</v>
      </c>
      <c r="I35" s="175">
        <f t="shared" si="20"/>
        <v>29.688050576423546</v>
      </c>
      <c r="J35" s="175">
        <f t="shared" si="21"/>
        <v>38.594465749350611</v>
      </c>
      <c r="K35" s="176">
        <f t="shared" si="22"/>
        <v>29.688050576423546</v>
      </c>
      <c r="L35" s="239" t="s">
        <v>98</v>
      </c>
      <c r="M35" s="175">
        <f t="shared" si="23"/>
        <v>0</v>
      </c>
    </row>
    <row r="36" spans="1:13" s="145" customFormat="1" ht="15" customHeight="1" x14ac:dyDescent="0.2">
      <c r="A36" s="174" t="s">
        <v>1209</v>
      </c>
      <c r="B36" s="171" t="s">
        <v>134</v>
      </c>
      <c r="C36" s="172">
        <v>3</v>
      </c>
      <c r="D36" s="173"/>
      <c r="E36" s="177">
        <v>35</v>
      </c>
      <c r="F36" s="173">
        <v>0.6</v>
      </c>
      <c r="G36" s="175">
        <f t="shared" si="18"/>
        <v>35</v>
      </c>
      <c r="H36" s="175">
        <f t="shared" si="19"/>
        <v>105</v>
      </c>
      <c r="I36" s="175">
        <f t="shared" si="20"/>
        <v>29.688050576423546</v>
      </c>
      <c r="J36" s="175">
        <f t="shared" si="21"/>
        <v>38.594465749350611</v>
      </c>
      <c r="K36" s="176">
        <f t="shared" si="22"/>
        <v>29.688050576423546</v>
      </c>
      <c r="L36" s="239" t="s">
        <v>98</v>
      </c>
      <c r="M36" s="175">
        <f t="shared" si="23"/>
        <v>0</v>
      </c>
    </row>
    <row r="37" spans="1:13" s="145" customFormat="1" ht="15" customHeight="1" x14ac:dyDescent="0.2">
      <c r="A37" s="174" t="s">
        <v>1210</v>
      </c>
      <c r="B37" s="171" t="s">
        <v>134</v>
      </c>
      <c r="C37" s="172">
        <v>3</v>
      </c>
      <c r="D37" s="174"/>
      <c r="E37" s="177">
        <v>35</v>
      </c>
      <c r="F37" s="173">
        <v>0.6</v>
      </c>
      <c r="G37" s="175">
        <f t="shared" si="18"/>
        <v>35</v>
      </c>
      <c r="H37" s="175">
        <f t="shared" si="19"/>
        <v>105</v>
      </c>
      <c r="I37" s="175">
        <f t="shared" si="20"/>
        <v>29.688050576423546</v>
      </c>
      <c r="J37" s="175">
        <f t="shared" si="21"/>
        <v>38.594465749350611</v>
      </c>
      <c r="K37" s="176">
        <f t="shared" si="22"/>
        <v>29.688050576423546</v>
      </c>
      <c r="L37" s="239" t="s">
        <v>98</v>
      </c>
      <c r="M37" s="175">
        <f t="shared" si="23"/>
        <v>0</v>
      </c>
    </row>
    <row r="38" spans="1:13" s="145" customFormat="1" ht="15" customHeight="1" x14ac:dyDescent="0.2">
      <c r="A38" s="174" t="s">
        <v>1211</v>
      </c>
      <c r="B38" s="171" t="s">
        <v>134</v>
      </c>
      <c r="C38" s="172">
        <v>3</v>
      </c>
      <c r="D38" s="173"/>
      <c r="E38" s="177">
        <v>35</v>
      </c>
      <c r="F38" s="173">
        <v>0.6</v>
      </c>
      <c r="G38" s="175">
        <f t="shared" si="18"/>
        <v>35</v>
      </c>
      <c r="H38" s="175">
        <f t="shared" si="19"/>
        <v>105</v>
      </c>
      <c r="I38" s="175">
        <f t="shared" si="20"/>
        <v>29.688050576423546</v>
      </c>
      <c r="J38" s="175">
        <f t="shared" si="21"/>
        <v>38.594465749350611</v>
      </c>
      <c r="K38" s="176">
        <f t="shared" si="22"/>
        <v>29.688050576423546</v>
      </c>
      <c r="L38" s="239" t="s">
        <v>98</v>
      </c>
      <c r="M38" s="175">
        <f t="shared" si="23"/>
        <v>0</v>
      </c>
    </row>
    <row r="39" spans="1:13" s="145" customFormat="1" ht="15" customHeight="1" x14ac:dyDescent="0.2">
      <c r="A39" s="174" t="s">
        <v>1212</v>
      </c>
      <c r="B39" s="171" t="s">
        <v>134</v>
      </c>
      <c r="C39" s="172">
        <v>8</v>
      </c>
      <c r="D39" s="173"/>
      <c r="E39" s="177">
        <v>35</v>
      </c>
      <c r="F39" s="173">
        <v>0.6</v>
      </c>
      <c r="G39" s="175">
        <f t="shared" si="18"/>
        <v>35</v>
      </c>
      <c r="H39" s="175">
        <f t="shared" si="19"/>
        <v>280</v>
      </c>
      <c r="I39" s="175">
        <f t="shared" si="20"/>
        <v>79.168134870462794</v>
      </c>
      <c r="J39" s="175">
        <f t="shared" si="21"/>
        <v>102.91857533160163</v>
      </c>
      <c r="K39" s="176">
        <f t="shared" si="22"/>
        <v>79.168134870462794</v>
      </c>
      <c r="L39" s="239" t="s">
        <v>98</v>
      </c>
      <c r="M39" s="175">
        <f t="shared" si="23"/>
        <v>0</v>
      </c>
    </row>
    <row r="40" spans="1:13" s="145" customFormat="1" ht="15" customHeight="1" x14ac:dyDescent="0.2">
      <c r="A40" s="174" t="s">
        <v>1213</v>
      </c>
      <c r="B40" s="171" t="s">
        <v>134</v>
      </c>
      <c r="C40" s="172">
        <v>8</v>
      </c>
      <c r="D40" s="173"/>
      <c r="E40" s="177">
        <v>35</v>
      </c>
      <c r="F40" s="173">
        <v>0.6</v>
      </c>
      <c r="G40" s="175">
        <f t="shared" si="18"/>
        <v>35</v>
      </c>
      <c r="H40" s="175">
        <f t="shared" si="19"/>
        <v>280</v>
      </c>
      <c r="I40" s="175">
        <f t="shared" si="20"/>
        <v>79.168134870462794</v>
      </c>
      <c r="J40" s="175">
        <f t="shared" si="21"/>
        <v>102.91857533160163</v>
      </c>
      <c r="K40" s="176">
        <f t="shared" si="22"/>
        <v>79.168134870462794</v>
      </c>
      <c r="L40" s="239" t="s">
        <v>98</v>
      </c>
      <c r="M40" s="175">
        <f t="shared" si="23"/>
        <v>0</v>
      </c>
    </row>
    <row r="41" spans="1:13" s="145" customFormat="1" ht="15" customHeight="1" x14ac:dyDescent="0.2">
      <c r="A41" s="184"/>
      <c r="B41" s="171"/>
      <c r="C41" s="172"/>
      <c r="D41" s="173"/>
      <c r="E41" s="174"/>
      <c r="F41" s="173"/>
      <c r="G41" s="175" t="str">
        <f>IF(C41="","",ROUNDUP((E41-D41),1))</f>
        <v/>
      </c>
      <c r="H41" s="175" t="str">
        <f>IF(C41="","",C41*G41)</f>
        <v/>
      </c>
      <c r="I41" s="175" t="str">
        <f>IF(C41="","",PI()*((F41/2)^2)*H41)</f>
        <v/>
      </c>
      <c r="J41" s="175" t="str">
        <f>IF(C41="","",I41*1.3)</f>
        <v/>
      </c>
      <c r="K41" s="176" t="str">
        <f>IF(C41="","",I41)</f>
        <v/>
      </c>
      <c r="L41" s="239"/>
      <c r="M41" s="175" t="str">
        <f>IF(C41="","",K41*$M$7)</f>
        <v/>
      </c>
    </row>
    <row r="42" spans="1:13" s="145" customFormat="1" ht="15" customHeight="1" thickBot="1" x14ac:dyDescent="0.25">
      <c r="A42" s="183" t="s">
        <v>316</v>
      </c>
      <c r="B42" s="171"/>
      <c r="C42" s="172"/>
      <c r="D42" s="173"/>
      <c r="E42" s="173"/>
      <c r="F42" s="173" t="str">
        <f>IF(B42="","",VLOOKUP(B42,$F$44:$G$52,2,0))</f>
        <v/>
      </c>
      <c r="G42" s="175" t="str">
        <f>IF(C42="","",ROUNDUP((E42-D42),1))</f>
        <v/>
      </c>
      <c r="H42" s="175" t="str">
        <f>IF(C42="","",C42*G42)</f>
        <v/>
      </c>
      <c r="I42" s="175" t="str">
        <f>IF(C42="","",PI()*((F42/2)^2)*H42)</f>
        <v/>
      </c>
      <c r="J42" s="175" t="str">
        <f>IF(C42="","",I42*1.3)</f>
        <v/>
      </c>
      <c r="K42" s="176" t="str">
        <f>IF(C42="","",I42)</f>
        <v/>
      </c>
      <c r="L42" s="239"/>
      <c r="M42" s="175" t="str">
        <f>IF(C42="","",K42*$M$7)</f>
        <v/>
      </c>
    </row>
    <row r="43" spans="1:13" s="145" customFormat="1" ht="15" customHeight="1" thickTop="1" thickBot="1" x14ac:dyDescent="0.25">
      <c r="A43" s="185" t="s">
        <v>16</v>
      </c>
      <c r="B43" s="115" t="s">
        <v>137</v>
      </c>
      <c r="C43" s="186">
        <f>SUM(C8:C42)</f>
        <v>92</v>
      </c>
      <c r="D43" s="186"/>
      <c r="E43" s="187"/>
      <c r="F43" s="188"/>
      <c r="G43" s="187"/>
      <c r="H43" s="189">
        <f>SUM(H8:H42)</f>
        <v>3220</v>
      </c>
      <c r="I43" s="189">
        <f>SUM(I$8:I42)</f>
        <v>840.88654364147806</v>
      </c>
      <c r="J43" s="189">
        <f>SUM(J$8:J42)</f>
        <v>1093.1525067339219</v>
      </c>
      <c r="K43" s="189">
        <f>SUM(K$8:K42)</f>
        <v>840.88654364147806</v>
      </c>
      <c r="L43" s="189"/>
      <c r="M43" s="190">
        <f>SUM(M$8:M42)</f>
        <v>0</v>
      </c>
    </row>
    <row r="44" spans="1:13" s="145" customFormat="1" ht="15" customHeight="1" thickTop="1" x14ac:dyDescent="0.2">
      <c r="A44" s="182" t="s">
        <v>108</v>
      </c>
      <c r="C44" s="191"/>
      <c r="F44" s="181" t="s">
        <v>329</v>
      </c>
      <c r="G44" s="240">
        <v>0.35</v>
      </c>
      <c r="H44" s="192">
        <f t="shared" ref="H44:H52" si="24">SUMIF($B$8:$B$42,$F44,$H$8:$H$42)</f>
        <v>0</v>
      </c>
      <c r="I44" s="178"/>
      <c r="J44" s="178"/>
      <c r="K44" s="179">
        <f t="shared" ref="K44:K52" si="25">SUMIF($L$8:$L$42,$L44,$K$8:$K$42)</f>
        <v>0</v>
      </c>
      <c r="L44" s="180" t="s">
        <v>126</v>
      </c>
      <c r="M44" s="178"/>
    </row>
    <row r="45" spans="1:13" s="145" customFormat="1" ht="15" customHeight="1" x14ac:dyDescent="0.2">
      <c r="A45" s="178"/>
      <c r="B45" s="178"/>
      <c r="C45" s="178"/>
      <c r="D45" s="178"/>
      <c r="F45" s="181" t="s">
        <v>138</v>
      </c>
      <c r="G45" s="240">
        <v>0.4</v>
      </c>
      <c r="H45" s="179">
        <f t="shared" si="24"/>
        <v>0</v>
      </c>
      <c r="I45" s="178"/>
      <c r="J45" s="178"/>
      <c r="K45" s="179">
        <f t="shared" si="25"/>
        <v>0</v>
      </c>
      <c r="L45" s="180" t="s">
        <v>125</v>
      </c>
      <c r="M45" s="178"/>
    </row>
    <row r="46" spans="1:13" s="145" customFormat="1" ht="15" customHeight="1" x14ac:dyDescent="0.2">
      <c r="A46" s="178"/>
      <c r="B46" s="178"/>
      <c r="C46" s="178"/>
      <c r="D46" s="178"/>
      <c r="F46" s="181" t="s">
        <v>139</v>
      </c>
      <c r="G46" s="240">
        <v>0.5</v>
      </c>
      <c r="H46" s="179">
        <f t="shared" si="24"/>
        <v>805</v>
      </c>
      <c r="I46" s="178"/>
      <c r="J46" s="178"/>
      <c r="K46" s="179">
        <f t="shared" si="25"/>
        <v>0</v>
      </c>
      <c r="L46" s="180" t="s">
        <v>123</v>
      </c>
      <c r="M46" s="178"/>
    </row>
    <row r="47" spans="1:13" s="145" customFormat="1" ht="15" customHeight="1" x14ac:dyDescent="0.2">
      <c r="A47" s="178"/>
      <c r="B47" s="178"/>
      <c r="C47" s="178"/>
      <c r="D47" s="178"/>
      <c r="F47" s="181" t="s">
        <v>134</v>
      </c>
      <c r="G47" s="240">
        <v>0.6</v>
      </c>
      <c r="H47" s="179">
        <f t="shared" si="24"/>
        <v>2415</v>
      </c>
      <c r="I47" s="178"/>
      <c r="J47" s="178"/>
      <c r="K47" s="179">
        <f t="shared" si="25"/>
        <v>0</v>
      </c>
      <c r="L47" s="180" t="s">
        <v>124</v>
      </c>
      <c r="M47" s="178"/>
    </row>
    <row r="48" spans="1:13" s="145" customFormat="1" ht="15" customHeight="1" x14ac:dyDescent="0.2">
      <c r="A48" s="178"/>
      <c r="B48" s="178"/>
      <c r="C48" s="178"/>
      <c r="D48" s="178"/>
      <c r="F48" s="181" t="s">
        <v>135</v>
      </c>
      <c r="G48" s="240">
        <v>0.7</v>
      </c>
      <c r="H48" s="179">
        <f t="shared" si="24"/>
        <v>0</v>
      </c>
      <c r="I48" s="178"/>
      <c r="J48" s="178"/>
      <c r="K48" s="179">
        <f t="shared" si="25"/>
        <v>840.88654364147806</v>
      </c>
      <c r="L48" s="180" t="s">
        <v>98</v>
      </c>
      <c r="M48" s="178"/>
    </row>
    <row r="49" spans="1:13" s="145" customFormat="1" ht="15" customHeight="1" x14ac:dyDescent="0.2">
      <c r="A49" s="178"/>
      <c r="B49" s="178"/>
      <c r="C49" s="178"/>
      <c r="D49" s="178"/>
      <c r="F49" s="181" t="s">
        <v>136</v>
      </c>
      <c r="G49" s="240">
        <v>0.8</v>
      </c>
      <c r="H49" s="179">
        <f t="shared" si="24"/>
        <v>0</v>
      </c>
      <c r="I49" s="178"/>
      <c r="J49" s="178"/>
      <c r="K49" s="179">
        <f t="shared" si="25"/>
        <v>0</v>
      </c>
      <c r="L49" s="180" t="s">
        <v>143</v>
      </c>
      <c r="M49" s="178"/>
    </row>
    <row r="50" spans="1:13" s="145" customFormat="1" ht="15" customHeight="1" x14ac:dyDescent="0.2">
      <c r="A50" s="178"/>
      <c r="B50" s="178"/>
      <c r="C50" s="178"/>
      <c r="D50" s="178"/>
      <c r="F50" s="181" t="s">
        <v>144</v>
      </c>
      <c r="G50" s="240">
        <v>0.9</v>
      </c>
      <c r="H50" s="179">
        <f t="shared" si="24"/>
        <v>0</v>
      </c>
      <c r="I50" s="178"/>
      <c r="J50" s="178"/>
      <c r="K50" s="179">
        <f t="shared" si="25"/>
        <v>0</v>
      </c>
      <c r="L50" s="180" t="s">
        <v>143</v>
      </c>
      <c r="M50" s="178"/>
    </row>
    <row r="51" spans="1:13" ht="12" x14ac:dyDescent="0.2">
      <c r="F51" s="181" t="s">
        <v>140</v>
      </c>
      <c r="G51" s="240">
        <v>0.7</v>
      </c>
      <c r="H51" s="179">
        <f t="shared" si="24"/>
        <v>0</v>
      </c>
      <c r="I51" s="178"/>
      <c r="K51" s="179">
        <f t="shared" si="25"/>
        <v>0</v>
      </c>
      <c r="L51" s="180" t="s">
        <v>143</v>
      </c>
    </row>
    <row r="52" spans="1:13" ht="12" x14ac:dyDescent="0.2">
      <c r="F52" s="181" t="s">
        <v>94</v>
      </c>
      <c r="G52" s="241"/>
      <c r="H52" s="179">
        <f t="shared" si="24"/>
        <v>0</v>
      </c>
      <c r="I52" s="178"/>
      <c r="K52" s="179">
        <f t="shared" si="25"/>
        <v>0</v>
      </c>
      <c r="L52" s="180" t="s">
        <v>143</v>
      </c>
    </row>
    <row r="97" spans="1:2" ht="15.75" x14ac:dyDescent="0.2">
      <c r="A97" s="361"/>
      <c r="B97" s="364"/>
    </row>
    <row r="134" spans="1:13" ht="17.45" customHeight="1" x14ac:dyDescent="0.2">
      <c r="A134" s="1257" t="s">
        <v>196</v>
      </c>
      <c r="B134" s="1258"/>
      <c r="C134" s="1258"/>
      <c r="D134" s="1258"/>
      <c r="E134" s="1258"/>
      <c r="F134" s="1258"/>
      <c r="G134" s="1258"/>
      <c r="H134" s="1258"/>
      <c r="I134" s="1258"/>
      <c r="J134" s="1258"/>
      <c r="K134" s="1258"/>
      <c r="L134" s="1258"/>
      <c r="M134" s="1259"/>
    </row>
    <row r="135" spans="1:13" x14ac:dyDescent="0.2">
      <c r="A135" s="410" t="s">
        <v>197</v>
      </c>
    </row>
    <row r="153" spans="10:10" x14ac:dyDescent="0.2">
      <c r="J153" s="406"/>
    </row>
    <row r="154" spans="10:10" x14ac:dyDescent="0.2">
      <c r="J154" s="406"/>
    </row>
    <row r="155" spans="10:10" x14ac:dyDescent="0.2">
      <c r="J155" s="406"/>
    </row>
    <row r="156" spans="10:10" x14ac:dyDescent="0.2">
      <c r="J156" s="406"/>
    </row>
    <row r="157" spans="10:10" x14ac:dyDescent="0.2">
      <c r="J157" s="407"/>
    </row>
    <row r="158" spans="10:10" x14ac:dyDescent="0.2">
      <c r="J158" s="408"/>
    </row>
  </sheetData>
  <mergeCells count="11">
    <mergeCell ref="A134:M134"/>
    <mergeCell ref="A4:M4"/>
    <mergeCell ref="K5:L6"/>
    <mergeCell ref="A5:A7"/>
    <mergeCell ref="B5:B7"/>
    <mergeCell ref="C5:C7"/>
    <mergeCell ref="D5:G5"/>
    <mergeCell ref="H5:H6"/>
    <mergeCell ref="I5:I6"/>
    <mergeCell ref="J5:J6"/>
    <mergeCell ref="A8:M8"/>
  </mergeCells>
  <phoneticPr fontId="30" type="noConversion"/>
  <dataValidations count="2">
    <dataValidation type="list" allowBlank="1" showInputMessage="1" showErrorMessage="1" sqref="L9:L42" xr:uid="{00000000-0002-0000-0A00-000000000000}">
      <formula1>$L$44:$L$52</formula1>
    </dataValidation>
    <dataValidation type="list" allowBlank="1" showInputMessage="1" showErrorMessage="1" sqref="B9:B42" xr:uid="{00000000-0002-0000-0A00-000001000000}">
      <formula1>$F$44:$F$52</formula1>
    </dataValidation>
  </dataValidations>
  <printOptions horizontalCentered="1"/>
  <pageMargins left="0.39370078740157483" right="0" top="0.39370078740157483" bottom="0.39370078740157483" header="0" footer="0.19685039370078741"/>
  <pageSetup paperSize="9" scale="24" orientation="portrait" r:id="rId1"/>
  <headerFooter alignWithMargins="0">
    <oddFooter>&amp;L&amp;F - &amp;A&amp;R&amp;P /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43800"/>
    <pageSetUpPr fitToPage="1"/>
  </sheetPr>
  <dimension ref="A1:AC57"/>
  <sheetViews>
    <sheetView showGridLines="0" view="pageBreakPreview" zoomScaleNormal="100" zoomScaleSheetLayoutView="100" workbookViewId="0">
      <pane ySplit="6" topLeftCell="A40" activePane="bottomLeft" state="frozen"/>
      <selection activeCell="B54" sqref="B54"/>
      <selection pane="bottomLeft" activeCell="D44" sqref="D44"/>
    </sheetView>
  </sheetViews>
  <sheetFormatPr defaultRowHeight="11.25" x14ac:dyDescent="0.2"/>
  <cols>
    <col min="1" max="1" width="28.85546875" style="4" customWidth="1"/>
    <col min="2" max="2" width="13.140625" style="4" customWidth="1"/>
    <col min="3" max="3" width="13" style="4" customWidth="1"/>
    <col min="4" max="14" width="8.140625" style="4" customWidth="1"/>
    <col min="15" max="15" width="9.140625" style="4" customWidth="1"/>
    <col min="16" max="16" width="11.5703125" style="4" customWidth="1"/>
    <col min="17" max="21" width="6.140625" style="45" customWidth="1"/>
    <col min="22" max="256" width="8.85546875" style="4"/>
    <col min="257" max="257" width="14.5703125" style="4" customWidth="1"/>
    <col min="258" max="258" width="20.7109375" style="4" customWidth="1"/>
    <col min="259" max="259" width="8.85546875" style="4"/>
    <col min="260" max="271" width="8.42578125" style="4" customWidth="1"/>
    <col min="272" max="512" width="8.85546875" style="4"/>
    <col min="513" max="513" width="14.5703125" style="4" customWidth="1"/>
    <col min="514" max="514" width="20.7109375" style="4" customWidth="1"/>
    <col min="515" max="515" width="8.85546875" style="4"/>
    <col min="516" max="527" width="8.42578125" style="4" customWidth="1"/>
    <col min="528" max="768" width="8.85546875" style="4"/>
    <col min="769" max="769" width="14.5703125" style="4" customWidth="1"/>
    <col min="770" max="770" width="20.7109375" style="4" customWidth="1"/>
    <col min="771" max="771" width="8.85546875" style="4"/>
    <col min="772" max="783" width="8.42578125" style="4" customWidth="1"/>
    <col min="784" max="1024" width="8.85546875" style="4"/>
    <col min="1025" max="1025" width="14.5703125" style="4" customWidth="1"/>
    <col min="1026" max="1026" width="20.7109375" style="4" customWidth="1"/>
    <col min="1027" max="1027" width="8.85546875" style="4"/>
    <col min="1028" max="1039" width="8.42578125" style="4" customWidth="1"/>
    <col min="1040" max="1280" width="8.85546875" style="4"/>
    <col min="1281" max="1281" width="14.5703125" style="4" customWidth="1"/>
    <col min="1282" max="1282" width="20.7109375" style="4" customWidth="1"/>
    <col min="1283" max="1283" width="8.85546875" style="4"/>
    <col min="1284" max="1295" width="8.42578125" style="4" customWidth="1"/>
    <col min="1296" max="1536" width="8.85546875" style="4"/>
    <col min="1537" max="1537" width="14.5703125" style="4" customWidth="1"/>
    <col min="1538" max="1538" width="20.7109375" style="4" customWidth="1"/>
    <col min="1539" max="1539" width="8.85546875" style="4"/>
    <col min="1540" max="1551" width="8.42578125" style="4" customWidth="1"/>
    <col min="1552" max="1792" width="8.85546875" style="4"/>
    <col min="1793" max="1793" width="14.5703125" style="4" customWidth="1"/>
    <col min="1794" max="1794" width="20.7109375" style="4" customWidth="1"/>
    <col min="1795" max="1795" width="8.85546875" style="4"/>
    <col min="1796" max="1807" width="8.42578125" style="4" customWidth="1"/>
    <col min="1808" max="2048" width="8.85546875" style="4"/>
    <col min="2049" max="2049" width="14.5703125" style="4" customWidth="1"/>
    <col min="2050" max="2050" width="20.7109375" style="4" customWidth="1"/>
    <col min="2051" max="2051" width="8.85546875" style="4"/>
    <col min="2052" max="2063" width="8.42578125" style="4" customWidth="1"/>
    <col min="2064" max="2304" width="8.85546875" style="4"/>
    <col min="2305" max="2305" width="14.5703125" style="4" customWidth="1"/>
    <col min="2306" max="2306" width="20.7109375" style="4" customWidth="1"/>
    <col min="2307" max="2307" width="8.85546875" style="4"/>
    <col min="2308" max="2319" width="8.42578125" style="4" customWidth="1"/>
    <col min="2320" max="2560" width="8.85546875" style="4"/>
    <col min="2561" max="2561" width="14.5703125" style="4" customWidth="1"/>
    <col min="2562" max="2562" width="20.7109375" style="4" customWidth="1"/>
    <col min="2563" max="2563" width="8.85546875" style="4"/>
    <col min="2564" max="2575" width="8.42578125" style="4" customWidth="1"/>
    <col min="2576" max="2816" width="8.85546875" style="4"/>
    <col min="2817" max="2817" width="14.5703125" style="4" customWidth="1"/>
    <col min="2818" max="2818" width="20.7109375" style="4" customWidth="1"/>
    <col min="2819" max="2819" width="8.85546875" style="4"/>
    <col min="2820" max="2831" width="8.42578125" style="4" customWidth="1"/>
    <col min="2832" max="3072" width="8.85546875" style="4"/>
    <col min="3073" max="3073" width="14.5703125" style="4" customWidth="1"/>
    <col min="3074" max="3074" width="20.7109375" style="4" customWidth="1"/>
    <col min="3075" max="3075" width="8.85546875" style="4"/>
    <col min="3076" max="3087" width="8.42578125" style="4" customWidth="1"/>
    <col min="3088" max="3328" width="8.85546875" style="4"/>
    <col min="3329" max="3329" width="14.5703125" style="4" customWidth="1"/>
    <col min="3330" max="3330" width="20.7109375" style="4" customWidth="1"/>
    <col min="3331" max="3331" width="8.85546875" style="4"/>
    <col min="3332" max="3343" width="8.42578125" style="4" customWidth="1"/>
    <col min="3344" max="3584" width="8.85546875" style="4"/>
    <col min="3585" max="3585" width="14.5703125" style="4" customWidth="1"/>
    <col min="3586" max="3586" width="20.7109375" style="4" customWidth="1"/>
    <col min="3587" max="3587" width="8.85546875" style="4"/>
    <col min="3588" max="3599" width="8.42578125" style="4" customWidth="1"/>
    <col min="3600" max="3840" width="8.85546875" style="4"/>
    <col min="3841" max="3841" width="14.5703125" style="4" customWidth="1"/>
    <col min="3842" max="3842" width="20.7109375" style="4" customWidth="1"/>
    <col min="3843" max="3843" width="8.85546875" style="4"/>
    <col min="3844" max="3855" width="8.42578125" style="4" customWidth="1"/>
    <col min="3856" max="4096" width="8.85546875" style="4"/>
    <col min="4097" max="4097" width="14.5703125" style="4" customWidth="1"/>
    <col min="4098" max="4098" width="20.7109375" style="4" customWidth="1"/>
    <col min="4099" max="4099" width="8.85546875" style="4"/>
    <col min="4100" max="4111" width="8.42578125" style="4" customWidth="1"/>
    <col min="4112" max="4352" width="8.85546875" style="4"/>
    <col min="4353" max="4353" width="14.5703125" style="4" customWidth="1"/>
    <col min="4354" max="4354" width="20.7109375" style="4" customWidth="1"/>
    <col min="4355" max="4355" width="8.85546875" style="4"/>
    <col min="4356" max="4367" width="8.42578125" style="4" customWidth="1"/>
    <col min="4368" max="4608" width="8.85546875" style="4"/>
    <col min="4609" max="4609" width="14.5703125" style="4" customWidth="1"/>
    <col min="4610" max="4610" width="20.7109375" style="4" customWidth="1"/>
    <col min="4611" max="4611" width="8.85546875" style="4"/>
    <col min="4612" max="4623" width="8.42578125" style="4" customWidth="1"/>
    <col min="4624" max="4864" width="8.85546875" style="4"/>
    <col min="4865" max="4865" width="14.5703125" style="4" customWidth="1"/>
    <col min="4866" max="4866" width="20.7109375" style="4" customWidth="1"/>
    <col min="4867" max="4867" width="8.85546875" style="4"/>
    <col min="4868" max="4879" width="8.42578125" style="4" customWidth="1"/>
    <col min="4880" max="5120" width="8.85546875" style="4"/>
    <col min="5121" max="5121" width="14.5703125" style="4" customWidth="1"/>
    <col min="5122" max="5122" width="20.7109375" style="4" customWidth="1"/>
    <col min="5123" max="5123" width="8.85546875" style="4"/>
    <col min="5124" max="5135" width="8.42578125" style="4" customWidth="1"/>
    <col min="5136" max="5376" width="8.85546875" style="4"/>
    <col min="5377" max="5377" width="14.5703125" style="4" customWidth="1"/>
    <col min="5378" max="5378" width="20.7109375" style="4" customWidth="1"/>
    <col min="5379" max="5379" width="8.85546875" style="4"/>
    <col min="5380" max="5391" width="8.42578125" style="4" customWidth="1"/>
    <col min="5392" max="5632" width="8.85546875" style="4"/>
    <col min="5633" max="5633" width="14.5703125" style="4" customWidth="1"/>
    <col min="5634" max="5634" width="20.7109375" style="4" customWidth="1"/>
    <col min="5635" max="5635" width="8.85546875" style="4"/>
    <col min="5636" max="5647" width="8.42578125" style="4" customWidth="1"/>
    <col min="5648" max="5888" width="8.85546875" style="4"/>
    <col min="5889" max="5889" width="14.5703125" style="4" customWidth="1"/>
    <col min="5890" max="5890" width="20.7109375" style="4" customWidth="1"/>
    <col min="5891" max="5891" width="8.85546875" style="4"/>
    <col min="5892" max="5903" width="8.42578125" style="4" customWidth="1"/>
    <col min="5904" max="6144" width="8.85546875" style="4"/>
    <col min="6145" max="6145" width="14.5703125" style="4" customWidth="1"/>
    <col min="6146" max="6146" width="20.7109375" style="4" customWidth="1"/>
    <col min="6147" max="6147" width="8.85546875" style="4"/>
    <col min="6148" max="6159" width="8.42578125" style="4" customWidth="1"/>
    <col min="6160" max="6400" width="8.85546875" style="4"/>
    <col min="6401" max="6401" width="14.5703125" style="4" customWidth="1"/>
    <col min="6402" max="6402" width="20.7109375" style="4" customWidth="1"/>
    <col min="6403" max="6403" width="8.85546875" style="4"/>
    <col min="6404" max="6415" width="8.42578125" style="4" customWidth="1"/>
    <col min="6416" max="6656" width="8.85546875" style="4"/>
    <col min="6657" max="6657" width="14.5703125" style="4" customWidth="1"/>
    <col min="6658" max="6658" width="20.7109375" style="4" customWidth="1"/>
    <col min="6659" max="6659" width="8.85546875" style="4"/>
    <col min="6660" max="6671" width="8.42578125" style="4" customWidth="1"/>
    <col min="6672" max="6912" width="8.85546875" style="4"/>
    <col min="6913" max="6913" width="14.5703125" style="4" customWidth="1"/>
    <col min="6914" max="6914" width="20.7109375" style="4" customWidth="1"/>
    <col min="6915" max="6915" width="8.85546875" style="4"/>
    <col min="6916" max="6927" width="8.42578125" style="4" customWidth="1"/>
    <col min="6928" max="7168" width="8.85546875" style="4"/>
    <col min="7169" max="7169" width="14.5703125" style="4" customWidth="1"/>
    <col min="7170" max="7170" width="20.7109375" style="4" customWidth="1"/>
    <col min="7171" max="7171" width="8.85546875" style="4"/>
    <col min="7172" max="7183" width="8.42578125" style="4" customWidth="1"/>
    <col min="7184" max="7424" width="8.85546875" style="4"/>
    <col min="7425" max="7425" width="14.5703125" style="4" customWidth="1"/>
    <col min="7426" max="7426" width="20.7109375" style="4" customWidth="1"/>
    <col min="7427" max="7427" width="8.85546875" style="4"/>
    <col min="7428" max="7439" width="8.42578125" style="4" customWidth="1"/>
    <col min="7440" max="7680" width="8.85546875" style="4"/>
    <col min="7681" max="7681" width="14.5703125" style="4" customWidth="1"/>
    <col min="7682" max="7682" width="20.7109375" style="4" customWidth="1"/>
    <col min="7683" max="7683" width="8.85546875" style="4"/>
    <col min="7684" max="7695" width="8.42578125" style="4" customWidth="1"/>
    <col min="7696" max="7936" width="8.85546875" style="4"/>
    <col min="7937" max="7937" width="14.5703125" style="4" customWidth="1"/>
    <col min="7938" max="7938" width="20.7109375" style="4" customWidth="1"/>
    <col min="7939" max="7939" width="8.85546875" style="4"/>
    <col min="7940" max="7951" width="8.42578125" style="4" customWidth="1"/>
    <col min="7952" max="8192" width="8.85546875" style="4"/>
    <col min="8193" max="8193" width="14.5703125" style="4" customWidth="1"/>
    <col min="8194" max="8194" width="20.7109375" style="4" customWidth="1"/>
    <col min="8195" max="8195" width="8.85546875" style="4"/>
    <col min="8196" max="8207" width="8.42578125" style="4" customWidth="1"/>
    <col min="8208" max="8448" width="8.85546875" style="4"/>
    <col min="8449" max="8449" width="14.5703125" style="4" customWidth="1"/>
    <col min="8450" max="8450" width="20.7109375" style="4" customWidth="1"/>
    <col min="8451" max="8451" width="8.85546875" style="4"/>
    <col min="8452" max="8463" width="8.42578125" style="4" customWidth="1"/>
    <col min="8464" max="8704" width="8.85546875" style="4"/>
    <col min="8705" max="8705" width="14.5703125" style="4" customWidth="1"/>
    <col min="8706" max="8706" width="20.7109375" style="4" customWidth="1"/>
    <col min="8707" max="8707" width="8.85546875" style="4"/>
    <col min="8708" max="8719" width="8.42578125" style="4" customWidth="1"/>
    <col min="8720" max="8960" width="8.85546875" style="4"/>
    <col min="8961" max="8961" width="14.5703125" style="4" customWidth="1"/>
    <col min="8962" max="8962" width="20.7109375" style="4" customWidth="1"/>
    <col min="8963" max="8963" width="8.85546875" style="4"/>
    <col min="8964" max="8975" width="8.42578125" style="4" customWidth="1"/>
    <col min="8976" max="9216" width="8.85546875" style="4"/>
    <col min="9217" max="9217" width="14.5703125" style="4" customWidth="1"/>
    <col min="9218" max="9218" width="20.7109375" style="4" customWidth="1"/>
    <col min="9219" max="9219" width="8.85546875" style="4"/>
    <col min="9220" max="9231" width="8.42578125" style="4" customWidth="1"/>
    <col min="9232" max="9472" width="8.85546875" style="4"/>
    <col min="9473" max="9473" width="14.5703125" style="4" customWidth="1"/>
    <col min="9474" max="9474" width="20.7109375" style="4" customWidth="1"/>
    <col min="9475" max="9475" width="8.85546875" style="4"/>
    <col min="9476" max="9487" width="8.42578125" style="4" customWidth="1"/>
    <col min="9488" max="9728" width="8.85546875" style="4"/>
    <col min="9729" max="9729" width="14.5703125" style="4" customWidth="1"/>
    <col min="9730" max="9730" width="20.7109375" style="4" customWidth="1"/>
    <col min="9731" max="9731" width="8.85546875" style="4"/>
    <col min="9732" max="9743" width="8.42578125" style="4" customWidth="1"/>
    <col min="9744" max="9984" width="8.85546875" style="4"/>
    <col min="9985" max="9985" width="14.5703125" style="4" customWidth="1"/>
    <col min="9986" max="9986" width="20.7109375" style="4" customWidth="1"/>
    <col min="9987" max="9987" width="8.85546875" style="4"/>
    <col min="9988" max="9999" width="8.42578125" style="4" customWidth="1"/>
    <col min="10000" max="10240" width="8.85546875" style="4"/>
    <col min="10241" max="10241" width="14.5703125" style="4" customWidth="1"/>
    <col min="10242" max="10242" width="20.7109375" style="4" customWidth="1"/>
    <col min="10243" max="10243" width="8.85546875" style="4"/>
    <col min="10244" max="10255" width="8.42578125" style="4" customWidth="1"/>
    <col min="10256" max="10496" width="8.85546875" style="4"/>
    <col min="10497" max="10497" width="14.5703125" style="4" customWidth="1"/>
    <col min="10498" max="10498" width="20.7109375" style="4" customWidth="1"/>
    <col min="10499" max="10499" width="8.85546875" style="4"/>
    <col min="10500" max="10511" width="8.42578125" style="4" customWidth="1"/>
    <col min="10512" max="10752" width="8.85546875" style="4"/>
    <col min="10753" max="10753" width="14.5703125" style="4" customWidth="1"/>
    <col min="10754" max="10754" width="20.7109375" style="4" customWidth="1"/>
    <col min="10755" max="10755" width="8.85546875" style="4"/>
    <col min="10756" max="10767" width="8.42578125" style="4" customWidth="1"/>
    <col min="10768" max="11008" width="8.85546875" style="4"/>
    <col min="11009" max="11009" width="14.5703125" style="4" customWidth="1"/>
    <col min="11010" max="11010" width="20.7109375" style="4" customWidth="1"/>
    <col min="11011" max="11011" width="8.85546875" style="4"/>
    <col min="11012" max="11023" width="8.42578125" style="4" customWidth="1"/>
    <col min="11024" max="11264" width="8.85546875" style="4"/>
    <col min="11265" max="11265" width="14.5703125" style="4" customWidth="1"/>
    <col min="11266" max="11266" width="20.7109375" style="4" customWidth="1"/>
    <col min="11267" max="11267" width="8.85546875" style="4"/>
    <col min="11268" max="11279" width="8.42578125" style="4" customWidth="1"/>
    <col min="11280" max="11520" width="8.85546875" style="4"/>
    <col min="11521" max="11521" width="14.5703125" style="4" customWidth="1"/>
    <col min="11522" max="11522" width="20.7109375" style="4" customWidth="1"/>
    <col min="11523" max="11523" width="8.85546875" style="4"/>
    <col min="11524" max="11535" width="8.42578125" style="4" customWidth="1"/>
    <col min="11536" max="11776" width="8.85546875" style="4"/>
    <col min="11777" max="11777" width="14.5703125" style="4" customWidth="1"/>
    <col min="11778" max="11778" width="20.7109375" style="4" customWidth="1"/>
    <col min="11779" max="11779" width="8.85546875" style="4"/>
    <col min="11780" max="11791" width="8.42578125" style="4" customWidth="1"/>
    <col min="11792" max="12032" width="8.85546875" style="4"/>
    <col min="12033" max="12033" width="14.5703125" style="4" customWidth="1"/>
    <col min="12034" max="12034" width="20.7109375" style="4" customWidth="1"/>
    <col min="12035" max="12035" width="8.85546875" style="4"/>
    <col min="12036" max="12047" width="8.42578125" style="4" customWidth="1"/>
    <col min="12048" max="12288" width="8.85546875" style="4"/>
    <col min="12289" max="12289" width="14.5703125" style="4" customWidth="1"/>
    <col min="12290" max="12290" width="20.7109375" style="4" customWidth="1"/>
    <col min="12291" max="12291" width="8.85546875" style="4"/>
    <col min="12292" max="12303" width="8.42578125" style="4" customWidth="1"/>
    <col min="12304" max="12544" width="8.85546875" style="4"/>
    <col min="12545" max="12545" width="14.5703125" style="4" customWidth="1"/>
    <col min="12546" max="12546" width="20.7109375" style="4" customWidth="1"/>
    <col min="12547" max="12547" width="8.85546875" style="4"/>
    <col min="12548" max="12559" width="8.42578125" style="4" customWidth="1"/>
    <col min="12560" max="12800" width="8.85546875" style="4"/>
    <col min="12801" max="12801" width="14.5703125" style="4" customWidth="1"/>
    <col min="12802" max="12802" width="20.7109375" style="4" customWidth="1"/>
    <col min="12803" max="12803" width="8.85546875" style="4"/>
    <col min="12804" max="12815" width="8.42578125" style="4" customWidth="1"/>
    <col min="12816" max="13056" width="8.85546875" style="4"/>
    <col min="13057" max="13057" width="14.5703125" style="4" customWidth="1"/>
    <col min="13058" max="13058" width="20.7109375" style="4" customWidth="1"/>
    <col min="13059" max="13059" width="8.85546875" style="4"/>
    <col min="13060" max="13071" width="8.42578125" style="4" customWidth="1"/>
    <col min="13072" max="13312" width="8.85546875" style="4"/>
    <col min="13313" max="13313" width="14.5703125" style="4" customWidth="1"/>
    <col min="13314" max="13314" width="20.7109375" style="4" customWidth="1"/>
    <col min="13315" max="13315" width="8.85546875" style="4"/>
    <col min="13316" max="13327" width="8.42578125" style="4" customWidth="1"/>
    <col min="13328" max="13568" width="8.85546875" style="4"/>
    <col min="13569" max="13569" width="14.5703125" style="4" customWidth="1"/>
    <col min="13570" max="13570" width="20.7109375" style="4" customWidth="1"/>
    <col min="13571" max="13571" width="8.85546875" style="4"/>
    <col min="13572" max="13583" width="8.42578125" style="4" customWidth="1"/>
    <col min="13584" max="13824" width="8.85546875" style="4"/>
    <col min="13825" max="13825" width="14.5703125" style="4" customWidth="1"/>
    <col min="13826" max="13826" width="20.7109375" style="4" customWidth="1"/>
    <col min="13827" max="13827" width="8.85546875" style="4"/>
    <col min="13828" max="13839" width="8.42578125" style="4" customWidth="1"/>
    <col min="13840" max="14080" width="8.85546875" style="4"/>
    <col min="14081" max="14081" width="14.5703125" style="4" customWidth="1"/>
    <col min="14082" max="14082" width="20.7109375" style="4" customWidth="1"/>
    <col min="14083" max="14083" width="8.85546875" style="4"/>
    <col min="14084" max="14095" width="8.42578125" style="4" customWidth="1"/>
    <col min="14096" max="14336" width="8.85546875" style="4"/>
    <col min="14337" max="14337" width="14.5703125" style="4" customWidth="1"/>
    <col min="14338" max="14338" width="20.7109375" style="4" customWidth="1"/>
    <col min="14339" max="14339" width="8.85546875" style="4"/>
    <col min="14340" max="14351" width="8.42578125" style="4" customWidth="1"/>
    <col min="14352" max="14592" width="8.85546875" style="4"/>
    <col min="14593" max="14593" width="14.5703125" style="4" customWidth="1"/>
    <col min="14594" max="14594" width="20.7109375" style="4" customWidth="1"/>
    <col min="14595" max="14595" width="8.85546875" style="4"/>
    <col min="14596" max="14607" width="8.42578125" style="4" customWidth="1"/>
    <col min="14608" max="14848" width="8.85546875" style="4"/>
    <col min="14849" max="14849" width="14.5703125" style="4" customWidth="1"/>
    <col min="14850" max="14850" width="20.7109375" style="4" customWidth="1"/>
    <col min="14851" max="14851" width="8.85546875" style="4"/>
    <col min="14852" max="14863" width="8.42578125" style="4" customWidth="1"/>
    <col min="14864" max="15104" width="8.85546875" style="4"/>
    <col min="15105" max="15105" width="14.5703125" style="4" customWidth="1"/>
    <col min="15106" max="15106" width="20.7109375" style="4" customWidth="1"/>
    <col min="15107" max="15107" width="8.85546875" style="4"/>
    <col min="15108" max="15119" width="8.42578125" style="4" customWidth="1"/>
    <col min="15120" max="15360" width="8.85546875" style="4"/>
    <col min="15361" max="15361" width="14.5703125" style="4" customWidth="1"/>
    <col min="15362" max="15362" width="20.7109375" style="4" customWidth="1"/>
    <col min="15363" max="15363" width="8.85546875" style="4"/>
    <col min="15364" max="15375" width="8.42578125" style="4" customWidth="1"/>
    <col min="15376" max="15616" width="8.85546875" style="4"/>
    <col min="15617" max="15617" width="14.5703125" style="4" customWidth="1"/>
    <col min="15618" max="15618" width="20.7109375" style="4" customWidth="1"/>
    <col min="15619" max="15619" width="8.85546875" style="4"/>
    <col min="15620" max="15631" width="8.42578125" style="4" customWidth="1"/>
    <col min="15632" max="15872" width="8.85546875" style="4"/>
    <col min="15873" max="15873" width="14.5703125" style="4" customWidth="1"/>
    <col min="15874" max="15874" width="20.7109375" style="4" customWidth="1"/>
    <col min="15875" max="15875" width="8.85546875" style="4"/>
    <col min="15876" max="15887" width="8.42578125" style="4" customWidth="1"/>
    <col min="15888" max="16128" width="8.85546875" style="4"/>
    <col min="16129" max="16129" width="14.5703125" style="4" customWidth="1"/>
    <col min="16130" max="16130" width="20.7109375" style="4" customWidth="1"/>
    <col min="16131" max="16131" width="8.85546875" style="4"/>
    <col min="16132" max="16143" width="8.42578125" style="4" customWidth="1"/>
    <col min="16144" max="16384" width="8.85546875" style="4"/>
  </cols>
  <sheetData>
    <row r="1" spans="1:29" s="53" customFormat="1" ht="15" customHeight="1" x14ac:dyDescent="0.2">
      <c r="A1" s="343"/>
      <c r="B1" s="362" t="s">
        <v>199</v>
      </c>
      <c r="C1" s="339" t="str">
        <f>ORÇAMENTO!I4</f>
        <v>SENSE106</v>
      </c>
      <c r="D1" s="338"/>
      <c r="E1" s="338"/>
      <c r="F1" s="338"/>
      <c r="G1" s="338"/>
      <c r="H1" s="338"/>
      <c r="I1" s="338"/>
      <c r="J1" s="338"/>
      <c r="K1" s="338"/>
      <c r="L1" s="339"/>
      <c r="M1" s="340"/>
      <c r="N1" s="345"/>
      <c r="O1" s="346"/>
      <c r="P1" s="62"/>
      <c r="Q1" s="197"/>
      <c r="R1" s="197"/>
      <c r="S1" s="197"/>
      <c r="T1" s="197"/>
      <c r="U1" s="197"/>
    </row>
    <row r="2" spans="1:29" s="215" customFormat="1" ht="15" customHeight="1" x14ac:dyDescent="0.2">
      <c r="A2" s="397"/>
      <c r="B2" s="362" t="s">
        <v>173</v>
      </c>
      <c r="C2" s="363" t="str">
        <f>ORÇAMENTO!I5</f>
        <v>HOLZE EMPREENDIMENTOS</v>
      </c>
      <c r="D2" s="339"/>
      <c r="E2" s="339"/>
      <c r="F2" s="339"/>
      <c r="G2" s="339"/>
      <c r="H2" s="339"/>
      <c r="I2" s="339"/>
      <c r="J2" s="339"/>
      <c r="K2" s="339"/>
      <c r="L2" s="399"/>
      <c r="M2" s="398"/>
      <c r="N2" s="347"/>
      <c r="O2" s="348"/>
      <c r="Q2" s="400"/>
      <c r="R2" s="400"/>
      <c r="S2" s="400"/>
      <c r="T2" s="400"/>
      <c r="U2" s="400"/>
    </row>
    <row r="3" spans="1:29" s="53" customFormat="1" ht="15" customHeight="1" x14ac:dyDescent="0.2">
      <c r="A3" s="344"/>
      <c r="B3" s="362" t="s">
        <v>174</v>
      </c>
      <c r="C3" s="339" t="s">
        <v>315</v>
      </c>
      <c r="D3" s="339"/>
      <c r="E3" s="339"/>
      <c r="F3" s="339"/>
      <c r="G3" s="339"/>
      <c r="H3" s="339"/>
      <c r="I3" s="339"/>
      <c r="J3" s="339"/>
      <c r="K3" s="341"/>
      <c r="L3" s="339"/>
      <c r="M3" s="340"/>
      <c r="N3" s="349"/>
      <c r="O3" s="350"/>
      <c r="P3" s="215"/>
    </row>
    <row r="4" spans="1:29" s="2" customFormat="1" ht="21.6" customHeight="1" x14ac:dyDescent="0.2">
      <c r="A4" s="1272" t="s">
        <v>195</v>
      </c>
      <c r="B4" s="1272"/>
      <c r="C4" s="1272"/>
      <c r="D4" s="1272"/>
      <c r="E4" s="1272"/>
      <c r="F4" s="1272"/>
      <c r="G4" s="1272"/>
      <c r="H4" s="1272"/>
      <c r="I4" s="1272"/>
      <c r="J4" s="1272"/>
      <c r="K4" s="1272"/>
      <c r="L4" s="1272"/>
      <c r="M4" s="1272"/>
      <c r="N4" s="1272"/>
      <c r="O4" s="1273"/>
      <c r="P4" s="54"/>
      <c r="V4" s="1"/>
      <c r="W4" s="1"/>
      <c r="X4" s="1"/>
      <c r="Y4" s="1"/>
      <c r="Z4" s="1"/>
      <c r="AA4" s="1"/>
      <c r="AB4" s="1"/>
      <c r="AC4" s="1"/>
    </row>
    <row r="5" spans="1:29" s="2" customFormat="1" ht="15" customHeight="1" x14ac:dyDescent="0.2">
      <c r="A5" s="1275" t="s">
        <v>6</v>
      </c>
      <c r="B5" s="1276"/>
      <c r="C5" s="1279" t="s">
        <v>18</v>
      </c>
      <c r="D5" s="317" t="s">
        <v>73</v>
      </c>
      <c r="E5" s="318"/>
      <c r="F5" s="319"/>
      <c r="G5" s="319"/>
      <c r="H5" s="319"/>
      <c r="I5" s="319"/>
      <c r="J5" s="320"/>
      <c r="K5" s="317" t="s">
        <v>20</v>
      </c>
      <c r="L5" s="319"/>
      <c r="M5" s="319"/>
      <c r="N5" s="319"/>
      <c r="O5" s="487"/>
      <c r="P5" s="1"/>
      <c r="V5" s="1"/>
      <c r="W5" s="1"/>
      <c r="X5" s="1"/>
      <c r="Y5" s="1"/>
      <c r="Z5" s="1"/>
      <c r="AA5" s="1"/>
      <c r="AB5" s="1"/>
      <c r="AC5" s="1"/>
    </row>
    <row r="6" spans="1:29" s="3" customFormat="1" ht="16.899999999999999" customHeight="1" x14ac:dyDescent="0.2">
      <c r="A6" s="1277"/>
      <c r="B6" s="1278"/>
      <c r="C6" s="1280"/>
      <c r="D6" s="316">
        <v>6.3</v>
      </c>
      <c r="E6" s="316">
        <v>8</v>
      </c>
      <c r="F6" s="316">
        <v>10</v>
      </c>
      <c r="G6" s="316">
        <v>12.5</v>
      </c>
      <c r="H6" s="316">
        <v>16</v>
      </c>
      <c r="I6" s="316">
        <v>20</v>
      </c>
      <c r="J6" s="316">
        <v>25</v>
      </c>
      <c r="K6" s="316">
        <v>5</v>
      </c>
      <c r="L6" s="316">
        <v>0</v>
      </c>
      <c r="M6" s="316">
        <v>0</v>
      </c>
      <c r="N6" s="316">
        <v>0</v>
      </c>
      <c r="O6" s="488">
        <v>0</v>
      </c>
      <c r="P6" s="1"/>
      <c r="V6" s="1"/>
      <c r="W6" s="1"/>
      <c r="X6" s="1"/>
      <c r="Y6" s="1"/>
      <c r="Z6" s="1"/>
      <c r="AA6" s="1"/>
      <c r="AB6" s="1"/>
      <c r="AC6" s="1"/>
    </row>
    <row r="7" spans="1:29" s="47" customFormat="1" ht="84.75" customHeight="1" x14ac:dyDescent="0.2">
      <c r="A7" s="1284" t="str">
        <f>Estacas!$A$8</f>
        <v>1091 - LOCAÇÃO DAS ESTACAS - R0.pdf // 1092 - LOCAÇÃO DAS ESTACAS - R0.pdf // 1093 - LOCAÇÃO DAS ESTACAS - R0.pdf // 1094 - LOCAÇÃO DAS ESTACAS - R0.pdf // 1095 - LOCAÇÃO DAS ESTACAS - R0.pdf // 1096 - LOCAÇÃO DAS ESTACAS - R0.pdf // 1097 - LOCAÇÃO DAS ESTACAS - R0.pdf // 1098 - LOCAÇÃO DAS ESTACAS - R0.pdf // 1099 - LOCAÇÃO DAS ESTACAS - R0.pdf // 1100 - LOCAÇÃO DAS ESTACAS - R0.pdf // 1101 - LOCAÇÃO DAS ESTACAS - R0.pdf // 1102 - LOCAÇÃO DAS ESTACAS - R0.pdf // 1103 - LOCAÇÃO DAS ESTACAS - R0.pdf // 1104 - LOCAÇÃO DAS ESTACAS - R0.pdf // 1105 - LOCAÇÃO DAS ESTACAS - R0.pdf // 1106 - LOCAÇÃO DAS ESTACAS - R0.pdf // 1107 - LOCAÇÃO DAS ESTACAS - R0.pdf // 1108 - LOCAÇÃO DAS ESTACAS - R0.pdf // 1109 - LOCAÇÃO DAS ESTACAS - R0.pdf // 1110 - LOCAÇÃO DAS ESTACAS - R0.pdf // 1111 - LOCAÇÃO DAS ESTACAS - R0.pdf // 1112 - LOCAÇÃO DAS ESTACAS - R0.pdf // 1113 - LOCAÇÃO DAS ESTACAS - R0.pdf // 1114 - LOCAÇÃO DAS ESTACAS - R0.pdf // 1115 - LOCAÇÃO DAS ESTACAS - R0.pdf // 1116 - LOCAÇÃO DAS ESTACAS - R0.pdf // 1117 - LOCAÇÃO DAS ESTACAS - R0.pdf // 1118 - LOCAÇÃO DAS ESTACAS - R0.pdf // 1119 - LOCAÇÃO DAS ESTACAS - R0.pdf // 1120 - LOCAÇÃO DAS ESTACAS - R0.pdf // 1121 - LOCAÇÃO DAS ESTACAS - R0.pdf // 1122 - LOCAÇÃO DAS ESTACAS - R0.pdf</v>
      </c>
      <c r="B7" s="1285"/>
      <c r="C7" s="1285"/>
      <c r="D7" s="1285"/>
      <c r="E7" s="1285"/>
      <c r="F7" s="1285"/>
      <c r="G7" s="1285"/>
      <c r="H7" s="1285"/>
      <c r="I7" s="1285"/>
      <c r="J7" s="1285"/>
      <c r="K7" s="1285"/>
      <c r="L7" s="1285"/>
      <c r="M7" s="1285"/>
      <c r="N7" s="1285"/>
      <c r="O7" s="1286"/>
      <c r="P7" s="1"/>
      <c r="V7" s="46"/>
      <c r="W7" s="46"/>
      <c r="X7" s="46"/>
      <c r="Y7" s="46"/>
      <c r="Z7" s="46"/>
      <c r="AA7" s="46"/>
      <c r="AB7" s="46"/>
      <c r="AC7" s="46"/>
    </row>
    <row r="8" spans="1:29" s="47" customFormat="1" ht="12.75" x14ac:dyDescent="0.2">
      <c r="A8" s="326" t="s">
        <v>109</v>
      </c>
      <c r="B8" s="327"/>
      <c r="C8" s="328">
        <v>1</v>
      </c>
      <c r="D8" s="329">
        <v>8.5749999999999993</v>
      </c>
      <c r="E8" s="329"/>
      <c r="F8" s="329"/>
      <c r="G8" s="329"/>
      <c r="H8" s="329">
        <v>47.31</v>
      </c>
      <c r="I8" s="329"/>
      <c r="J8" s="329"/>
      <c r="K8" s="329"/>
      <c r="L8" s="329"/>
      <c r="M8" s="329"/>
      <c r="N8" s="329"/>
      <c r="O8" s="489"/>
      <c r="P8" s="46"/>
      <c r="V8" s="46"/>
      <c r="W8" s="46"/>
      <c r="X8" s="46"/>
      <c r="Y8" s="46"/>
      <c r="Z8" s="46"/>
      <c r="AA8" s="46"/>
      <c r="AB8" s="46"/>
      <c r="AC8" s="46"/>
    </row>
    <row r="9" spans="1:29" s="47" customFormat="1" ht="12.75" x14ac:dyDescent="0.2">
      <c r="A9" s="326" t="s">
        <v>110</v>
      </c>
      <c r="B9" s="327"/>
      <c r="C9" s="328">
        <v>1</v>
      </c>
      <c r="D9" s="329">
        <v>8.5749999999999993</v>
      </c>
      <c r="E9" s="329"/>
      <c r="F9" s="329"/>
      <c r="G9" s="329"/>
      <c r="H9" s="329">
        <v>47.31</v>
      </c>
      <c r="I9" s="329"/>
      <c r="J9" s="329"/>
      <c r="K9" s="329"/>
      <c r="L9" s="329"/>
      <c r="M9" s="329"/>
      <c r="N9" s="329"/>
      <c r="O9" s="489"/>
      <c r="P9" s="46"/>
      <c r="V9" s="46"/>
      <c r="W9" s="46"/>
      <c r="X9" s="46"/>
      <c r="Y9" s="46"/>
      <c r="Z9" s="46"/>
      <c r="AA9" s="46"/>
      <c r="AB9" s="46"/>
      <c r="AC9" s="46"/>
    </row>
    <row r="10" spans="1:29" s="47" customFormat="1" ht="12.75" x14ac:dyDescent="0.2">
      <c r="A10" s="326" t="s">
        <v>111</v>
      </c>
      <c r="B10" s="327"/>
      <c r="C10" s="328">
        <v>1</v>
      </c>
      <c r="D10" s="329">
        <v>8.5749999999999993</v>
      </c>
      <c r="E10" s="329"/>
      <c r="F10" s="329"/>
      <c r="G10" s="329"/>
      <c r="H10" s="329">
        <v>47.31</v>
      </c>
      <c r="I10" s="329"/>
      <c r="J10" s="329"/>
      <c r="K10" s="329"/>
      <c r="L10" s="329"/>
      <c r="M10" s="329"/>
      <c r="N10" s="329"/>
      <c r="O10" s="489"/>
      <c r="P10" s="46"/>
      <c r="V10" s="46"/>
      <c r="W10" s="46"/>
      <c r="X10" s="46"/>
      <c r="Y10" s="46"/>
      <c r="Z10" s="46"/>
      <c r="AA10" s="46"/>
      <c r="AB10" s="46"/>
      <c r="AC10" s="46"/>
    </row>
    <row r="11" spans="1:29" s="47" customFormat="1" ht="12.75" x14ac:dyDescent="0.2">
      <c r="A11" s="326" t="s">
        <v>1185</v>
      </c>
      <c r="B11" s="327"/>
      <c r="C11" s="328">
        <v>1</v>
      </c>
      <c r="D11" s="329">
        <v>8.5749999999999993</v>
      </c>
      <c r="E11" s="329"/>
      <c r="F11" s="329"/>
      <c r="G11" s="329"/>
      <c r="H11" s="329">
        <v>47.31</v>
      </c>
      <c r="I11" s="329"/>
      <c r="J11" s="329"/>
      <c r="K11" s="329"/>
      <c r="L11" s="329"/>
      <c r="M11" s="329"/>
      <c r="N11" s="329"/>
      <c r="O11" s="489"/>
      <c r="P11" s="46"/>
      <c r="V11" s="46"/>
      <c r="W11" s="46"/>
      <c r="X11" s="46"/>
      <c r="Y11" s="46"/>
      <c r="Z11" s="46"/>
      <c r="AA11" s="46"/>
      <c r="AB11" s="46"/>
      <c r="AC11" s="46"/>
    </row>
    <row r="12" spans="1:29" s="47" customFormat="1" ht="12.75" x14ac:dyDescent="0.2">
      <c r="A12" s="326" t="s">
        <v>1186</v>
      </c>
      <c r="B12" s="327"/>
      <c r="C12" s="328">
        <v>1</v>
      </c>
      <c r="D12" s="329">
        <v>8.5749999999999993</v>
      </c>
      <c r="E12" s="329"/>
      <c r="F12" s="329"/>
      <c r="G12" s="329"/>
      <c r="H12" s="329">
        <v>47.31</v>
      </c>
      <c r="I12" s="329"/>
      <c r="J12" s="329"/>
      <c r="K12" s="329"/>
      <c r="L12" s="329"/>
      <c r="M12" s="329"/>
      <c r="N12" s="329"/>
      <c r="O12" s="489"/>
      <c r="P12" s="46"/>
      <c r="V12" s="46"/>
      <c r="W12" s="46"/>
      <c r="X12" s="46"/>
      <c r="Y12" s="46"/>
      <c r="Z12" s="46"/>
      <c r="AA12" s="46"/>
      <c r="AB12" s="46"/>
      <c r="AC12" s="46"/>
    </row>
    <row r="13" spans="1:29" s="47" customFormat="1" ht="12.75" x14ac:dyDescent="0.2">
      <c r="A13" s="326" t="s">
        <v>1187</v>
      </c>
      <c r="B13" s="327"/>
      <c r="C13" s="328">
        <v>1</v>
      </c>
      <c r="D13" s="329">
        <v>8.5749999999999993</v>
      </c>
      <c r="E13" s="329"/>
      <c r="F13" s="329"/>
      <c r="G13" s="329"/>
      <c r="H13" s="329">
        <v>47.31</v>
      </c>
      <c r="I13" s="329"/>
      <c r="J13" s="329"/>
      <c r="K13" s="329"/>
      <c r="L13" s="329"/>
      <c r="M13" s="329"/>
      <c r="N13" s="329"/>
      <c r="O13" s="489"/>
      <c r="P13" s="46"/>
      <c r="V13" s="46"/>
      <c r="W13" s="46"/>
      <c r="X13" s="46"/>
      <c r="Y13" s="46"/>
      <c r="Z13" s="46"/>
      <c r="AA13" s="46"/>
      <c r="AB13" s="46"/>
      <c r="AC13" s="46"/>
    </row>
    <row r="14" spans="1:29" s="47" customFormat="1" ht="12.75" x14ac:dyDescent="0.2">
      <c r="A14" s="326" t="s">
        <v>1188</v>
      </c>
      <c r="B14" s="327"/>
      <c r="C14" s="328">
        <v>1</v>
      </c>
      <c r="D14" s="329">
        <v>8.5749999999999993</v>
      </c>
      <c r="E14" s="329"/>
      <c r="F14" s="329"/>
      <c r="G14" s="329"/>
      <c r="H14" s="329">
        <v>47.31</v>
      </c>
      <c r="I14" s="329"/>
      <c r="J14" s="329"/>
      <c r="K14" s="329"/>
      <c r="L14" s="329"/>
      <c r="M14" s="329"/>
      <c r="N14" s="329"/>
      <c r="O14" s="489"/>
      <c r="P14" s="46"/>
      <c r="V14" s="46"/>
      <c r="W14" s="46"/>
      <c r="X14" s="46"/>
      <c r="Y14" s="46"/>
      <c r="Z14" s="46"/>
      <c r="AA14" s="46"/>
      <c r="AB14" s="46"/>
      <c r="AC14" s="46"/>
    </row>
    <row r="15" spans="1:29" s="47" customFormat="1" ht="12.75" x14ac:dyDescent="0.2">
      <c r="A15" s="326" t="s">
        <v>1189</v>
      </c>
      <c r="B15" s="327"/>
      <c r="C15" s="328">
        <v>1</v>
      </c>
      <c r="D15" s="329">
        <v>8.5749999999999993</v>
      </c>
      <c r="E15" s="329"/>
      <c r="F15" s="329"/>
      <c r="G15" s="329"/>
      <c r="H15" s="329">
        <v>47.31</v>
      </c>
      <c r="I15" s="329"/>
      <c r="J15" s="329"/>
      <c r="K15" s="329"/>
      <c r="L15" s="329"/>
      <c r="M15" s="329"/>
      <c r="N15" s="329"/>
      <c r="O15" s="489"/>
      <c r="P15" s="46"/>
      <c r="V15" s="46"/>
      <c r="W15" s="46"/>
      <c r="X15" s="46"/>
      <c r="Y15" s="46"/>
      <c r="Z15" s="46"/>
      <c r="AA15" s="46"/>
      <c r="AB15" s="46"/>
      <c r="AC15" s="46"/>
    </row>
    <row r="16" spans="1:29" s="47" customFormat="1" ht="12.75" x14ac:dyDescent="0.2">
      <c r="A16" s="326" t="s">
        <v>1190</v>
      </c>
      <c r="B16" s="327"/>
      <c r="C16" s="328">
        <v>1</v>
      </c>
      <c r="D16" s="329">
        <v>8.5749999999999993</v>
      </c>
      <c r="E16" s="329"/>
      <c r="F16" s="329"/>
      <c r="G16" s="329"/>
      <c r="H16" s="329">
        <v>47.31</v>
      </c>
      <c r="I16" s="329"/>
      <c r="J16" s="329"/>
      <c r="K16" s="329"/>
      <c r="L16" s="329"/>
      <c r="M16" s="329"/>
      <c r="N16" s="329"/>
      <c r="O16" s="489"/>
      <c r="P16" s="46"/>
      <c r="V16" s="46"/>
      <c r="W16" s="46"/>
      <c r="X16" s="46"/>
      <c r="Y16" s="46"/>
      <c r="Z16" s="46"/>
      <c r="AA16" s="46"/>
      <c r="AB16" s="46"/>
      <c r="AC16" s="46"/>
    </row>
    <row r="17" spans="1:29" s="47" customFormat="1" ht="12.75" x14ac:dyDescent="0.2">
      <c r="A17" s="326" t="s">
        <v>1191</v>
      </c>
      <c r="B17" s="327"/>
      <c r="C17" s="328">
        <v>1</v>
      </c>
      <c r="D17" s="329">
        <v>8.5749999999999993</v>
      </c>
      <c r="E17" s="329"/>
      <c r="F17" s="329"/>
      <c r="G17" s="329"/>
      <c r="H17" s="329">
        <v>47.31</v>
      </c>
      <c r="I17" s="329"/>
      <c r="J17" s="329"/>
      <c r="K17" s="329"/>
      <c r="L17" s="329"/>
      <c r="M17" s="329"/>
      <c r="N17" s="329"/>
      <c r="O17" s="489"/>
      <c r="P17" s="46"/>
      <c r="V17" s="46"/>
      <c r="W17" s="46"/>
      <c r="X17" s="46"/>
      <c r="Y17" s="46"/>
      <c r="Z17" s="46"/>
      <c r="AA17" s="46"/>
      <c r="AB17" s="46"/>
      <c r="AC17" s="46"/>
    </row>
    <row r="18" spans="1:29" s="47" customFormat="1" ht="12.75" x14ac:dyDescent="0.2">
      <c r="A18" s="326" t="s">
        <v>1192</v>
      </c>
      <c r="B18" s="327"/>
      <c r="C18" s="328">
        <v>1</v>
      </c>
      <c r="D18" s="329">
        <v>10.78</v>
      </c>
      <c r="E18" s="329"/>
      <c r="F18" s="329"/>
      <c r="G18" s="329"/>
      <c r="H18" s="329">
        <v>75.695999999999998</v>
      </c>
      <c r="I18" s="329"/>
      <c r="J18" s="329"/>
      <c r="K18" s="329"/>
      <c r="L18" s="329"/>
      <c r="M18" s="329"/>
      <c r="N18" s="329"/>
      <c r="O18" s="489"/>
      <c r="P18" s="46"/>
      <c r="V18" s="46"/>
      <c r="W18" s="46"/>
      <c r="X18" s="46"/>
      <c r="Y18" s="46"/>
      <c r="Z18" s="46"/>
      <c r="AA18" s="46"/>
      <c r="AB18" s="46"/>
      <c r="AC18" s="46"/>
    </row>
    <row r="19" spans="1:29" s="47" customFormat="1" ht="12.75" x14ac:dyDescent="0.2">
      <c r="A19" s="326" t="s">
        <v>1193</v>
      </c>
      <c r="B19" s="327"/>
      <c r="C19" s="328">
        <v>1</v>
      </c>
      <c r="D19" s="329">
        <v>8.5749999999999993</v>
      </c>
      <c r="E19" s="329"/>
      <c r="F19" s="329"/>
      <c r="G19" s="329"/>
      <c r="H19" s="329">
        <v>47.31</v>
      </c>
      <c r="I19" s="329"/>
      <c r="J19" s="329"/>
      <c r="K19" s="329"/>
      <c r="L19" s="329"/>
      <c r="M19" s="329"/>
      <c r="N19" s="329"/>
      <c r="O19" s="489"/>
      <c r="P19" s="46"/>
      <c r="V19" s="46"/>
      <c r="W19" s="46"/>
      <c r="X19" s="46"/>
      <c r="Y19" s="46"/>
      <c r="Z19" s="46"/>
      <c r="AA19" s="46"/>
      <c r="AB19" s="46"/>
      <c r="AC19" s="46"/>
    </row>
    <row r="20" spans="1:29" s="47" customFormat="1" ht="12.75" x14ac:dyDescent="0.2">
      <c r="A20" s="326" t="s">
        <v>1194</v>
      </c>
      <c r="B20" s="327"/>
      <c r="C20" s="328">
        <v>1</v>
      </c>
      <c r="D20" s="329">
        <v>8.5749999999999993</v>
      </c>
      <c r="E20" s="329"/>
      <c r="F20" s="329"/>
      <c r="G20" s="329"/>
      <c r="H20" s="329">
        <v>47.31</v>
      </c>
      <c r="I20" s="329"/>
      <c r="J20" s="329"/>
      <c r="K20" s="329"/>
      <c r="L20" s="329"/>
      <c r="M20" s="329"/>
      <c r="N20" s="329"/>
      <c r="O20" s="489"/>
      <c r="P20" s="46"/>
      <c r="V20" s="46"/>
      <c r="W20" s="46"/>
      <c r="X20" s="46"/>
      <c r="Y20" s="46"/>
      <c r="Z20" s="46"/>
      <c r="AA20" s="46"/>
      <c r="AB20" s="46"/>
      <c r="AC20" s="46"/>
    </row>
    <row r="21" spans="1:29" s="47" customFormat="1" ht="12.75" x14ac:dyDescent="0.2">
      <c r="A21" s="326" t="s">
        <v>1195</v>
      </c>
      <c r="B21" s="327"/>
      <c r="C21" s="328">
        <v>1</v>
      </c>
      <c r="D21" s="329">
        <v>8.5749999999999993</v>
      </c>
      <c r="E21" s="329"/>
      <c r="F21" s="329"/>
      <c r="G21" s="329"/>
      <c r="H21" s="329">
        <v>47.31</v>
      </c>
      <c r="I21" s="329"/>
      <c r="J21" s="329"/>
      <c r="K21" s="329"/>
      <c r="L21" s="329"/>
      <c r="M21" s="329"/>
      <c r="N21" s="329"/>
      <c r="O21" s="489"/>
      <c r="P21" s="46"/>
      <c r="V21" s="46"/>
      <c r="W21" s="46"/>
      <c r="X21" s="46"/>
      <c r="Y21" s="46"/>
      <c r="Z21" s="46"/>
      <c r="AA21" s="46"/>
      <c r="AB21" s="46"/>
      <c r="AC21" s="46"/>
    </row>
    <row r="22" spans="1:29" s="47" customFormat="1" ht="12.75" x14ac:dyDescent="0.2">
      <c r="A22" s="326" t="s">
        <v>1196</v>
      </c>
      <c r="B22" s="327"/>
      <c r="C22" s="328">
        <v>1</v>
      </c>
      <c r="D22" s="329">
        <v>8.5749999999999993</v>
      </c>
      <c r="E22" s="329"/>
      <c r="F22" s="329"/>
      <c r="G22" s="329"/>
      <c r="H22" s="329">
        <v>47.31</v>
      </c>
      <c r="I22" s="329"/>
      <c r="J22" s="329"/>
      <c r="K22" s="329"/>
      <c r="L22" s="329"/>
      <c r="M22" s="329"/>
      <c r="N22" s="329"/>
      <c r="O22" s="489"/>
      <c r="P22" s="46"/>
      <c r="V22" s="46"/>
      <c r="W22" s="46"/>
      <c r="X22" s="46"/>
      <c r="Y22" s="46"/>
      <c r="Z22" s="46"/>
      <c r="AA22" s="46"/>
      <c r="AB22" s="46"/>
      <c r="AC22" s="46"/>
    </row>
    <row r="23" spans="1:29" s="47" customFormat="1" ht="12.75" x14ac:dyDescent="0.2">
      <c r="A23" s="326" t="s">
        <v>1197</v>
      </c>
      <c r="B23" s="327"/>
      <c r="C23" s="328">
        <v>1</v>
      </c>
      <c r="D23" s="329">
        <v>8.5749999999999993</v>
      </c>
      <c r="E23" s="329"/>
      <c r="F23" s="329"/>
      <c r="G23" s="329"/>
      <c r="H23" s="329">
        <v>47.31</v>
      </c>
      <c r="I23" s="329"/>
      <c r="J23" s="329"/>
      <c r="K23" s="329"/>
      <c r="L23" s="329"/>
      <c r="M23" s="329"/>
      <c r="N23" s="329"/>
      <c r="O23" s="489"/>
      <c r="P23" s="46"/>
      <c r="V23" s="46"/>
      <c r="W23" s="46"/>
      <c r="X23" s="46"/>
      <c r="Y23" s="46"/>
      <c r="Z23" s="46"/>
      <c r="AA23" s="46"/>
      <c r="AB23" s="46"/>
      <c r="AC23" s="46"/>
    </row>
    <row r="24" spans="1:29" s="47" customFormat="1" ht="12.75" x14ac:dyDescent="0.2">
      <c r="A24" s="326" t="s">
        <v>1198</v>
      </c>
      <c r="B24" s="327"/>
      <c r="C24" s="328">
        <v>2</v>
      </c>
      <c r="D24" s="329">
        <v>10.78</v>
      </c>
      <c r="E24" s="329"/>
      <c r="F24" s="329"/>
      <c r="G24" s="329"/>
      <c r="H24" s="329">
        <v>75.695999999999998</v>
      </c>
      <c r="I24" s="329"/>
      <c r="J24" s="329"/>
      <c r="K24" s="329"/>
      <c r="L24" s="329"/>
      <c r="M24" s="329"/>
      <c r="N24" s="329"/>
      <c r="O24" s="489"/>
      <c r="P24" s="46"/>
      <c r="V24" s="46"/>
      <c r="W24" s="46"/>
      <c r="X24" s="46"/>
      <c r="Y24" s="46"/>
      <c r="Z24" s="46"/>
      <c r="AA24" s="46"/>
      <c r="AB24" s="46"/>
      <c r="AC24" s="46"/>
    </row>
    <row r="25" spans="1:29" s="47" customFormat="1" ht="12.75" x14ac:dyDescent="0.2">
      <c r="A25" s="326" t="s">
        <v>1199</v>
      </c>
      <c r="B25" s="327"/>
      <c r="C25" s="328">
        <v>5</v>
      </c>
      <c r="D25" s="329">
        <v>8.5749999999999993</v>
      </c>
      <c r="E25" s="329"/>
      <c r="F25" s="329"/>
      <c r="G25" s="329"/>
      <c r="H25" s="329">
        <v>47.31</v>
      </c>
      <c r="I25" s="329"/>
      <c r="J25" s="329"/>
      <c r="K25" s="329"/>
      <c r="L25" s="329"/>
      <c r="M25" s="329"/>
      <c r="N25" s="329"/>
      <c r="O25" s="489"/>
      <c r="P25" s="46"/>
      <c r="V25" s="46"/>
      <c r="W25" s="46"/>
      <c r="X25" s="46"/>
      <c r="Y25" s="46"/>
      <c r="Z25" s="46"/>
      <c r="AA25" s="46"/>
      <c r="AB25" s="46"/>
      <c r="AC25" s="46"/>
    </row>
    <row r="26" spans="1:29" s="47" customFormat="1" ht="12.75" x14ac:dyDescent="0.2">
      <c r="A26" s="326" t="s">
        <v>1200</v>
      </c>
      <c r="B26" s="327"/>
      <c r="C26" s="328">
        <v>7</v>
      </c>
      <c r="D26" s="329">
        <v>14.7</v>
      </c>
      <c r="E26" s="329"/>
      <c r="F26" s="329"/>
      <c r="G26" s="329"/>
      <c r="H26" s="329">
        <v>100.928</v>
      </c>
      <c r="I26" s="329"/>
      <c r="J26" s="329"/>
      <c r="K26" s="329"/>
      <c r="L26" s="329"/>
      <c r="M26" s="329"/>
      <c r="N26" s="329"/>
      <c r="O26" s="489"/>
      <c r="P26" s="46"/>
      <c r="V26" s="46"/>
      <c r="W26" s="46"/>
      <c r="X26" s="46"/>
      <c r="Y26" s="46"/>
      <c r="Z26" s="46"/>
      <c r="AA26" s="46"/>
      <c r="AB26" s="46"/>
      <c r="AC26" s="46"/>
    </row>
    <row r="27" spans="1:29" s="47" customFormat="1" ht="12.75" x14ac:dyDescent="0.2">
      <c r="A27" s="326" t="s">
        <v>1201</v>
      </c>
      <c r="B27" s="327"/>
      <c r="C27" s="328">
        <v>7</v>
      </c>
      <c r="D27" s="329">
        <v>14.7</v>
      </c>
      <c r="E27" s="329"/>
      <c r="F27" s="329"/>
      <c r="G27" s="329"/>
      <c r="H27" s="329">
        <v>100.928</v>
      </c>
      <c r="I27" s="329"/>
      <c r="J27" s="329"/>
      <c r="K27" s="329"/>
      <c r="L27" s="329"/>
      <c r="M27" s="329"/>
      <c r="N27" s="329"/>
      <c r="O27" s="489"/>
      <c r="P27" s="46"/>
      <c r="V27" s="46"/>
      <c r="W27" s="46"/>
      <c r="X27" s="46"/>
      <c r="Y27" s="46"/>
      <c r="Z27" s="46"/>
      <c r="AA27" s="46"/>
      <c r="AB27" s="46"/>
      <c r="AC27" s="46"/>
    </row>
    <row r="28" spans="1:29" s="47" customFormat="1" ht="12.75" x14ac:dyDescent="0.2">
      <c r="A28" s="326" t="s">
        <v>1202</v>
      </c>
      <c r="B28" s="327"/>
      <c r="C28" s="328">
        <v>3</v>
      </c>
      <c r="D28" s="329">
        <v>10.78</v>
      </c>
      <c r="E28" s="329"/>
      <c r="F28" s="329"/>
      <c r="G28" s="329"/>
      <c r="H28" s="329">
        <v>75.695999999999998</v>
      </c>
      <c r="I28" s="329"/>
      <c r="J28" s="329"/>
      <c r="K28" s="329"/>
      <c r="L28" s="329"/>
      <c r="M28" s="329"/>
      <c r="N28" s="329"/>
      <c r="O28" s="489"/>
      <c r="P28" s="46"/>
      <c r="V28" s="46"/>
      <c r="W28" s="46"/>
      <c r="X28" s="46"/>
      <c r="Y28" s="46"/>
      <c r="Z28" s="46"/>
      <c r="AA28" s="46"/>
      <c r="AB28" s="46"/>
      <c r="AC28" s="46"/>
    </row>
    <row r="29" spans="1:29" s="47" customFormat="1" ht="12.75" x14ac:dyDescent="0.2">
      <c r="A29" s="326" t="s">
        <v>1203</v>
      </c>
      <c r="B29" s="327"/>
      <c r="C29" s="328">
        <v>3</v>
      </c>
      <c r="D29" s="329">
        <v>10.78</v>
      </c>
      <c r="E29" s="329"/>
      <c r="F29" s="329"/>
      <c r="G29" s="329"/>
      <c r="H29" s="329">
        <v>75.695999999999998</v>
      </c>
      <c r="I29" s="329"/>
      <c r="J29" s="329"/>
      <c r="K29" s="329"/>
      <c r="L29" s="329"/>
      <c r="M29" s="329"/>
      <c r="N29" s="329"/>
      <c r="O29" s="489"/>
      <c r="P29" s="46"/>
      <c r="V29" s="46"/>
      <c r="W29" s="46"/>
      <c r="X29" s="46"/>
      <c r="Y29" s="46"/>
      <c r="Z29" s="46"/>
      <c r="AA29" s="46"/>
      <c r="AB29" s="46"/>
      <c r="AC29" s="46"/>
    </row>
    <row r="30" spans="1:29" s="47" customFormat="1" ht="12.75" x14ac:dyDescent="0.2">
      <c r="A30" s="326" t="s">
        <v>1204</v>
      </c>
      <c r="B30" s="327"/>
      <c r="C30" s="328">
        <v>4</v>
      </c>
      <c r="D30" s="329">
        <v>10.78</v>
      </c>
      <c r="E30" s="329"/>
      <c r="F30" s="329"/>
      <c r="G30" s="329"/>
      <c r="H30" s="329">
        <v>75.695999999999998</v>
      </c>
      <c r="I30" s="329"/>
      <c r="J30" s="329"/>
      <c r="K30" s="329"/>
      <c r="L30" s="329"/>
      <c r="M30" s="329"/>
      <c r="N30" s="329"/>
      <c r="O30" s="489"/>
      <c r="P30" s="46"/>
      <c r="V30" s="46"/>
      <c r="W30" s="46"/>
      <c r="X30" s="46"/>
      <c r="Y30" s="46"/>
      <c r="Z30" s="46"/>
      <c r="AA30" s="46"/>
      <c r="AB30" s="46"/>
      <c r="AC30" s="46"/>
    </row>
    <row r="31" spans="1:29" s="47" customFormat="1" ht="12.75" x14ac:dyDescent="0.2">
      <c r="A31" s="326" t="s">
        <v>1205</v>
      </c>
      <c r="B31" s="327"/>
      <c r="C31" s="328">
        <v>9</v>
      </c>
      <c r="D31" s="329">
        <v>14.7</v>
      </c>
      <c r="E31" s="329"/>
      <c r="F31" s="329"/>
      <c r="G31" s="329"/>
      <c r="H31" s="329">
        <v>100.928</v>
      </c>
      <c r="I31" s="329"/>
      <c r="J31" s="329"/>
      <c r="K31" s="329"/>
      <c r="L31" s="329"/>
      <c r="M31" s="329"/>
      <c r="N31" s="329"/>
      <c r="O31" s="489"/>
      <c r="P31" s="46"/>
      <c r="V31" s="46"/>
      <c r="W31" s="46"/>
      <c r="X31" s="46"/>
      <c r="Y31" s="46"/>
      <c r="Z31" s="46"/>
      <c r="AA31" s="46"/>
      <c r="AB31" s="46"/>
      <c r="AC31" s="46"/>
    </row>
    <row r="32" spans="1:29" s="47" customFormat="1" ht="12.75" x14ac:dyDescent="0.2">
      <c r="A32" s="326" t="s">
        <v>1206</v>
      </c>
      <c r="B32" s="327"/>
      <c r="C32" s="328">
        <v>5</v>
      </c>
      <c r="D32" s="329">
        <v>10.78</v>
      </c>
      <c r="E32" s="329"/>
      <c r="F32" s="329"/>
      <c r="G32" s="329"/>
      <c r="H32" s="329">
        <v>75.695999999999998</v>
      </c>
      <c r="I32" s="329"/>
      <c r="J32" s="329"/>
      <c r="K32" s="329"/>
      <c r="L32" s="329"/>
      <c r="M32" s="329"/>
      <c r="N32" s="329"/>
      <c r="O32" s="489"/>
      <c r="P32" s="46"/>
      <c r="V32" s="46"/>
      <c r="W32" s="46"/>
      <c r="X32" s="46"/>
      <c r="Y32" s="46"/>
      <c r="Z32" s="46"/>
      <c r="AA32" s="46"/>
      <c r="AB32" s="46"/>
      <c r="AC32" s="46"/>
    </row>
    <row r="33" spans="1:29" s="47" customFormat="1" ht="12.75" x14ac:dyDescent="0.2">
      <c r="A33" s="326" t="s">
        <v>1207</v>
      </c>
      <c r="B33" s="327"/>
      <c r="C33" s="328">
        <v>3</v>
      </c>
      <c r="D33" s="329">
        <v>8.5749999999999993</v>
      </c>
      <c r="E33" s="329"/>
      <c r="F33" s="329"/>
      <c r="G33" s="329"/>
      <c r="H33" s="329">
        <v>47.31</v>
      </c>
      <c r="I33" s="329"/>
      <c r="J33" s="329"/>
      <c r="K33" s="329"/>
      <c r="L33" s="329"/>
      <c r="M33" s="329"/>
      <c r="N33" s="329"/>
      <c r="O33" s="489"/>
      <c r="P33" s="46"/>
      <c r="V33" s="46"/>
      <c r="W33" s="46"/>
      <c r="X33" s="46"/>
      <c r="Y33" s="46"/>
      <c r="Z33" s="46"/>
      <c r="AA33" s="46"/>
      <c r="AB33" s="46"/>
      <c r="AC33" s="46"/>
    </row>
    <row r="34" spans="1:29" s="47" customFormat="1" ht="12.75" x14ac:dyDescent="0.2">
      <c r="A34" s="326" t="s">
        <v>1208</v>
      </c>
      <c r="B34" s="327"/>
      <c r="C34" s="328">
        <v>3</v>
      </c>
      <c r="D34" s="329">
        <v>10.78</v>
      </c>
      <c r="E34" s="329"/>
      <c r="F34" s="329"/>
      <c r="G34" s="329"/>
      <c r="H34" s="329">
        <v>75.695999999999998</v>
      </c>
      <c r="I34" s="329"/>
      <c r="J34" s="329"/>
      <c r="K34" s="329"/>
      <c r="L34" s="329"/>
      <c r="M34" s="329"/>
      <c r="N34" s="329"/>
      <c r="O34" s="489"/>
      <c r="P34" s="46"/>
      <c r="V34" s="46"/>
      <c r="W34" s="46"/>
      <c r="X34" s="46"/>
      <c r="Y34" s="46"/>
      <c r="Z34" s="46"/>
      <c r="AA34" s="46"/>
      <c r="AB34" s="46"/>
      <c r="AC34" s="46"/>
    </row>
    <row r="35" spans="1:29" s="47" customFormat="1" ht="12.75" x14ac:dyDescent="0.2">
      <c r="A35" s="326" t="s">
        <v>1209</v>
      </c>
      <c r="B35" s="327"/>
      <c r="C35" s="328">
        <v>3</v>
      </c>
      <c r="D35" s="329">
        <v>10.78</v>
      </c>
      <c r="E35" s="329"/>
      <c r="F35" s="329"/>
      <c r="G35" s="329"/>
      <c r="H35" s="329">
        <v>75.695999999999998</v>
      </c>
      <c r="I35" s="329"/>
      <c r="J35" s="329"/>
      <c r="K35" s="329"/>
      <c r="L35" s="329"/>
      <c r="M35" s="329"/>
      <c r="N35" s="329"/>
      <c r="O35" s="489"/>
      <c r="P35" s="46"/>
      <c r="V35" s="46"/>
      <c r="W35" s="46"/>
      <c r="X35" s="46"/>
      <c r="Y35" s="46"/>
      <c r="Z35" s="46"/>
      <c r="AA35" s="46"/>
      <c r="AB35" s="46"/>
      <c r="AC35" s="46"/>
    </row>
    <row r="36" spans="1:29" s="47" customFormat="1" ht="12.75" x14ac:dyDescent="0.2">
      <c r="A36" s="326" t="s">
        <v>1210</v>
      </c>
      <c r="B36" s="327"/>
      <c r="C36" s="328">
        <v>3</v>
      </c>
      <c r="D36" s="329">
        <v>10.78</v>
      </c>
      <c r="E36" s="329"/>
      <c r="F36" s="329"/>
      <c r="G36" s="329"/>
      <c r="H36" s="329">
        <v>75.695999999999998</v>
      </c>
      <c r="I36" s="329"/>
      <c r="J36" s="329"/>
      <c r="K36" s="329"/>
      <c r="L36" s="329"/>
      <c r="M36" s="329"/>
      <c r="N36" s="329"/>
      <c r="O36" s="489"/>
      <c r="P36" s="46"/>
      <c r="V36" s="46"/>
      <c r="W36" s="46"/>
      <c r="X36" s="46"/>
      <c r="Y36" s="46"/>
      <c r="Z36" s="46"/>
      <c r="AA36" s="46"/>
      <c r="AB36" s="46"/>
      <c r="AC36" s="46"/>
    </row>
    <row r="37" spans="1:29" s="47" customFormat="1" ht="12.75" x14ac:dyDescent="0.2">
      <c r="A37" s="326" t="s">
        <v>1211</v>
      </c>
      <c r="B37" s="327"/>
      <c r="C37" s="328">
        <v>3</v>
      </c>
      <c r="D37" s="329">
        <v>10.78</v>
      </c>
      <c r="E37" s="329"/>
      <c r="F37" s="329"/>
      <c r="G37" s="329"/>
      <c r="H37" s="329">
        <v>75.695999999999998</v>
      </c>
      <c r="I37" s="329"/>
      <c r="J37" s="329"/>
      <c r="K37" s="329"/>
      <c r="L37" s="329"/>
      <c r="M37" s="329"/>
      <c r="N37" s="329"/>
      <c r="O37" s="489"/>
      <c r="P37" s="46"/>
      <c r="V37" s="46"/>
      <c r="W37" s="46"/>
      <c r="X37" s="46"/>
      <c r="Y37" s="46"/>
      <c r="Z37" s="46"/>
      <c r="AA37" s="46"/>
      <c r="AB37" s="46"/>
      <c r="AC37" s="46"/>
    </row>
    <row r="38" spans="1:29" s="47" customFormat="1" ht="12.75" x14ac:dyDescent="0.2">
      <c r="A38" s="326" t="s">
        <v>1212</v>
      </c>
      <c r="B38" s="327"/>
      <c r="C38" s="328">
        <v>8</v>
      </c>
      <c r="D38" s="329">
        <v>10.78</v>
      </c>
      <c r="E38" s="329"/>
      <c r="F38" s="329"/>
      <c r="G38" s="329"/>
      <c r="H38" s="329">
        <v>75.695999999999998</v>
      </c>
      <c r="I38" s="329"/>
      <c r="J38" s="329"/>
      <c r="K38" s="329"/>
      <c r="L38" s="329"/>
      <c r="M38" s="329"/>
      <c r="N38" s="329"/>
      <c r="O38" s="489"/>
      <c r="P38" s="46"/>
      <c r="V38" s="46"/>
      <c r="W38" s="46"/>
      <c r="X38" s="46"/>
      <c r="Y38" s="46"/>
      <c r="Z38" s="46"/>
      <c r="AA38" s="46"/>
      <c r="AB38" s="46"/>
      <c r="AC38" s="46"/>
    </row>
    <row r="39" spans="1:29" s="47" customFormat="1" ht="12.75" x14ac:dyDescent="0.2">
      <c r="A39" s="326" t="s">
        <v>1213</v>
      </c>
      <c r="B39" s="327"/>
      <c r="C39" s="328">
        <v>8</v>
      </c>
      <c r="D39" s="329">
        <v>10.78</v>
      </c>
      <c r="E39" s="329"/>
      <c r="F39" s="329"/>
      <c r="G39" s="329"/>
      <c r="H39" s="329">
        <v>75.695999999999998</v>
      </c>
      <c r="I39" s="329"/>
      <c r="J39" s="329"/>
      <c r="K39" s="329"/>
      <c r="L39" s="329"/>
      <c r="M39" s="329"/>
      <c r="N39" s="329"/>
      <c r="O39" s="489"/>
      <c r="P39" s="46"/>
      <c r="V39" s="46"/>
      <c r="W39" s="46"/>
      <c r="X39" s="46"/>
      <c r="Y39" s="46"/>
      <c r="Z39" s="46"/>
      <c r="AA39" s="46"/>
      <c r="AB39" s="46"/>
      <c r="AC39" s="46"/>
    </row>
    <row r="40" spans="1:29" s="3" customFormat="1" ht="13.9" customHeight="1" x14ac:dyDescent="0.2">
      <c r="A40" s="796" t="s">
        <v>39</v>
      </c>
      <c r="B40" s="327"/>
      <c r="C40" s="328"/>
      <c r="D40" s="797">
        <v>1052</v>
      </c>
      <c r="E40" s="797"/>
      <c r="F40" s="797"/>
      <c r="G40" s="797"/>
      <c r="H40" s="797">
        <v>6905.49</v>
      </c>
      <c r="I40" s="329"/>
      <c r="J40" s="329"/>
      <c r="K40" s="329"/>
      <c r="L40" s="329"/>
      <c r="M40" s="329"/>
      <c r="N40" s="329"/>
      <c r="O40" s="489"/>
      <c r="P40" s="46"/>
      <c r="V40" s="1"/>
      <c r="W40" s="1"/>
      <c r="X40" s="1"/>
      <c r="Y40" s="1"/>
      <c r="Z40" s="1"/>
      <c r="AA40" s="1"/>
      <c r="AB40" s="1"/>
      <c r="AC40" s="1"/>
    </row>
    <row r="41" spans="1:29" s="47" customFormat="1" ht="13.9" customHeight="1" x14ac:dyDescent="0.2">
      <c r="A41" s="490"/>
      <c r="B41" s="491" t="s">
        <v>21</v>
      </c>
      <c r="C41" s="492">
        <f>SUM(D41:O41)</f>
        <v>7922.6949999999997</v>
      </c>
      <c r="D41" s="492">
        <f t="shared" ref="D41:O41" si="0">SUMPRODUCT(D7:D40,$C7:$C40)</f>
        <v>1031.2049999999999</v>
      </c>
      <c r="E41" s="492">
        <f t="shared" si="0"/>
        <v>0</v>
      </c>
      <c r="F41" s="492">
        <f t="shared" si="0"/>
        <v>0</v>
      </c>
      <c r="G41" s="492">
        <f t="shared" si="0"/>
        <v>0</v>
      </c>
      <c r="H41" s="492">
        <f t="shared" si="0"/>
        <v>6891.49</v>
      </c>
      <c r="I41" s="492">
        <f t="shared" si="0"/>
        <v>0</v>
      </c>
      <c r="J41" s="492">
        <f t="shared" si="0"/>
        <v>0</v>
      </c>
      <c r="K41" s="492">
        <f t="shared" si="0"/>
        <v>0</v>
      </c>
      <c r="L41" s="492">
        <f t="shared" si="0"/>
        <v>0</v>
      </c>
      <c r="M41" s="492">
        <f t="shared" si="0"/>
        <v>0</v>
      </c>
      <c r="N41" s="492">
        <f t="shared" si="0"/>
        <v>0</v>
      </c>
      <c r="O41" s="493">
        <f t="shared" si="0"/>
        <v>0</v>
      </c>
      <c r="P41" s="1"/>
      <c r="V41" s="46"/>
      <c r="W41" s="46"/>
      <c r="X41" s="46"/>
      <c r="Y41" s="46"/>
      <c r="Z41" s="46"/>
      <c r="AA41" s="46"/>
      <c r="AB41" s="46"/>
      <c r="AC41" s="46"/>
    </row>
    <row r="42" spans="1:29" s="3" customFormat="1" ht="13.9" customHeight="1" thickBot="1" x14ac:dyDescent="0.25">
      <c r="A42" s="494"/>
      <c r="B42" s="495" t="s">
        <v>22</v>
      </c>
      <c r="C42" s="280"/>
      <c r="D42" s="281">
        <v>1</v>
      </c>
      <c r="E42" s="281">
        <v>1</v>
      </c>
      <c r="F42" s="281">
        <v>1</v>
      </c>
      <c r="G42" s="281">
        <v>1</v>
      </c>
      <c r="H42" s="281">
        <v>1</v>
      </c>
      <c r="I42" s="281">
        <v>1</v>
      </c>
      <c r="J42" s="281">
        <v>1</v>
      </c>
      <c r="K42" s="281">
        <v>1</v>
      </c>
      <c r="L42" s="281">
        <v>1</v>
      </c>
      <c r="M42" s="281">
        <v>1</v>
      </c>
      <c r="N42" s="281">
        <v>1</v>
      </c>
      <c r="O42" s="496">
        <v>1</v>
      </c>
      <c r="P42" s="46"/>
      <c r="V42" s="1"/>
      <c r="W42" s="1"/>
      <c r="X42" s="1"/>
      <c r="Y42" s="1"/>
      <c r="Z42" s="1"/>
      <c r="AA42" s="1"/>
      <c r="AB42" s="1"/>
      <c r="AC42" s="1"/>
    </row>
    <row r="43" spans="1:29" s="47" customFormat="1" ht="13.9" customHeight="1" thickTop="1" thickBot="1" x14ac:dyDescent="0.25">
      <c r="A43" s="115"/>
      <c r="B43" s="115" t="s">
        <v>23</v>
      </c>
      <c r="C43" s="203">
        <f>SUM(D43:O43)</f>
        <v>7922.6949999999997</v>
      </c>
      <c r="D43" s="203">
        <f>D42*D41</f>
        <v>1031.2049999999999</v>
      </c>
      <c r="E43" s="203">
        <f t="shared" ref="E43:O43" si="1">E42*E41</f>
        <v>0</v>
      </c>
      <c r="F43" s="203">
        <f t="shared" si="1"/>
        <v>0</v>
      </c>
      <c r="G43" s="203">
        <f t="shared" si="1"/>
        <v>0</v>
      </c>
      <c r="H43" s="203">
        <f t="shared" si="1"/>
        <v>6891.49</v>
      </c>
      <c r="I43" s="203">
        <f t="shared" si="1"/>
        <v>0</v>
      </c>
      <c r="J43" s="203">
        <f t="shared" si="1"/>
        <v>0</v>
      </c>
      <c r="K43" s="203">
        <f t="shared" si="1"/>
        <v>0</v>
      </c>
      <c r="L43" s="203">
        <f t="shared" si="1"/>
        <v>0</v>
      </c>
      <c r="M43" s="203">
        <f t="shared" si="1"/>
        <v>0</v>
      </c>
      <c r="N43" s="203">
        <f t="shared" si="1"/>
        <v>0</v>
      </c>
      <c r="O43" s="497">
        <f t="shared" si="1"/>
        <v>0</v>
      </c>
      <c r="P43" s="1"/>
      <c r="V43" s="46"/>
      <c r="W43" s="46"/>
      <c r="X43" s="46"/>
      <c r="Y43" s="46"/>
      <c r="Z43" s="46"/>
      <c r="AA43" s="46"/>
      <c r="AB43" s="46"/>
      <c r="AC43" s="46"/>
    </row>
    <row r="44" spans="1:29" s="52" customFormat="1" ht="13.9" customHeight="1" thickTop="1" x14ac:dyDescent="0.25">
      <c r="A44" s="182" t="s">
        <v>108</v>
      </c>
      <c r="B44" s="276"/>
      <c r="C44" s="795"/>
      <c r="D44" s="278">
        <f>1-D41/D40</f>
        <v>1.9767110266159738E-2</v>
      </c>
      <c r="E44" s="798" t="str">
        <f>IF(D44&lt;10%,"Usar valor de projeto","Confirmar com cliente")</f>
        <v>Usar valor de projeto</v>
      </c>
      <c r="F44" s="278"/>
      <c r="G44" s="278"/>
      <c r="H44" s="278">
        <f>1-H41/H40</f>
        <v>2.0273724239698865E-3</v>
      </c>
      <c r="I44" s="798" t="str">
        <f>IF(H44&lt;10%,"Usar valor de projeto","Confirmar com cliente")</f>
        <v>Usar valor de projeto</v>
      </c>
      <c r="J44" s="278"/>
      <c r="K44" s="143"/>
      <c r="L44" s="143"/>
      <c r="M44" s="143"/>
      <c r="N44" s="143"/>
      <c r="O44" s="143"/>
      <c r="P44" s="46"/>
      <c r="Q44" s="198"/>
      <c r="R44" s="198"/>
      <c r="S44" s="199"/>
      <c r="T44" s="198"/>
      <c r="U44" s="198"/>
      <c r="V44" s="1"/>
      <c r="W44" s="1"/>
      <c r="X44" s="1"/>
      <c r="Y44" s="1"/>
      <c r="Z44" s="1"/>
      <c r="AA44" s="1"/>
      <c r="AB44" s="1"/>
      <c r="AC44" s="1"/>
    </row>
    <row r="45" spans="1:29" ht="13.9" customHeight="1" x14ac:dyDescent="0.2">
      <c r="A45" s="145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</row>
    <row r="46" spans="1:29" ht="12.95" customHeight="1" thickBot="1" x14ac:dyDescent="0.25">
      <c r="A46" s="1274" t="s">
        <v>24</v>
      </c>
      <c r="B46" s="1274"/>
      <c r="C46" s="1274"/>
      <c r="D46" s="1274"/>
      <c r="E46" s="1274"/>
    </row>
    <row r="47" spans="1:29" ht="12.95" customHeight="1" thickBot="1" x14ac:dyDescent="0.25">
      <c r="A47" s="1281" t="s">
        <v>25</v>
      </c>
      <c r="B47" s="1282"/>
      <c r="C47" s="1283"/>
      <c r="D47" s="1281" t="s">
        <v>26</v>
      </c>
      <c r="E47" s="1283"/>
    </row>
    <row r="48" spans="1:29" ht="12.95" customHeight="1" x14ac:dyDescent="0.2">
      <c r="A48" s="33" t="s">
        <v>27</v>
      </c>
      <c r="B48" s="5" t="s">
        <v>28</v>
      </c>
      <c r="C48" s="38" t="s">
        <v>29</v>
      </c>
      <c r="D48" s="33" t="s">
        <v>27</v>
      </c>
      <c r="E48" s="38" t="s">
        <v>28</v>
      </c>
    </row>
    <row r="49" spans="1:5" ht="12.95" customHeight="1" x14ac:dyDescent="0.2">
      <c r="A49" s="34">
        <v>6.3</v>
      </c>
      <c r="B49" s="193">
        <v>0.245</v>
      </c>
      <c r="C49" s="35" t="s">
        <v>30</v>
      </c>
      <c r="D49" s="34">
        <v>3.4</v>
      </c>
      <c r="E49" s="194">
        <v>7.9000000000000001E-2</v>
      </c>
    </row>
    <row r="50" spans="1:5" ht="12.95" customHeight="1" x14ac:dyDescent="0.2">
      <c r="A50" s="34">
        <v>8</v>
      </c>
      <c r="B50" s="193">
        <v>0.39500000000000002</v>
      </c>
      <c r="C50" s="35" t="s">
        <v>31</v>
      </c>
      <c r="D50" s="34">
        <v>4.2</v>
      </c>
      <c r="E50" s="194">
        <v>0.109</v>
      </c>
    </row>
    <row r="51" spans="1:5" ht="12.95" customHeight="1" x14ac:dyDescent="0.2">
      <c r="A51" s="34">
        <v>10</v>
      </c>
      <c r="B51" s="193">
        <v>0.61699999999999999</v>
      </c>
      <c r="C51" s="35" t="s">
        <v>32</v>
      </c>
      <c r="D51" s="34">
        <v>5</v>
      </c>
      <c r="E51" s="194">
        <v>0.154</v>
      </c>
    </row>
    <row r="52" spans="1:5" x14ac:dyDescent="0.2">
      <c r="A52" s="34">
        <v>12.5</v>
      </c>
      <c r="B52" s="193">
        <v>0.96299999999999997</v>
      </c>
      <c r="C52" s="35" t="s">
        <v>33</v>
      </c>
      <c r="D52" s="34">
        <v>6</v>
      </c>
      <c r="E52" s="194">
        <v>0.222</v>
      </c>
    </row>
    <row r="53" spans="1:5" x14ac:dyDescent="0.2">
      <c r="A53" s="34">
        <v>16</v>
      </c>
      <c r="B53" s="193">
        <v>1.5780000000000001</v>
      </c>
      <c r="C53" s="35" t="s">
        <v>34</v>
      </c>
      <c r="D53" s="34">
        <v>7</v>
      </c>
      <c r="E53" s="194">
        <v>0.30199999999999999</v>
      </c>
    </row>
    <row r="54" spans="1:5" x14ac:dyDescent="0.2">
      <c r="A54" s="34">
        <v>20</v>
      </c>
      <c r="B54" s="193">
        <v>2.4660000000000002</v>
      </c>
      <c r="C54" s="35" t="s">
        <v>35</v>
      </c>
      <c r="D54" s="34">
        <v>8</v>
      </c>
      <c r="E54" s="194">
        <v>0.39500000000000002</v>
      </c>
    </row>
    <row r="55" spans="1:5" x14ac:dyDescent="0.2">
      <c r="A55" s="34">
        <v>25</v>
      </c>
      <c r="B55" s="193">
        <v>3.8530000000000002</v>
      </c>
      <c r="C55" s="35" t="s">
        <v>36</v>
      </c>
      <c r="D55" s="34">
        <v>9.5</v>
      </c>
      <c r="E55" s="194">
        <v>0.55800000000000005</v>
      </c>
    </row>
    <row r="56" spans="1:5" x14ac:dyDescent="0.2">
      <c r="A56" s="34">
        <v>32</v>
      </c>
      <c r="B56" s="193">
        <v>6.3129999999999997</v>
      </c>
      <c r="C56" s="35" t="s">
        <v>37</v>
      </c>
      <c r="D56" s="34">
        <v>0</v>
      </c>
      <c r="E56" s="194"/>
    </row>
    <row r="57" spans="1:5" ht="12" thickBot="1" x14ac:dyDescent="0.25">
      <c r="A57" s="36">
        <v>40</v>
      </c>
      <c r="B57" s="195">
        <v>9.8650000000000002</v>
      </c>
      <c r="C57" s="37" t="s">
        <v>38</v>
      </c>
      <c r="D57" s="36">
        <v>0</v>
      </c>
      <c r="E57" s="196"/>
    </row>
  </sheetData>
  <mergeCells count="7">
    <mergeCell ref="A4:O4"/>
    <mergeCell ref="A46:E46"/>
    <mergeCell ref="A5:B6"/>
    <mergeCell ref="C5:C6"/>
    <mergeCell ref="A47:C47"/>
    <mergeCell ref="D47:E47"/>
    <mergeCell ref="A7:O7"/>
  </mergeCells>
  <printOptions horizontalCentered="1"/>
  <pageMargins left="0.19685039370078741" right="0.19685039370078741" top="0.39370078740157483" bottom="0.39370078740157483" header="0.51181102362204722" footer="0.19685039370078741"/>
  <pageSetup paperSize="9" scale="60" orientation="landscape" r:id="rId1"/>
  <headerFooter alignWithMargins="0">
    <oddFooter>&amp;L&amp;"Arial,Normal"&amp;F  - &amp;A&amp;R&amp;"Arial,Normal"&amp;P /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43800"/>
    <pageSetUpPr fitToPage="1"/>
  </sheetPr>
  <dimension ref="A1:AC16"/>
  <sheetViews>
    <sheetView showGridLines="0" view="pageBreakPreview" topLeftCell="C1" zoomScale="80" zoomScaleNormal="100" zoomScaleSheetLayoutView="80" workbookViewId="0">
      <pane ySplit="4" topLeftCell="A5" activePane="bottomLeft" state="frozen"/>
      <selection activeCell="B18" sqref="B18:E18"/>
      <selection pane="bottomLeft" activeCell="H12" sqref="H12"/>
    </sheetView>
  </sheetViews>
  <sheetFormatPr defaultRowHeight="12.75" x14ac:dyDescent="0.2"/>
  <cols>
    <col min="1" max="1" width="26.28515625" style="12" bestFit="1" customWidth="1"/>
    <col min="2" max="5" width="14.7109375" style="12" customWidth="1"/>
    <col min="6" max="6" width="13.85546875" style="12" customWidth="1"/>
    <col min="7" max="7" width="14.7109375" style="12" customWidth="1"/>
    <col min="8" max="8" width="12.140625" style="12" customWidth="1"/>
    <col min="9" max="9" width="12.5703125" style="12" customWidth="1"/>
    <col min="10" max="10" width="13.42578125" style="12" customWidth="1"/>
    <col min="11" max="11" width="11.85546875" style="12" customWidth="1"/>
    <col min="12" max="12" width="16.28515625" style="12" customWidth="1"/>
    <col min="13" max="14" width="13" style="12" customWidth="1"/>
    <col min="15" max="15" width="11.28515625" style="12" customWidth="1"/>
    <col min="16" max="16" width="12.140625" style="12" bestFit="1" customWidth="1"/>
    <col min="17" max="17" width="14.28515625" style="12" bestFit="1" customWidth="1"/>
    <col min="18" max="252" width="9.140625" style="12"/>
    <col min="253" max="253" width="18.140625" style="12" customWidth="1"/>
    <col min="254" max="254" width="15.85546875" style="12" customWidth="1"/>
    <col min="255" max="256" width="6.7109375" style="12" customWidth="1"/>
    <col min="257" max="257" width="5.7109375" style="12" customWidth="1"/>
    <col min="258" max="258" width="7" style="12" customWidth="1"/>
    <col min="259" max="259" width="5.7109375" style="12" customWidth="1"/>
    <col min="260" max="260" width="7.7109375" style="12" customWidth="1"/>
    <col min="261" max="261" width="8.7109375" style="12" customWidth="1"/>
    <col min="262" max="262" width="7.7109375" style="12" customWidth="1"/>
    <col min="263" max="263" width="8.7109375" style="12" customWidth="1"/>
    <col min="264" max="264" width="16.28515625" style="12" customWidth="1"/>
    <col min="265" max="265" width="7.7109375" style="12" customWidth="1"/>
    <col min="266" max="266" width="8" style="12" customWidth="1"/>
    <col min="267" max="267" width="7.7109375" style="12" customWidth="1"/>
    <col min="268" max="268" width="8.7109375" style="12" customWidth="1"/>
    <col min="269" max="508" width="9.140625" style="12"/>
    <col min="509" max="509" width="18.140625" style="12" customWidth="1"/>
    <col min="510" max="510" width="15.85546875" style="12" customWidth="1"/>
    <col min="511" max="512" width="6.7109375" style="12" customWidth="1"/>
    <col min="513" max="513" width="5.7109375" style="12" customWidth="1"/>
    <col min="514" max="514" width="7" style="12" customWidth="1"/>
    <col min="515" max="515" width="5.7109375" style="12" customWidth="1"/>
    <col min="516" max="516" width="7.7109375" style="12" customWidth="1"/>
    <col min="517" max="517" width="8.7109375" style="12" customWidth="1"/>
    <col min="518" max="518" width="7.7109375" style="12" customWidth="1"/>
    <col min="519" max="519" width="8.7109375" style="12" customWidth="1"/>
    <col min="520" max="520" width="16.28515625" style="12" customWidth="1"/>
    <col min="521" max="521" width="7.7109375" style="12" customWidth="1"/>
    <col min="522" max="522" width="8" style="12" customWidth="1"/>
    <col min="523" max="523" width="7.7109375" style="12" customWidth="1"/>
    <col min="524" max="524" width="8.7109375" style="12" customWidth="1"/>
    <col min="525" max="764" width="9.140625" style="12"/>
    <col min="765" max="765" width="18.140625" style="12" customWidth="1"/>
    <col min="766" max="766" width="15.85546875" style="12" customWidth="1"/>
    <col min="767" max="768" width="6.7109375" style="12" customWidth="1"/>
    <col min="769" max="769" width="5.7109375" style="12" customWidth="1"/>
    <col min="770" max="770" width="7" style="12" customWidth="1"/>
    <col min="771" max="771" width="5.7109375" style="12" customWidth="1"/>
    <col min="772" max="772" width="7.7109375" style="12" customWidth="1"/>
    <col min="773" max="773" width="8.7109375" style="12" customWidth="1"/>
    <col min="774" max="774" width="7.7109375" style="12" customWidth="1"/>
    <col min="775" max="775" width="8.7109375" style="12" customWidth="1"/>
    <col min="776" max="776" width="16.28515625" style="12" customWidth="1"/>
    <col min="777" max="777" width="7.7109375" style="12" customWidth="1"/>
    <col min="778" max="778" width="8" style="12" customWidth="1"/>
    <col min="779" max="779" width="7.7109375" style="12" customWidth="1"/>
    <col min="780" max="780" width="8.7109375" style="12" customWidth="1"/>
    <col min="781" max="1020" width="9.140625" style="12"/>
    <col min="1021" max="1021" width="18.140625" style="12" customWidth="1"/>
    <col min="1022" max="1022" width="15.85546875" style="12" customWidth="1"/>
    <col min="1023" max="1024" width="6.7109375" style="12" customWidth="1"/>
    <col min="1025" max="1025" width="5.7109375" style="12" customWidth="1"/>
    <col min="1026" max="1026" width="7" style="12" customWidth="1"/>
    <col min="1027" max="1027" width="5.7109375" style="12" customWidth="1"/>
    <col min="1028" max="1028" width="7.7109375" style="12" customWidth="1"/>
    <col min="1029" max="1029" width="8.7109375" style="12" customWidth="1"/>
    <col min="1030" max="1030" width="7.7109375" style="12" customWidth="1"/>
    <col min="1031" max="1031" width="8.7109375" style="12" customWidth="1"/>
    <col min="1032" max="1032" width="16.28515625" style="12" customWidth="1"/>
    <col min="1033" max="1033" width="7.7109375" style="12" customWidth="1"/>
    <col min="1034" max="1034" width="8" style="12" customWidth="1"/>
    <col min="1035" max="1035" width="7.7109375" style="12" customWidth="1"/>
    <col min="1036" max="1036" width="8.7109375" style="12" customWidth="1"/>
    <col min="1037" max="1276" width="9.140625" style="12"/>
    <col min="1277" max="1277" width="18.140625" style="12" customWidth="1"/>
    <col min="1278" max="1278" width="15.85546875" style="12" customWidth="1"/>
    <col min="1279" max="1280" width="6.7109375" style="12" customWidth="1"/>
    <col min="1281" max="1281" width="5.7109375" style="12" customWidth="1"/>
    <col min="1282" max="1282" width="7" style="12" customWidth="1"/>
    <col min="1283" max="1283" width="5.7109375" style="12" customWidth="1"/>
    <col min="1284" max="1284" width="7.7109375" style="12" customWidth="1"/>
    <col min="1285" max="1285" width="8.7109375" style="12" customWidth="1"/>
    <col min="1286" max="1286" width="7.7109375" style="12" customWidth="1"/>
    <col min="1287" max="1287" width="8.7109375" style="12" customWidth="1"/>
    <col min="1288" max="1288" width="16.28515625" style="12" customWidth="1"/>
    <col min="1289" max="1289" width="7.7109375" style="12" customWidth="1"/>
    <col min="1290" max="1290" width="8" style="12" customWidth="1"/>
    <col min="1291" max="1291" width="7.7109375" style="12" customWidth="1"/>
    <col min="1292" max="1292" width="8.7109375" style="12" customWidth="1"/>
    <col min="1293" max="1532" width="9.140625" style="12"/>
    <col min="1533" max="1533" width="18.140625" style="12" customWidth="1"/>
    <col min="1534" max="1534" width="15.85546875" style="12" customWidth="1"/>
    <col min="1535" max="1536" width="6.7109375" style="12" customWidth="1"/>
    <col min="1537" max="1537" width="5.7109375" style="12" customWidth="1"/>
    <col min="1538" max="1538" width="7" style="12" customWidth="1"/>
    <col min="1539" max="1539" width="5.7109375" style="12" customWidth="1"/>
    <col min="1540" max="1540" width="7.7109375" style="12" customWidth="1"/>
    <col min="1541" max="1541" width="8.7109375" style="12" customWidth="1"/>
    <col min="1542" max="1542" width="7.7109375" style="12" customWidth="1"/>
    <col min="1543" max="1543" width="8.7109375" style="12" customWidth="1"/>
    <col min="1544" max="1544" width="16.28515625" style="12" customWidth="1"/>
    <col min="1545" max="1545" width="7.7109375" style="12" customWidth="1"/>
    <col min="1546" max="1546" width="8" style="12" customWidth="1"/>
    <col min="1547" max="1547" width="7.7109375" style="12" customWidth="1"/>
    <col min="1548" max="1548" width="8.7109375" style="12" customWidth="1"/>
    <col min="1549" max="1788" width="9.140625" style="12"/>
    <col min="1789" max="1789" width="18.140625" style="12" customWidth="1"/>
    <col min="1790" max="1790" width="15.85546875" style="12" customWidth="1"/>
    <col min="1791" max="1792" width="6.7109375" style="12" customWidth="1"/>
    <col min="1793" max="1793" width="5.7109375" style="12" customWidth="1"/>
    <col min="1794" max="1794" width="7" style="12" customWidth="1"/>
    <col min="1795" max="1795" width="5.7109375" style="12" customWidth="1"/>
    <col min="1796" max="1796" width="7.7109375" style="12" customWidth="1"/>
    <col min="1797" max="1797" width="8.7109375" style="12" customWidth="1"/>
    <col min="1798" max="1798" width="7.7109375" style="12" customWidth="1"/>
    <col min="1799" max="1799" width="8.7109375" style="12" customWidth="1"/>
    <col min="1800" max="1800" width="16.28515625" style="12" customWidth="1"/>
    <col min="1801" max="1801" width="7.7109375" style="12" customWidth="1"/>
    <col min="1802" max="1802" width="8" style="12" customWidth="1"/>
    <col min="1803" max="1803" width="7.7109375" style="12" customWidth="1"/>
    <col min="1804" max="1804" width="8.7109375" style="12" customWidth="1"/>
    <col min="1805" max="2044" width="9.140625" style="12"/>
    <col min="2045" max="2045" width="18.140625" style="12" customWidth="1"/>
    <col min="2046" max="2046" width="15.85546875" style="12" customWidth="1"/>
    <col min="2047" max="2048" width="6.7109375" style="12" customWidth="1"/>
    <col min="2049" max="2049" width="5.7109375" style="12" customWidth="1"/>
    <col min="2050" max="2050" width="7" style="12" customWidth="1"/>
    <col min="2051" max="2051" width="5.7109375" style="12" customWidth="1"/>
    <col min="2052" max="2052" width="7.7109375" style="12" customWidth="1"/>
    <col min="2053" max="2053" width="8.7109375" style="12" customWidth="1"/>
    <col min="2054" max="2054" width="7.7109375" style="12" customWidth="1"/>
    <col min="2055" max="2055" width="8.7109375" style="12" customWidth="1"/>
    <col min="2056" max="2056" width="16.28515625" style="12" customWidth="1"/>
    <col min="2057" max="2057" width="7.7109375" style="12" customWidth="1"/>
    <col min="2058" max="2058" width="8" style="12" customWidth="1"/>
    <col min="2059" max="2059" width="7.7109375" style="12" customWidth="1"/>
    <col min="2060" max="2060" width="8.7109375" style="12" customWidth="1"/>
    <col min="2061" max="2300" width="9.140625" style="12"/>
    <col min="2301" max="2301" width="18.140625" style="12" customWidth="1"/>
    <col min="2302" max="2302" width="15.85546875" style="12" customWidth="1"/>
    <col min="2303" max="2304" width="6.7109375" style="12" customWidth="1"/>
    <col min="2305" max="2305" width="5.7109375" style="12" customWidth="1"/>
    <col min="2306" max="2306" width="7" style="12" customWidth="1"/>
    <col min="2307" max="2307" width="5.7109375" style="12" customWidth="1"/>
    <col min="2308" max="2308" width="7.7109375" style="12" customWidth="1"/>
    <col min="2309" max="2309" width="8.7109375" style="12" customWidth="1"/>
    <col min="2310" max="2310" width="7.7109375" style="12" customWidth="1"/>
    <col min="2311" max="2311" width="8.7109375" style="12" customWidth="1"/>
    <col min="2312" max="2312" width="16.28515625" style="12" customWidth="1"/>
    <col min="2313" max="2313" width="7.7109375" style="12" customWidth="1"/>
    <col min="2314" max="2314" width="8" style="12" customWidth="1"/>
    <col min="2315" max="2315" width="7.7109375" style="12" customWidth="1"/>
    <col min="2316" max="2316" width="8.7109375" style="12" customWidth="1"/>
    <col min="2317" max="2556" width="9.140625" style="12"/>
    <col min="2557" max="2557" width="18.140625" style="12" customWidth="1"/>
    <col min="2558" max="2558" width="15.85546875" style="12" customWidth="1"/>
    <col min="2559" max="2560" width="6.7109375" style="12" customWidth="1"/>
    <col min="2561" max="2561" width="5.7109375" style="12" customWidth="1"/>
    <col min="2562" max="2562" width="7" style="12" customWidth="1"/>
    <col min="2563" max="2563" width="5.7109375" style="12" customWidth="1"/>
    <col min="2564" max="2564" width="7.7109375" style="12" customWidth="1"/>
    <col min="2565" max="2565" width="8.7109375" style="12" customWidth="1"/>
    <col min="2566" max="2566" width="7.7109375" style="12" customWidth="1"/>
    <col min="2567" max="2567" width="8.7109375" style="12" customWidth="1"/>
    <col min="2568" max="2568" width="16.28515625" style="12" customWidth="1"/>
    <col min="2569" max="2569" width="7.7109375" style="12" customWidth="1"/>
    <col min="2570" max="2570" width="8" style="12" customWidth="1"/>
    <col min="2571" max="2571" width="7.7109375" style="12" customWidth="1"/>
    <col min="2572" max="2572" width="8.7109375" style="12" customWidth="1"/>
    <col min="2573" max="2812" width="9.140625" style="12"/>
    <col min="2813" max="2813" width="18.140625" style="12" customWidth="1"/>
    <col min="2814" max="2814" width="15.85546875" style="12" customWidth="1"/>
    <col min="2815" max="2816" width="6.7109375" style="12" customWidth="1"/>
    <col min="2817" max="2817" width="5.7109375" style="12" customWidth="1"/>
    <col min="2818" max="2818" width="7" style="12" customWidth="1"/>
    <col min="2819" max="2819" width="5.7109375" style="12" customWidth="1"/>
    <col min="2820" max="2820" width="7.7109375" style="12" customWidth="1"/>
    <col min="2821" max="2821" width="8.7109375" style="12" customWidth="1"/>
    <col min="2822" max="2822" width="7.7109375" style="12" customWidth="1"/>
    <col min="2823" max="2823" width="8.7109375" style="12" customWidth="1"/>
    <col min="2824" max="2824" width="16.28515625" style="12" customWidth="1"/>
    <col min="2825" max="2825" width="7.7109375" style="12" customWidth="1"/>
    <col min="2826" max="2826" width="8" style="12" customWidth="1"/>
    <col min="2827" max="2827" width="7.7109375" style="12" customWidth="1"/>
    <col min="2828" max="2828" width="8.7109375" style="12" customWidth="1"/>
    <col min="2829" max="3068" width="9.140625" style="12"/>
    <col min="3069" max="3069" width="18.140625" style="12" customWidth="1"/>
    <col min="3070" max="3070" width="15.85546875" style="12" customWidth="1"/>
    <col min="3071" max="3072" width="6.7109375" style="12" customWidth="1"/>
    <col min="3073" max="3073" width="5.7109375" style="12" customWidth="1"/>
    <col min="3074" max="3074" width="7" style="12" customWidth="1"/>
    <col min="3075" max="3075" width="5.7109375" style="12" customWidth="1"/>
    <col min="3076" max="3076" width="7.7109375" style="12" customWidth="1"/>
    <col min="3077" max="3077" width="8.7109375" style="12" customWidth="1"/>
    <col min="3078" max="3078" width="7.7109375" style="12" customWidth="1"/>
    <col min="3079" max="3079" width="8.7109375" style="12" customWidth="1"/>
    <col min="3080" max="3080" width="16.28515625" style="12" customWidth="1"/>
    <col min="3081" max="3081" width="7.7109375" style="12" customWidth="1"/>
    <col min="3082" max="3082" width="8" style="12" customWidth="1"/>
    <col min="3083" max="3083" width="7.7109375" style="12" customWidth="1"/>
    <col min="3084" max="3084" width="8.7109375" style="12" customWidth="1"/>
    <col min="3085" max="3324" width="9.140625" style="12"/>
    <col min="3325" max="3325" width="18.140625" style="12" customWidth="1"/>
    <col min="3326" max="3326" width="15.85546875" style="12" customWidth="1"/>
    <col min="3327" max="3328" width="6.7109375" style="12" customWidth="1"/>
    <col min="3329" max="3329" width="5.7109375" style="12" customWidth="1"/>
    <col min="3330" max="3330" width="7" style="12" customWidth="1"/>
    <col min="3331" max="3331" width="5.7109375" style="12" customWidth="1"/>
    <col min="3332" max="3332" width="7.7109375" style="12" customWidth="1"/>
    <col min="3333" max="3333" width="8.7109375" style="12" customWidth="1"/>
    <col min="3334" max="3334" width="7.7109375" style="12" customWidth="1"/>
    <col min="3335" max="3335" width="8.7109375" style="12" customWidth="1"/>
    <col min="3336" max="3336" width="16.28515625" style="12" customWidth="1"/>
    <col min="3337" max="3337" width="7.7109375" style="12" customWidth="1"/>
    <col min="3338" max="3338" width="8" style="12" customWidth="1"/>
    <col min="3339" max="3339" width="7.7109375" style="12" customWidth="1"/>
    <col min="3340" max="3340" width="8.7109375" style="12" customWidth="1"/>
    <col min="3341" max="3580" width="9.140625" style="12"/>
    <col min="3581" max="3581" width="18.140625" style="12" customWidth="1"/>
    <col min="3582" max="3582" width="15.85546875" style="12" customWidth="1"/>
    <col min="3583" max="3584" width="6.7109375" style="12" customWidth="1"/>
    <col min="3585" max="3585" width="5.7109375" style="12" customWidth="1"/>
    <col min="3586" max="3586" width="7" style="12" customWidth="1"/>
    <col min="3587" max="3587" width="5.7109375" style="12" customWidth="1"/>
    <col min="3588" max="3588" width="7.7109375" style="12" customWidth="1"/>
    <col min="3589" max="3589" width="8.7109375" style="12" customWidth="1"/>
    <col min="3590" max="3590" width="7.7109375" style="12" customWidth="1"/>
    <col min="3591" max="3591" width="8.7109375" style="12" customWidth="1"/>
    <col min="3592" max="3592" width="16.28515625" style="12" customWidth="1"/>
    <col min="3593" max="3593" width="7.7109375" style="12" customWidth="1"/>
    <col min="3594" max="3594" width="8" style="12" customWidth="1"/>
    <col min="3595" max="3595" width="7.7109375" style="12" customWidth="1"/>
    <col min="3596" max="3596" width="8.7109375" style="12" customWidth="1"/>
    <col min="3597" max="3836" width="9.140625" style="12"/>
    <col min="3837" max="3837" width="18.140625" style="12" customWidth="1"/>
    <col min="3838" max="3838" width="15.85546875" style="12" customWidth="1"/>
    <col min="3839" max="3840" width="6.7109375" style="12" customWidth="1"/>
    <col min="3841" max="3841" width="5.7109375" style="12" customWidth="1"/>
    <col min="3842" max="3842" width="7" style="12" customWidth="1"/>
    <col min="3843" max="3843" width="5.7109375" style="12" customWidth="1"/>
    <col min="3844" max="3844" width="7.7109375" style="12" customWidth="1"/>
    <col min="3845" max="3845" width="8.7109375" style="12" customWidth="1"/>
    <col min="3846" max="3846" width="7.7109375" style="12" customWidth="1"/>
    <col min="3847" max="3847" width="8.7109375" style="12" customWidth="1"/>
    <col min="3848" max="3848" width="16.28515625" style="12" customWidth="1"/>
    <col min="3849" max="3849" width="7.7109375" style="12" customWidth="1"/>
    <col min="3850" max="3850" width="8" style="12" customWidth="1"/>
    <col min="3851" max="3851" width="7.7109375" style="12" customWidth="1"/>
    <col min="3852" max="3852" width="8.7109375" style="12" customWidth="1"/>
    <col min="3853" max="4092" width="9.140625" style="12"/>
    <col min="4093" max="4093" width="18.140625" style="12" customWidth="1"/>
    <col min="4094" max="4094" width="15.85546875" style="12" customWidth="1"/>
    <col min="4095" max="4096" width="6.7109375" style="12" customWidth="1"/>
    <col min="4097" max="4097" width="5.7109375" style="12" customWidth="1"/>
    <col min="4098" max="4098" width="7" style="12" customWidth="1"/>
    <col min="4099" max="4099" width="5.7109375" style="12" customWidth="1"/>
    <col min="4100" max="4100" width="7.7109375" style="12" customWidth="1"/>
    <col min="4101" max="4101" width="8.7109375" style="12" customWidth="1"/>
    <col min="4102" max="4102" width="7.7109375" style="12" customWidth="1"/>
    <col min="4103" max="4103" width="8.7109375" style="12" customWidth="1"/>
    <col min="4104" max="4104" width="16.28515625" style="12" customWidth="1"/>
    <col min="4105" max="4105" width="7.7109375" style="12" customWidth="1"/>
    <col min="4106" max="4106" width="8" style="12" customWidth="1"/>
    <col min="4107" max="4107" width="7.7109375" style="12" customWidth="1"/>
    <col min="4108" max="4108" width="8.7109375" style="12" customWidth="1"/>
    <col min="4109" max="4348" width="9.140625" style="12"/>
    <col min="4349" max="4349" width="18.140625" style="12" customWidth="1"/>
    <col min="4350" max="4350" width="15.85546875" style="12" customWidth="1"/>
    <col min="4351" max="4352" width="6.7109375" style="12" customWidth="1"/>
    <col min="4353" max="4353" width="5.7109375" style="12" customWidth="1"/>
    <col min="4354" max="4354" width="7" style="12" customWidth="1"/>
    <col min="4355" max="4355" width="5.7109375" style="12" customWidth="1"/>
    <col min="4356" max="4356" width="7.7109375" style="12" customWidth="1"/>
    <col min="4357" max="4357" width="8.7109375" style="12" customWidth="1"/>
    <col min="4358" max="4358" width="7.7109375" style="12" customWidth="1"/>
    <col min="4359" max="4359" width="8.7109375" style="12" customWidth="1"/>
    <col min="4360" max="4360" width="16.28515625" style="12" customWidth="1"/>
    <col min="4361" max="4361" width="7.7109375" style="12" customWidth="1"/>
    <col min="4362" max="4362" width="8" style="12" customWidth="1"/>
    <col min="4363" max="4363" width="7.7109375" style="12" customWidth="1"/>
    <col min="4364" max="4364" width="8.7109375" style="12" customWidth="1"/>
    <col min="4365" max="4604" width="9.140625" style="12"/>
    <col min="4605" max="4605" width="18.140625" style="12" customWidth="1"/>
    <col min="4606" max="4606" width="15.85546875" style="12" customWidth="1"/>
    <col min="4607" max="4608" width="6.7109375" style="12" customWidth="1"/>
    <col min="4609" max="4609" width="5.7109375" style="12" customWidth="1"/>
    <col min="4610" max="4610" width="7" style="12" customWidth="1"/>
    <col min="4611" max="4611" width="5.7109375" style="12" customWidth="1"/>
    <col min="4612" max="4612" width="7.7109375" style="12" customWidth="1"/>
    <col min="4613" max="4613" width="8.7109375" style="12" customWidth="1"/>
    <col min="4614" max="4614" width="7.7109375" style="12" customWidth="1"/>
    <col min="4615" max="4615" width="8.7109375" style="12" customWidth="1"/>
    <col min="4616" max="4616" width="16.28515625" style="12" customWidth="1"/>
    <col min="4617" max="4617" width="7.7109375" style="12" customWidth="1"/>
    <col min="4618" max="4618" width="8" style="12" customWidth="1"/>
    <col min="4619" max="4619" width="7.7109375" style="12" customWidth="1"/>
    <col min="4620" max="4620" width="8.7109375" style="12" customWidth="1"/>
    <col min="4621" max="4860" width="9.140625" style="12"/>
    <col min="4861" max="4861" width="18.140625" style="12" customWidth="1"/>
    <col min="4862" max="4862" width="15.85546875" style="12" customWidth="1"/>
    <col min="4863" max="4864" width="6.7109375" style="12" customWidth="1"/>
    <col min="4865" max="4865" width="5.7109375" style="12" customWidth="1"/>
    <col min="4866" max="4866" width="7" style="12" customWidth="1"/>
    <col min="4867" max="4867" width="5.7109375" style="12" customWidth="1"/>
    <col min="4868" max="4868" width="7.7109375" style="12" customWidth="1"/>
    <col min="4869" max="4869" width="8.7109375" style="12" customWidth="1"/>
    <col min="4870" max="4870" width="7.7109375" style="12" customWidth="1"/>
    <col min="4871" max="4871" width="8.7109375" style="12" customWidth="1"/>
    <col min="4872" max="4872" width="16.28515625" style="12" customWidth="1"/>
    <col min="4873" max="4873" width="7.7109375" style="12" customWidth="1"/>
    <col min="4874" max="4874" width="8" style="12" customWidth="1"/>
    <col min="4875" max="4875" width="7.7109375" style="12" customWidth="1"/>
    <col min="4876" max="4876" width="8.7109375" style="12" customWidth="1"/>
    <col min="4877" max="5116" width="9.140625" style="12"/>
    <col min="5117" max="5117" width="18.140625" style="12" customWidth="1"/>
    <col min="5118" max="5118" width="15.85546875" style="12" customWidth="1"/>
    <col min="5119" max="5120" width="6.7109375" style="12" customWidth="1"/>
    <col min="5121" max="5121" width="5.7109375" style="12" customWidth="1"/>
    <col min="5122" max="5122" width="7" style="12" customWidth="1"/>
    <col min="5123" max="5123" width="5.7109375" style="12" customWidth="1"/>
    <col min="5124" max="5124" width="7.7109375" style="12" customWidth="1"/>
    <col min="5125" max="5125" width="8.7109375" style="12" customWidth="1"/>
    <col min="5126" max="5126" width="7.7109375" style="12" customWidth="1"/>
    <col min="5127" max="5127" width="8.7109375" style="12" customWidth="1"/>
    <col min="5128" max="5128" width="16.28515625" style="12" customWidth="1"/>
    <col min="5129" max="5129" width="7.7109375" style="12" customWidth="1"/>
    <col min="5130" max="5130" width="8" style="12" customWidth="1"/>
    <col min="5131" max="5131" width="7.7109375" style="12" customWidth="1"/>
    <col min="5132" max="5132" width="8.7109375" style="12" customWidth="1"/>
    <col min="5133" max="5372" width="9.140625" style="12"/>
    <col min="5373" max="5373" width="18.140625" style="12" customWidth="1"/>
    <col min="5374" max="5374" width="15.85546875" style="12" customWidth="1"/>
    <col min="5375" max="5376" width="6.7109375" style="12" customWidth="1"/>
    <col min="5377" max="5377" width="5.7109375" style="12" customWidth="1"/>
    <col min="5378" max="5378" width="7" style="12" customWidth="1"/>
    <col min="5379" max="5379" width="5.7109375" style="12" customWidth="1"/>
    <col min="5380" max="5380" width="7.7109375" style="12" customWidth="1"/>
    <col min="5381" max="5381" width="8.7109375" style="12" customWidth="1"/>
    <col min="5382" max="5382" width="7.7109375" style="12" customWidth="1"/>
    <col min="5383" max="5383" width="8.7109375" style="12" customWidth="1"/>
    <col min="5384" max="5384" width="16.28515625" style="12" customWidth="1"/>
    <col min="5385" max="5385" width="7.7109375" style="12" customWidth="1"/>
    <col min="5386" max="5386" width="8" style="12" customWidth="1"/>
    <col min="5387" max="5387" width="7.7109375" style="12" customWidth="1"/>
    <col min="5388" max="5388" width="8.7109375" style="12" customWidth="1"/>
    <col min="5389" max="5628" width="9.140625" style="12"/>
    <col min="5629" max="5629" width="18.140625" style="12" customWidth="1"/>
    <col min="5630" max="5630" width="15.85546875" style="12" customWidth="1"/>
    <col min="5631" max="5632" width="6.7109375" style="12" customWidth="1"/>
    <col min="5633" max="5633" width="5.7109375" style="12" customWidth="1"/>
    <col min="5634" max="5634" width="7" style="12" customWidth="1"/>
    <col min="5635" max="5635" width="5.7109375" style="12" customWidth="1"/>
    <col min="5636" max="5636" width="7.7109375" style="12" customWidth="1"/>
    <col min="5637" max="5637" width="8.7109375" style="12" customWidth="1"/>
    <col min="5638" max="5638" width="7.7109375" style="12" customWidth="1"/>
    <col min="5639" max="5639" width="8.7109375" style="12" customWidth="1"/>
    <col min="5640" max="5640" width="16.28515625" style="12" customWidth="1"/>
    <col min="5641" max="5641" width="7.7109375" style="12" customWidth="1"/>
    <col min="5642" max="5642" width="8" style="12" customWidth="1"/>
    <col min="5643" max="5643" width="7.7109375" style="12" customWidth="1"/>
    <col min="5644" max="5644" width="8.7109375" style="12" customWidth="1"/>
    <col min="5645" max="5884" width="9.140625" style="12"/>
    <col min="5885" max="5885" width="18.140625" style="12" customWidth="1"/>
    <col min="5886" max="5886" width="15.85546875" style="12" customWidth="1"/>
    <col min="5887" max="5888" width="6.7109375" style="12" customWidth="1"/>
    <col min="5889" max="5889" width="5.7109375" style="12" customWidth="1"/>
    <col min="5890" max="5890" width="7" style="12" customWidth="1"/>
    <col min="5891" max="5891" width="5.7109375" style="12" customWidth="1"/>
    <col min="5892" max="5892" width="7.7109375" style="12" customWidth="1"/>
    <col min="5893" max="5893" width="8.7109375" style="12" customWidth="1"/>
    <col min="5894" max="5894" width="7.7109375" style="12" customWidth="1"/>
    <col min="5895" max="5895" width="8.7109375" style="12" customWidth="1"/>
    <col min="5896" max="5896" width="16.28515625" style="12" customWidth="1"/>
    <col min="5897" max="5897" width="7.7109375" style="12" customWidth="1"/>
    <col min="5898" max="5898" width="8" style="12" customWidth="1"/>
    <col min="5899" max="5899" width="7.7109375" style="12" customWidth="1"/>
    <col min="5900" max="5900" width="8.7109375" style="12" customWidth="1"/>
    <col min="5901" max="6140" width="9.140625" style="12"/>
    <col min="6141" max="6141" width="18.140625" style="12" customWidth="1"/>
    <col min="6142" max="6142" width="15.85546875" style="12" customWidth="1"/>
    <col min="6143" max="6144" width="6.7109375" style="12" customWidth="1"/>
    <col min="6145" max="6145" width="5.7109375" style="12" customWidth="1"/>
    <col min="6146" max="6146" width="7" style="12" customWidth="1"/>
    <col min="6147" max="6147" width="5.7109375" style="12" customWidth="1"/>
    <col min="6148" max="6148" width="7.7109375" style="12" customWidth="1"/>
    <col min="6149" max="6149" width="8.7109375" style="12" customWidth="1"/>
    <col min="6150" max="6150" width="7.7109375" style="12" customWidth="1"/>
    <col min="6151" max="6151" width="8.7109375" style="12" customWidth="1"/>
    <col min="6152" max="6152" width="16.28515625" style="12" customWidth="1"/>
    <col min="6153" max="6153" width="7.7109375" style="12" customWidth="1"/>
    <col min="6154" max="6154" width="8" style="12" customWidth="1"/>
    <col min="6155" max="6155" width="7.7109375" style="12" customWidth="1"/>
    <col min="6156" max="6156" width="8.7109375" style="12" customWidth="1"/>
    <col min="6157" max="6396" width="9.140625" style="12"/>
    <col min="6397" max="6397" width="18.140625" style="12" customWidth="1"/>
    <col min="6398" max="6398" width="15.85546875" style="12" customWidth="1"/>
    <col min="6399" max="6400" width="6.7109375" style="12" customWidth="1"/>
    <col min="6401" max="6401" width="5.7109375" style="12" customWidth="1"/>
    <col min="6402" max="6402" width="7" style="12" customWidth="1"/>
    <col min="6403" max="6403" width="5.7109375" style="12" customWidth="1"/>
    <col min="6404" max="6404" width="7.7109375" style="12" customWidth="1"/>
    <col min="6405" max="6405" width="8.7109375" style="12" customWidth="1"/>
    <col min="6406" max="6406" width="7.7109375" style="12" customWidth="1"/>
    <col min="6407" max="6407" width="8.7109375" style="12" customWidth="1"/>
    <col min="6408" max="6408" width="16.28515625" style="12" customWidth="1"/>
    <col min="6409" max="6409" width="7.7109375" style="12" customWidth="1"/>
    <col min="6410" max="6410" width="8" style="12" customWidth="1"/>
    <col min="6411" max="6411" width="7.7109375" style="12" customWidth="1"/>
    <col min="6412" max="6412" width="8.7109375" style="12" customWidth="1"/>
    <col min="6413" max="6652" width="9.140625" style="12"/>
    <col min="6653" max="6653" width="18.140625" style="12" customWidth="1"/>
    <col min="6654" max="6654" width="15.85546875" style="12" customWidth="1"/>
    <col min="6655" max="6656" width="6.7109375" style="12" customWidth="1"/>
    <col min="6657" max="6657" width="5.7109375" style="12" customWidth="1"/>
    <col min="6658" max="6658" width="7" style="12" customWidth="1"/>
    <col min="6659" max="6659" width="5.7109375" style="12" customWidth="1"/>
    <col min="6660" max="6660" width="7.7109375" style="12" customWidth="1"/>
    <col min="6661" max="6661" width="8.7109375" style="12" customWidth="1"/>
    <col min="6662" max="6662" width="7.7109375" style="12" customWidth="1"/>
    <col min="6663" max="6663" width="8.7109375" style="12" customWidth="1"/>
    <col min="6664" max="6664" width="16.28515625" style="12" customWidth="1"/>
    <col min="6665" max="6665" width="7.7109375" style="12" customWidth="1"/>
    <col min="6666" max="6666" width="8" style="12" customWidth="1"/>
    <col min="6667" max="6667" width="7.7109375" style="12" customWidth="1"/>
    <col min="6668" max="6668" width="8.7109375" style="12" customWidth="1"/>
    <col min="6669" max="6908" width="9.140625" style="12"/>
    <col min="6909" max="6909" width="18.140625" style="12" customWidth="1"/>
    <col min="6910" max="6910" width="15.85546875" style="12" customWidth="1"/>
    <col min="6911" max="6912" width="6.7109375" style="12" customWidth="1"/>
    <col min="6913" max="6913" width="5.7109375" style="12" customWidth="1"/>
    <col min="6914" max="6914" width="7" style="12" customWidth="1"/>
    <col min="6915" max="6915" width="5.7109375" style="12" customWidth="1"/>
    <col min="6916" max="6916" width="7.7109375" style="12" customWidth="1"/>
    <col min="6917" max="6917" width="8.7109375" style="12" customWidth="1"/>
    <col min="6918" max="6918" width="7.7109375" style="12" customWidth="1"/>
    <col min="6919" max="6919" width="8.7109375" style="12" customWidth="1"/>
    <col min="6920" max="6920" width="16.28515625" style="12" customWidth="1"/>
    <col min="6921" max="6921" width="7.7109375" style="12" customWidth="1"/>
    <col min="6922" max="6922" width="8" style="12" customWidth="1"/>
    <col min="6923" max="6923" width="7.7109375" style="12" customWidth="1"/>
    <col min="6924" max="6924" width="8.7109375" style="12" customWidth="1"/>
    <col min="6925" max="7164" width="9.140625" style="12"/>
    <col min="7165" max="7165" width="18.140625" style="12" customWidth="1"/>
    <col min="7166" max="7166" width="15.85546875" style="12" customWidth="1"/>
    <col min="7167" max="7168" width="6.7109375" style="12" customWidth="1"/>
    <col min="7169" max="7169" width="5.7109375" style="12" customWidth="1"/>
    <col min="7170" max="7170" width="7" style="12" customWidth="1"/>
    <col min="7171" max="7171" width="5.7109375" style="12" customWidth="1"/>
    <col min="7172" max="7172" width="7.7109375" style="12" customWidth="1"/>
    <col min="7173" max="7173" width="8.7109375" style="12" customWidth="1"/>
    <col min="7174" max="7174" width="7.7109375" style="12" customWidth="1"/>
    <col min="7175" max="7175" width="8.7109375" style="12" customWidth="1"/>
    <col min="7176" max="7176" width="16.28515625" style="12" customWidth="1"/>
    <col min="7177" max="7177" width="7.7109375" style="12" customWidth="1"/>
    <col min="7178" max="7178" width="8" style="12" customWidth="1"/>
    <col min="7179" max="7179" width="7.7109375" style="12" customWidth="1"/>
    <col min="7180" max="7180" width="8.7109375" style="12" customWidth="1"/>
    <col min="7181" max="7420" width="9.140625" style="12"/>
    <col min="7421" max="7421" width="18.140625" style="12" customWidth="1"/>
    <col min="7422" max="7422" width="15.85546875" style="12" customWidth="1"/>
    <col min="7423" max="7424" width="6.7109375" style="12" customWidth="1"/>
    <col min="7425" max="7425" width="5.7109375" style="12" customWidth="1"/>
    <col min="7426" max="7426" width="7" style="12" customWidth="1"/>
    <col min="7427" max="7427" width="5.7109375" style="12" customWidth="1"/>
    <col min="7428" max="7428" width="7.7109375" style="12" customWidth="1"/>
    <col min="7429" max="7429" width="8.7109375" style="12" customWidth="1"/>
    <col min="7430" max="7430" width="7.7109375" style="12" customWidth="1"/>
    <col min="7431" max="7431" width="8.7109375" style="12" customWidth="1"/>
    <col min="7432" max="7432" width="16.28515625" style="12" customWidth="1"/>
    <col min="7433" max="7433" width="7.7109375" style="12" customWidth="1"/>
    <col min="7434" max="7434" width="8" style="12" customWidth="1"/>
    <col min="7435" max="7435" width="7.7109375" style="12" customWidth="1"/>
    <col min="7436" max="7436" width="8.7109375" style="12" customWidth="1"/>
    <col min="7437" max="7676" width="9.140625" style="12"/>
    <col min="7677" max="7677" width="18.140625" style="12" customWidth="1"/>
    <col min="7678" max="7678" width="15.85546875" style="12" customWidth="1"/>
    <col min="7679" max="7680" width="6.7109375" style="12" customWidth="1"/>
    <col min="7681" max="7681" width="5.7109375" style="12" customWidth="1"/>
    <col min="7682" max="7682" width="7" style="12" customWidth="1"/>
    <col min="7683" max="7683" width="5.7109375" style="12" customWidth="1"/>
    <col min="7684" max="7684" width="7.7109375" style="12" customWidth="1"/>
    <col min="7685" max="7685" width="8.7109375" style="12" customWidth="1"/>
    <col min="7686" max="7686" width="7.7109375" style="12" customWidth="1"/>
    <col min="7687" max="7687" width="8.7109375" style="12" customWidth="1"/>
    <col min="7688" max="7688" width="16.28515625" style="12" customWidth="1"/>
    <col min="7689" max="7689" width="7.7109375" style="12" customWidth="1"/>
    <col min="7690" max="7690" width="8" style="12" customWidth="1"/>
    <col min="7691" max="7691" width="7.7109375" style="12" customWidth="1"/>
    <col min="7692" max="7692" width="8.7109375" style="12" customWidth="1"/>
    <col min="7693" max="7932" width="9.140625" style="12"/>
    <col min="7933" max="7933" width="18.140625" style="12" customWidth="1"/>
    <col min="7934" max="7934" width="15.85546875" style="12" customWidth="1"/>
    <col min="7935" max="7936" width="6.7109375" style="12" customWidth="1"/>
    <col min="7937" max="7937" width="5.7109375" style="12" customWidth="1"/>
    <col min="7938" max="7938" width="7" style="12" customWidth="1"/>
    <col min="7939" max="7939" width="5.7109375" style="12" customWidth="1"/>
    <col min="7940" max="7940" width="7.7109375" style="12" customWidth="1"/>
    <col min="7941" max="7941" width="8.7109375" style="12" customWidth="1"/>
    <col min="7942" max="7942" width="7.7109375" style="12" customWidth="1"/>
    <col min="7943" max="7943" width="8.7109375" style="12" customWidth="1"/>
    <col min="7944" max="7944" width="16.28515625" style="12" customWidth="1"/>
    <col min="7945" max="7945" width="7.7109375" style="12" customWidth="1"/>
    <col min="7946" max="7946" width="8" style="12" customWidth="1"/>
    <col min="7947" max="7947" width="7.7109375" style="12" customWidth="1"/>
    <col min="7948" max="7948" width="8.7109375" style="12" customWidth="1"/>
    <col min="7949" max="8188" width="9.140625" style="12"/>
    <col min="8189" max="8189" width="18.140625" style="12" customWidth="1"/>
    <col min="8190" max="8190" width="15.85546875" style="12" customWidth="1"/>
    <col min="8191" max="8192" width="6.7109375" style="12" customWidth="1"/>
    <col min="8193" max="8193" width="5.7109375" style="12" customWidth="1"/>
    <col min="8194" max="8194" width="7" style="12" customWidth="1"/>
    <col min="8195" max="8195" width="5.7109375" style="12" customWidth="1"/>
    <col min="8196" max="8196" width="7.7109375" style="12" customWidth="1"/>
    <col min="8197" max="8197" width="8.7109375" style="12" customWidth="1"/>
    <col min="8198" max="8198" width="7.7109375" style="12" customWidth="1"/>
    <col min="8199" max="8199" width="8.7109375" style="12" customWidth="1"/>
    <col min="8200" max="8200" width="16.28515625" style="12" customWidth="1"/>
    <col min="8201" max="8201" width="7.7109375" style="12" customWidth="1"/>
    <col min="8202" max="8202" width="8" style="12" customWidth="1"/>
    <col min="8203" max="8203" width="7.7109375" style="12" customWidth="1"/>
    <col min="8204" max="8204" width="8.7109375" style="12" customWidth="1"/>
    <col min="8205" max="8444" width="9.140625" style="12"/>
    <col min="8445" max="8445" width="18.140625" style="12" customWidth="1"/>
    <col min="8446" max="8446" width="15.85546875" style="12" customWidth="1"/>
    <col min="8447" max="8448" width="6.7109375" style="12" customWidth="1"/>
    <col min="8449" max="8449" width="5.7109375" style="12" customWidth="1"/>
    <col min="8450" max="8450" width="7" style="12" customWidth="1"/>
    <col min="8451" max="8451" width="5.7109375" style="12" customWidth="1"/>
    <col min="8452" max="8452" width="7.7109375" style="12" customWidth="1"/>
    <col min="8453" max="8453" width="8.7109375" style="12" customWidth="1"/>
    <col min="8454" max="8454" width="7.7109375" style="12" customWidth="1"/>
    <col min="8455" max="8455" width="8.7109375" style="12" customWidth="1"/>
    <col min="8456" max="8456" width="16.28515625" style="12" customWidth="1"/>
    <col min="8457" max="8457" width="7.7109375" style="12" customWidth="1"/>
    <col min="8458" max="8458" width="8" style="12" customWidth="1"/>
    <col min="8459" max="8459" width="7.7109375" style="12" customWidth="1"/>
    <col min="8460" max="8460" width="8.7109375" style="12" customWidth="1"/>
    <col min="8461" max="8700" width="9.140625" style="12"/>
    <col min="8701" max="8701" width="18.140625" style="12" customWidth="1"/>
    <col min="8702" max="8702" width="15.85546875" style="12" customWidth="1"/>
    <col min="8703" max="8704" width="6.7109375" style="12" customWidth="1"/>
    <col min="8705" max="8705" width="5.7109375" style="12" customWidth="1"/>
    <col min="8706" max="8706" width="7" style="12" customWidth="1"/>
    <col min="8707" max="8707" width="5.7109375" style="12" customWidth="1"/>
    <col min="8708" max="8708" width="7.7109375" style="12" customWidth="1"/>
    <col min="8709" max="8709" width="8.7109375" style="12" customWidth="1"/>
    <col min="8710" max="8710" width="7.7109375" style="12" customWidth="1"/>
    <col min="8711" max="8711" width="8.7109375" style="12" customWidth="1"/>
    <col min="8712" max="8712" width="16.28515625" style="12" customWidth="1"/>
    <col min="8713" max="8713" width="7.7109375" style="12" customWidth="1"/>
    <col min="8714" max="8714" width="8" style="12" customWidth="1"/>
    <col min="8715" max="8715" width="7.7109375" style="12" customWidth="1"/>
    <col min="8716" max="8716" width="8.7109375" style="12" customWidth="1"/>
    <col min="8717" max="8956" width="9.140625" style="12"/>
    <col min="8957" max="8957" width="18.140625" style="12" customWidth="1"/>
    <col min="8958" max="8958" width="15.85546875" style="12" customWidth="1"/>
    <col min="8959" max="8960" width="6.7109375" style="12" customWidth="1"/>
    <col min="8961" max="8961" width="5.7109375" style="12" customWidth="1"/>
    <col min="8962" max="8962" width="7" style="12" customWidth="1"/>
    <col min="8963" max="8963" width="5.7109375" style="12" customWidth="1"/>
    <col min="8964" max="8964" width="7.7109375" style="12" customWidth="1"/>
    <col min="8965" max="8965" width="8.7109375" style="12" customWidth="1"/>
    <col min="8966" max="8966" width="7.7109375" style="12" customWidth="1"/>
    <col min="8967" max="8967" width="8.7109375" style="12" customWidth="1"/>
    <col min="8968" max="8968" width="16.28515625" style="12" customWidth="1"/>
    <col min="8969" max="8969" width="7.7109375" style="12" customWidth="1"/>
    <col min="8970" max="8970" width="8" style="12" customWidth="1"/>
    <col min="8971" max="8971" width="7.7109375" style="12" customWidth="1"/>
    <col min="8972" max="8972" width="8.7109375" style="12" customWidth="1"/>
    <col min="8973" max="9212" width="9.140625" style="12"/>
    <col min="9213" max="9213" width="18.140625" style="12" customWidth="1"/>
    <col min="9214" max="9214" width="15.85546875" style="12" customWidth="1"/>
    <col min="9215" max="9216" width="6.7109375" style="12" customWidth="1"/>
    <col min="9217" max="9217" width="5.7109375" style="12" customWidth="1"/>
    <col min="9218" max="9218" width="7" style="12" customWidth="1"/>
    <col min="9219" max="9219" width="5.7109375" style="12" customWidth="1"/>
    <col min="9220" max="9220" width="7.7109375" style="12" customWidth="1"/>
    <col min="9221" max="9221" width="8.7109375" style="12" customWidth="1"/>
    <col min="9222" max="9222" width="7.7109375" style="12" customWidth="1"/>
    <col min="9223" max="9223" width="8.7109375" style="12" customWidth="1"/>
    <col min="9224" max="9224" width="16.28515625" style="12" customWidth="1"/>
    <col min="9225" max="9225" width="7.7109375" style="12" customWidth="1"/>
    <col min="9226" max="9226" width="8" style="12" customWidth="1"/>
    <col min="9227" max="9227" width="7.7109375" style="12" customWidth="1"/>
    <col min="9228" max="9228" width="8.7109375" style="12" customWidth="1"/>
    <col min="9229" max="9468" width="9.140625" style="12"/>
    <col min="9469" max="9469" width="18.140625" style="12" customWidth="1"/>
    <col min="9470" max="9470" width="15.85546875" style="12" customWidth="1"/>
    <col min="9471" max="9472" width="6.7109375" style="12" customWidth="1"/>
    <col min="9473" max="9473" width="5.7109375" style="12" customWidth="1"/>
    <col min="9474" max="9474" width="7" style="12" customWidth="1"/>
    <col min="9475" max="9475" width="5.7109375" style="12" customWidth="1"/>
    <col min="9476" max="9476" width="7.7109375" style="12" customWidth="1"/>
    <col min="9477" max="9477" width="8.7109375" style="12" customWidth="1"/>
    <col min="9478" max="9478" width="7.7109375" style="12" customWidth="1"/>
    <col min="9479" max="9479" width="8.7109375" style="12" customWidth="1"/>
    <col min="9480" max="9480" width="16.28515625" style="12" customWidth="1"/>
    <col min="9481" max="9481" width="7.7109375" style="12" customWidth="1"/>
    <col min="9482" max="9482" width="8" style="12" customWidth="1"/>
    <col min="9483" max="9483" width="7.7109375" style="12" customWidth="1"/>
    <col min="9484" max="9484" width="8.7109375" style="12" customWidth="1"/>
    <col min="9485" max="9724" width="9.140625" style="12"/>
    <col min="9725" max="9725" width="18.140625" style="12" customWidth="1"/>
    <col min="9726" max="9726" width="15.85546875" style="12" customWidth="1"/>
    <col min="9727" max="9728" width="6.7109375" style="12" customWidth="1"/>
    <col min="9729" max="9729" width="5.7109375" style="12" customWidth="1"/>
    <col min="9730" max="9730" width="7" style="12" customWidth="1"/>
    <col min="9731" max="9731" width="5.7109375" style="12" customWidth="1"/>
    <col min="9732" max="9732" width="7.7109375" style="12" customWidth="1"/>
    <col min="9733" max="9733" width="8.7109375" style="12" customWidth="1"/>
    <col min="9734" max="9734" width="7.7109375" style="12" customWidth="1"/>
    <col min="9735" max="9735" width="8.7109375" style="12" customWidth="1"/>
    <col min="9736" max="9736" width="16.28515625" style="12" customWidth="1"/>
    <col min="9737" max="9737" width="7.7109375" style="12" customWidth="1"/>
    <col min="9738" max="9738" width="8" style="12" customWidth="1"/>
    <col min="9739" max="9739" width="7.7109375" style="12" customWidth="1"/>
    <col min="9740" max="9740" width="8.7109375" style="12" customWidth="1"/>
    <col min="9741" max="9980" width="9.140625" style="12"/>
    <col min="9981" max="9981" width="18.140625" style="12" customWidth="1"/>
    <col min="9982" max="9982" width="15.85546875" style="12" customWidth="1"/>
    <col min="9983" max="9984" width="6.7109375" style="12" customWidth="1"/>
    <col min="9985" max="9985" width="5.7109375" style="12" customWidth="1"/>
    <col min="9986" max="9986" width="7" style="12" customWidth="1"/>
    <col min="9987" max="9987" width="5.7109375" style="12" customWidth="1"/>
    <col min="9988" max="9988" width="7.7109375" style="12" customWidth="1"/>
    <col min="9989" max="9989" width="8.7109375" style="12" customWidth="1"/>
    <col min="9990" max="9990" width="7.7109375" style="12" customWidth="1"/>
    <col min="9991" max="9991" width="8.7109375" style="12" customWidth="1"/>
    <col min="9992" max="9992" width="16.28515625" style="12" customWidth="1"/>
    <col min="9993" max="9993" width="7.7109375" style="12" customWidth="1"/>
    <col min="9994" max="9994" width="8" style="12" customWidth="1"/>
    <col min="9995" max="9995" width="7.7109375" style="12" customWidth="1"/>
    <col min="9996" max="9996" width="8.7109375" style="12" customWidth="1"/>
    <col min="9997" max="10236" width="9.140625" style="12"/>
    <col min="10237" max="10237" width="18.140625" style="12" customWidth="1"/>
    <col min="10238" max="10238" width="15.85546875" style="12" customWidth="1"/>
    <col min="10239" max="10240" width="6.7109375" style="12" customWidth="1"/>
    <col min="10241" max="10241" width="5.7109375" style="12" customWidth="1"/>
    <col min="10242" max="10242" width="7" style="12" customWidth="1"/>
    <col min="10243" max="10243" width="5.7109375" style="12" customWidth="1"/>
    <col min="10244" max="10244" width="7.7109375" style="12" customWidth="1"/>
    <col min="10245" max="10245" width="8.7109375" style="12" customWidth="1"/>
    <col min="10246" max="10246" width="7.7109375" style="12" customWidth="1"/>
    <col min="10247" max="10247" width="8.7109375" style="12" customWidth="1"/>
    <col min="10248" max="10248" width="16.28515625" style="12" customWidth="1"/>
    <col min="10249" max="10249" width="7.7109375" style="12" customWidth="1"/>
    <col min="10250" max="10250" width="8" style="12" customWidth="1"/>
    <col min="10251" max="10251" width="7.7109375" style="12" customWidth="1"/>
    <col min="10252" max="10252" width="8.7109375" style="12" customWidth="1"/>
    <col min="10253" max="10492" width="9.140625" style="12"/>
    <col min="10493" max="10493" width="18.140625" style="12" customWidth="1"/>
    <col min="10494" max="10494" width="15.85546875" style="12" customWidth="1"/>
    <col min="10495" max="10496" width="6.7109375" style="12" customWidth="1"/>
    <col min="10497" max="10497" width="5.7109375" style="12" customWidth="1"/>
    <col min="10498" max="10498" width="7" style="12" customWidth="1"/>
    <col min="10499" max="10499" width="5.7109375" style="12" customWidth="1"/>
    <col min="10500" max="10500" width="7.7109375" style="12" customWidth="1"/>
    <col min="10501" max="10501" width="8.7109375" style="12" customWidth="1"/>
    <col min="10502" max="10502" width="7.7109375" style="12" customWidth="1"/>
    <col min="10503" max="10503" width="8.7109375" style="12" customWidth="1"/>
    <col min="10504" max="10504" width="16.28515625" style="12" customWidth="1"/>
    <col min="10505" max="10505" width="7.7109375" style="12" customWidth="1"/>
    <col min="10506" max="10506" width="8" style="12" customWidth="1"/>
    <col min="10507" max="10507" width="7.7109375" style="12" customWidth="1"/>
    <col min="10508" max="10508" width="8.7109375" style="12" customWidth="1"/>
    <col min="10509" max="10748" width="9.140625" style="12"/>
    <col min="10749" max="10749" width="18.140625" style="12" customWidth="1"/>
    <col min="10750" max="10750" width="15.85546875" style="12" customWidth="1"/>
    <col min="10751" max="10752" width="6.7109375" style="12" customWidth="1"/>
    <col min="10753" max="10753" width="5.7109375" style="12" customWidth="1"/>
    <col min="10754" max="10754" width="7" style="12" customWidth="1"/>
    <col min="10755" max="10755" width="5.7109375" style="12" customWidth="1"/>
    <col min="10756" max="10756" width="7.7109375" style="12" customWidth="1"/>
    <col min="10757" max="10757" width="8.7109375" style="12" customWidth="1"/>
    <col min="10758" max="10758" width="7.7109375" style="12" customWidth="1"/>
    <col min="10759" max="10759" width="8.7109375" style="12" customWidth="1"/>
    <col min="10760" max="10760" width="16.28515625" style="12" customWidth="1"/>
    <col min="10761" max="10761" width="7.7109375" style="12" customWidth="1"/>
    <col min="10762" max="10762" width="8" style="12" customWidth="1"/>
    <col min="10763" max="10763" width="7.7109375" style="12" customWidth="1"/>
    <col min="10764" max="10764" width="8.7109375" style="12" customWidth="1"/>
    <col min="10765" max="11004" width="9.140625" style="12"/>
    <col min="11005" max="11005" width="18.140625" style="12" customWidth="1"/>
    <col min="11006" max="11006" width="15.85546875" style="12" customWidth="1"/>
    <col min="11007" max="11008" width="6.7109375" style="12" customWidth="1"/>
    <col min="11009" max="11009" width="5.7109375" style="12" customWidth="1"/>
    <col min="11010" max="11010" width="7" style="12" customWidth="1"/>
    <col min="11011" max="11011" width="5.7109375" style="12" customWidth="1"/>
    <col min="11012" max="11012" width="7.7109375" style="12" customWidth="1"/>
    <col min="11013" max="11013" width="8.7109375" style="12" customWidth="1"/>
    <col min="11014" max="11014" width="7.7109375" style="12" customWidth="1"/>
    <col min="11015" max="11015" width="8.7109375" style="12" customWidth="1"/>
    <col min="11016" max="11016" width="16.28515625" style="12" customWidth="1"/>
    <col min="11017" max="11017" width="7.7109375" style="12" customWidth="1"/>
    <col min="11018" max="11018" width="8" style="12" customWidth="1"/>
    <col min="11019" max="11019" width="7.7109375" style="12" customWidth="1"/>
    <col min="11020" max="11020" width="8.7109375" style="12" customWidth="1"/>
    <col min="11021" max="11260" width="9.140625" style="12"/>
    <col min="11261" max="11261" width="18.140625" style="12" customWidth="1"/>
    <col min="11262" max="11262" width="15.85546875" style="12" customWidth="1"/>
    <col min="11263" max="11264" width="6.7109375" style="12" customWidth="1"/>
    <col min="11265" max="11265" width="5.7109375" style="12" customWidth="1"/>
    <col min="11266" max="11266" width="7" style="12" customWidth="1"/>
    <col min="11267" max="11267" width="5.7109375" style="12" customWidth="1"/>
    <col min="11268" max="11268" width="7.7109375" style="12" customWidth="1"/>
    <col min="11269" max="11269" width="8.7109375" style="12" customWidth="1"/>
    <col min="11270" max="11270" width="7.7109375" style="12" customWidth="1"/>
    <col min="11271" max="11271" width="8.7109375" style="12" customWidth="1"/>
    <col min="11272" max="11272" width="16.28515625" style="12" customWidth="1"/>
    <col min="11273" max="11273" width="7.7109375" style="12" customWidth="1"/>
    <col min="11274" max="11274" width="8" style="12" customWidth="1"/>
    <col min="11275" max="11275" width="7.7109375" style="12" customWidth="1"/>
    <col min="11276" max="11276" width="8.7109375" style="12" customWidth="1"/>
    <col min="11277" max="11516" width="9.140625" style="12"/>
    <col min="11517" max="11517" width="18.140625" style="12" customWidth="1"/>
    <col min="11518" max="11518" width="15.85546875" style="12" customWidth="1"/>
    <col min="11519" max="11520" width="6.7109375" style="12" customWidth="1"/>
    <col min="11521" max="11521" width="5.7109375" style="12" customWidth="1"/>
    <col min="11522" max="11522" width="7" style="12" customWidth="1"/>
    <col min="11523" max="11523" width="5.7109375" style="12" customWidth="1"/>
    <col min="11524" max="11524" width="7.7109375" style="12" customWidth="1"/>
    <col min="11525" max="11525" width="8.7109375" style="12" customWidth="1"/>
    <col min="11526" max="11526" width="7.7109375" style="12" customWidth="1"/>
    <col min="11527" max="11527" width="8.7109375" style="12" customWidth="1"/>
    <col min="11528" max="11528" width="16.28515625" style="12" customWidth="1"/>
    <col min="11529" max="11529" width="7.7109375" style="12" customWidth="1"/>
    <col min="11530" max="11530" width="8" style="12" customWidth="1"/>
    <col min="11531" max="11531" width="7.7109375" style="12" customWidth="1"/>
    <col min="11532" max="11532" width="8.7109375" style="12" customWidth="1"/>
    <col min="11533" max="11772" width="9.140625" style="12"/>
    <col min="11773" max="11773" width="18.140625" style="12" customWidth="1"/>
    <col min="11774" max="11774" width="15.85546875" style="12" customWidth="1"/>
    <col min="11775" max="11776" width="6.7109375" style="12" customWidth="1"/>
    <col min="11777" max="11777" width="5.7109375" style="12" customWidth="1"/>
    <col min="11778" max="11778" width="7" style="12" customWidth="1"/>
    <col min="11779" max="11779" width="5.7109375" style="12" customWidth="1"/>
    <col min="11780" max="11780" width="7.7109375" style="12" customWidth="1"/>
    <col min="11781" max="11781" width="8.7109375" style="12" customWidth="1"/>
    <col min="11782" max="11782" width="7.7109375" style="12" customWidth="1"/>
    <col min="11783" max="11783" width="8.7109375" style="12" customWidth="1"/>
    <col min="11784" max="11784" width="16.28515625" style="12" customWidth="1"/>
    <col min="11785" max="11785" width="7.7109375" style="12" customWidth="1"/>
    <col min="11786" max="11786" width="8" style="12" customWidth="1"/>
    <col min="11787" max="11787" width="7.7109375" style="12" customWidth="1"/>
    <col min="11788" max="11788" width="8.7109375" style="12" customWidth="1"/>
    <col min="11789" max="12028" width="9.140625" style="12"/>
    <col min="12029" max="12029" width="18.140625" style="12" customWidth="1"/>
    <col min="12030" max="12030" width="15.85546875" style="12" customWidth="1"/>
    <col min="12031" max="12032" width="6.7109375" style="12" customWidth="1"/>
    <col min="12033" max="12033" width="5.7109375" style="12" customWidth="1"/>
    <col min="12034" max="12034" width="7" style="12" customWidth="1"/>
    <col min="12035" max="12035" width="5.7109375" style="12" customWidth="1"/>
    <col min="12036" max="12036" width="7.7109375" style="12" customWidth="1"/>
    <col min="12037" max="12037" width="8.7109375" style="12" customWidth="1"/>
    <col min="12038" max="12038" width="7.7109375" style="12" customWidth="1"/>
    <col min="12039" max="12039" width="8.7109375" style="12" customWidth="1"/>
    <col min="12040" max="12040" width="16.28515625" style="12" customWidth="1"/>
    <col min="12041" max="12041" width="7.7109375" style="12" customWidth="1"/>
    <col min="12042" max="12042" width="8" style="12" customWidth="1"/>
    <col min="12043" max="12043" width="7.7109375" style="12" customWidth="1"/>
    <col min="12044" max="12044" width="8.7109375" style="12" customWidth="1"/>
    <col min="12045" max="12284" width="9.140625" style="12"/>
    <col min="12285" max="12285" width="18.140625" style="12" customWidth="1"/>
    <col min="12286" max="12286" width="15.85546875" style="12" customWidth="1"/>
    <col min="12287" max="12288" width="6.7109375" style="12" customWidth="1"/>
    <col min="12289" max="12289" width="5.7109375" style="12" customWidth="1"/>
    <col min="12290" max="12290" width="7" style="12" customWidth="1"/>
    <col min="12291" max="12291" width="5.7109375" style="12" customWidth="1"/>
    <col min="12292" max="12292" width="7.7109375" style="12" customWidth="1"/>
    <col min="12293" max="12293" width="8.7109375" style="12" customWidth="1"/>
    <col min="12294" max="12294" width="7.7109375" style="12" customWidth="1"/>
    <col min="12295" max="12295" width="8.7109375" style="12" customWidth="1"/>
    <col min="12296" max="12296" width="16.28515625" style="12" customWidth="1"/>
    <col min="12297" max="12297" width="7.7109375" style="12" customWidth="1"/>
    <col min="12298" max="12298" width="8" style="12" customWidth="1"/>
    <col min="12299" max="12299" width="7.7109375" style="12" customWidth="1"/>
    <col min="12300" max="12300" width="8.7109375" style="12" customWidth="1"/>
    <col min="12301" max="12540" width="9.140625" style="12"/>
    <col min="12541" max="12541" width="18.140625" style="12" customWidth="1"/>
    <col min="12542" max="12542" width="15.85546875" style="12" customWidth="1"/>
    <col min="12543" max="12544" width="6.7109375" style="12" customWidth="1"/>
    <col min="12545" max="12545" width="5.7109375" style="12" customWidth="1"/>
    <col min="12546" max="12546" width="7" style="12" customWidth="1"/>
    <col min="12547" max="12547" width="5.7109375" style="12" customWidth="1"/>
    <col min="12548" max="12548" width="7.7109375" style="12" customWidth="1"/>
    <col min="12549" max="12549" width="8.7109375" style="12" customWidth="1"/>
    <col min="12550" max="12550" width="7.7109375" style="12" customWidth="1"/>
    <col min="12551" max="12551" width="8.7109375" style="12" customWidth="1"/>
    <col min="12552" max="12552" width="16.28515625" style="12" customWidth="1"/>
    <col min="12553" max="12553" width="7.7109375" style="12" customWidth="1"/>
    <col min="12554" max="12554" width="8" style="12" customWidth="1"/>
    <col min="12555" max="12555" width="7.7109375" style="12" customWidth="1"/>
    <col min="12556" max="12556" width="8.7109375" style="12" customWidth="1"/>
    <col min="12557" max="12796" width="9.140625" style="12"/>
    <col min="12797" max="12797" width="18.140625" style="12" customWidth="1"/>
    <col min="12798" max="12798" width="15.85546875" style="12" customWidth="1"/>
    <col min="12799" max="12800" width="6.7109375" style="12" customWidth="1"/>
    <col min="12801" max="12801" width="5.7109375" style="12" customWidth="1"/>
    <col min="12802" max="12802" width="7" style="12" customWidth="1"/>
    <col min="12803" max="12803" width="5.7109375" style="12" customWidth="1"/>
    <col min="12804" max="12804" width="7.7109375" style="12" customWidth="1"/>
    <col min="12805" max="12805" width="8.7109375" style="12" customWidth="1"/>
    <col min="12806" max="12806" width="7.7109375" style="12" customWidth="1"/>
    <col min="12807" max="12807" width="8.7109375" style="12" customWidth="1"/>
    <col min="12808" max="12808" width="16.28515625" style="12" customWidth="1"/>
    <col min="12809" max="12809" width="7.7109375" style="12" customWidth="1"/>
    <col min="12810" max="12810" width="8" style="12" customWidth="1"/>
    <col min="12811" max="12811" width="7.7109375" style="12" customWidth="1"/>
    <col min="12812" max="12812" width="8.7109375" style="12" customWidth="1"/>
    <col min="12813" max="13052" width="9.140625" style="12"/>
    <col min="13053" max="13053" width="18.140625" style="12" customWidth="1"/>
    <col min="13054" max="13054" width="15.85546875" style="12" customWidth="1"/>
    <col min="13055" max="13056" width="6.7109375" style="12" customWidth="1"/>
    <col min="13057" max="13057" width="5.7109375" style="12" customWidth="1"/>
    <col min="13058" max="13058" width="7" style="12" customWidth="1"/>
    <col min="13059" max="13059" width="5.7109375" style="12" customWidth="1"/>
    <col min="13060" max="13060" width="7.7109375" style="12" customWidth="1"/>
    <col min="13061" max="13061" width="8.7109375" style="12" customWidth="1"/>
    <col min="13062" max="13062" width="7.7109375" style="12" customWidth="1"/>
    <col min="13063" max="13063" width="8.7109375" style="12" customWidth="1"/>
    <col min="13064" max="13064" width="16.28515625" style="12" customWidth="1"/>
    <col min="13065" max="13065" width="7.7109375" style="12" customWidth="1"/>
    <col min="13066" max="13066" width="8" style="12" customWidth="1"/>
    <col min="13067" max="13067" width="7.7109375" style="12" customWidth="1"/>
    <col min="13068" max="13068" width="8.7109375" style="12" customWidth="1"/>
    <col min="13069" max="13308" width="9.140625" style="12"/>
    <col min="13309" max="13309" width="18.140625" style="12" customWidth="1"/>
    <col min="13310" max="13310" width="15.85546875" style="12" customWidth="1"/>
    <col min="13311" max="13312" width="6.7109375" style="12" customWidth="1"/>
    <col min="13313" max="13313" width="5.7109375" style="12" customWidth="1"/>
    <col min="13314" max="13314" width="7" style="12" customWidth="1"/>
    <col min="13315" max="13315" width="5.7109375" style="12" customWidth="1"/>
    <col min="13316" max="13316" width="7.7109375" style="12" customWidth="1"/>
    <col min="13317" max="13317" width="8.7109375" style="12" customWidth="1"/>
    <col min="13318" max="13318" width="7.7109375" style="12" customWidth="1"/>
    <col min="13319" max="13319" width="8.7109375" style="12" customWidth="1"/>
    <col min="13320" max="13320" width="16.28515625" style="12" customWidth="1"/>
    <col min="13321" max="13321" width="7.7109375" style="12" customWidth="1"/>
    <col min="13322" max="13322" width="8" style="12" customWidth="1"/>
    <col min="13323" max="13323" width="7.7109375" style="12" customWidth="1"/>
    <col min="13324" max="13324" width="8.7109375" style="12" customWidth="1"/>
    <col min="13325" max="13564" width="9.140625" style="12"/>
    <col min="13565" max="13565" width="18.140625" style="12" customWidth="1"/>
    <col min="13566" max="13566" width="15.85546875" style="12" customWidth="1"/>
    <col min="13567" max="13568" width="6.7109375" style="12" customWidth="1"/>
    <col min="13569" max="13569" width="5.7109375" style="12" customWidth="1"/>
    <col min="13570" max="13570" width="7" style="12" customWidth="1"/>
    <col min="13571" max="13571" width="5.7109375" style="12" customWidth="1"/>
    <col min="13572" max="13572" width="7.7109375" style="12" customWidth="1"/>
    <col min="13573" max="13573" width="8.7109375" style="12" customWidth="1"/>
    <col min="13574" max="13574" width="7.7109375" style="12" customWidth="1"/>
    <col min="13575" max="13575" width="8.7109375" style="12" customWidth="1"/>
    <col min="13576" max="13576" width="16.28515625" style="12" customWidth="1"/>
    <col min="13577" max="13577" width="7.7109375" style="12" customWidth="1"/>
    <col min="13578" max="13578" width="8" style="12" customWidth="1"/>
    <col min="13579" max="13579" width="7.7109375" style="12" customWidth="1"/>
    <col min="13580" max="13580" width="8.7109375" style="12" customWidth="1"/>
    <col min="13581" max="13820" width="9.140625" style="12"/>
    <col min="13821" max="13821" width="18.140625" style="12" customWidth="1"/>
    <col min="13822" max="13822" width="15.85546875" style="12" customWidth="1"/>
    <col min="13823" max="13824" width="6.7109375" style="12" customWidth="1"/>
    <col min="13825" max="13825" width="5.7109375" style="12" customWidth="1"/>
    <col min="13826" max="13826" width="7" style="12" customWidth="1"/>
    <col min="13827" max="13827" width="5.7109375" style="12" customWidth="1"/>
    <col min="13828" max="13828" width="7.7109375" style="12" customWidth="1"/>
    <col min="13829" max="13829" width="8.7109375" style="12" customWidth="1"/>
    <col min="13830" max="13830" width="7.7109375" style="12" customWidth="1"/>
    <col min="13831" max="13831" width="8.7109375" style="12" customWidth="1"/>
    <col min="13832" max="13832" width="16.28515625" style="12" customWidth="1"/>
    <col min="13833" max="13833" width="7.7109375" style="12" customWidth="1"/>
    <col min="13834" max="13834" width="8" style="12" customWidth="1"/>
    <col min="13835" max="13835" width="7.7109375" style="12" customWidth="1"/>
    <col min="13836" max="13836" width="8.7109375" style="12" customWidth="1"/>
    <col min="13837" max="14076" width="9.140625" style="12"/>
    <col min="14077" max="14077" width="18.140625" style="12" customWidth="1"/>
    <col min="14078" max="14078" width="15.85546875" style="12" customWidth="1"/>
    <col min="14079" max="14080" width="6.7109375" style="12" customWidth="1"/>
    <col min="14081" max="14081" width="5.7109375" style="12" customWidth="1"/>
    <col min="14082" max="14082" width="7" style="12" customWidth="1"/>
    <col min="14083" max="14083" width="5.7109375" style="12" customWidth="1"/>
    <col min="14084" max="14084" width="7.7109375" style="12" customWidth="1"/>
    <col min="14085" max="14085" width="8.7109375" style="12" customWidth="1"/>
    <col min="14086" max="14086" width="7.7109375" style="12" customWidth="1"/>
    <col min="14087" max="14087" width="8.7109375" style="12" customWidth="1"/>
    <col min="14088" max="14088" width="16.28515625" style="12" customWidth="1"/>
    <col min="14089" max="14089" width="7.7109375" style="12" customWidth="1"/>
    <col min="14090" max="14090" width="8" style="12" customWidth="1"/>
    <col min="14091" max="14091" width="7.7109375" style="12" customWidth="1"/>
    <col min="14092" max="14092" width="8.7109375" style="12" customWidth="1"/>
    <col min="14093" max="14332" width="9.140625" style="12"/>
    <col min="14333" max="14333" width="18.140625" style="12" customWidth="1"/>
    <col min="14334" max="14334" width="15.85546875" style="12" customWidth="1"/>
    <col min="14335" max="14336" width="6.7109375" style="12" customWidth="1"/>
    <col min="14337" max="14337" width="5.7109375" style="12" customWidth="1"/>
    <col min="14338" max="14338" width="7" style="12" customWidth="1"/>
    <col min="14339" max="14339" width="5.7109375" style="12" customWidth="1"/>
    <col min="14340" max="14340" width="7.7109375" style="12" customWidth="1"/>
    <col min="14341" max="14341" width="8.7109375" style="12" customWidth="1"/>
    <col min="14342" max="14342" width="7.7109375" style="12" customWidth="1"/>
    <col min="14343" max="14343" width="8.7109375" style="12" customWidth="1"/>
    <col min="14344" max="14344" width="16.28515625" style="12" customWidth="1"/>
    <col min="14345" max="14345" width="7.7109375" style="12" customWidth="1"/>
    <col min="14346" max="14346" width="8" style="12" customWidth="1"/>
    <col min="14347" max="14347" width="7.7109375" style="12" customWidth="1"/>
    <col min="14348" max="14348" width="8.7109375" style="12" customWidth="1"/>
    <col min="14349" max="14588" width="9.140625" style="12"/>
    <col min="14589" max="14589" width="18.140625" style="12" customWidth="1"/>
    <col min="14590" max="14590" width="15.85546875" style="12" customWidth="1"/>
    <col min="14591" max="14592" width="6.7109375" style="12" customWidth="1"/>
    <col min="14593" max="14593" width="5.7109375" style="12" customWidth="1"/>
    <col min="14594" max="14594" width="7" style="12" customWidth="1"/>
    <col min="14595" max="14595" width="5.7109375" style="12" customWidth="1"/>
    <col min="14596" max="14596" width="7.7109375" style="12" customWidth="1"/>
    <col min="14597" max="14597" width="8.7109375" style="12" customWidth="1"/>
    <col min="14598" max="14598" width="7.7109375" style="12" customWidth="1"/>
    <col min="14599" max="14599" width="8.7109375" style="12" customWidth="1"/>
    <col min="14600" max="14600" width="16.28515625" style="12" customWidth="1"/>
    <col min="14601" max="14601" width="7.7109375" style="12" customWidth="1"/>
    <col min="14602" max="14602" width="8" style="12" customWidth="1"/>
    <col min="14603" max="14603" width="7.7109375" style="12" customWidth="1"/>
    <col min="14604" max="14604" width="8.7109375" style="12" customWidth="1"/>
    <col min="14605" max="14844" width="9.140625" style="12"/>
    <col min="14845" max="14845" width="18.140625" style="12" customWidth="1"/>
    <col min="14846" max="14846" width="15.85546875" style="12" customWidth="1"/>
    <col min="14847" max="14848" width="6.7109375" style="12" customWidth="1"/>
    <col min="14849" max="14849" width="5.7109375" style="12" customWidth="1"/>
    <col min="14850" max="14850" width="7" style="12" customWidth="1"/>
    <col min="14851" max="14851" width="5.7109375" style="12" customWidth="1"/>
    <col min="14852" max="14852" width="7.7109375" style="12" customWidth="1"/>
    <col min="14853" max="14853" width="8.7109375" style="12" customWidth="1"/>
    <col min="14854" max="14854" width="7.7109375" style="12" customWidth="1"/>
    <col min="14855" max="14855" width="8.7109375" style="12" customWidth="1"/>
    <col min="14856" max="14856" width="16.28515625" style="12" customWidth="1"/>
    <col min="14857" max="14857" width="7.7109375" style="12" customWidth="1"/>
    <col min="14858" max="14858" width="8" style="12" customWidth="1"/>
    <col min="14859" max="14859" width="7.7109375" style="12" customWidth="1"/>
    <col min="14860" max="14860" width="8.7109375" style="12" customWidth="1"/>
    <col min="14861" max="15100" width="9.140625" style="12"/>
    <col min="15101" max="15101" width="18.140625" style="12" customWidth="1"/>
    <col min="15102" max="15102" width="15.85546875" style="12" customWidth="1"/>
    <col min="15103" max="15104" width="6.7109375" style="12" customWidth="1"/>
    <col min="15105" max="15105" width="5.7109375" style="12" customWidth="1"/>
    <col min="15106" max="15106" width="7" style="12" customWidth="1"/>
    <col min="15107" max="15107" width="5.7109375" style="12" customWidth="1"/>
    <col min="15108" max="15108" width="7.7109375" style="12" customWidth="1"/>
    <col min="15109" max="15109" width="8.7109375" style="12" customWidth="1"/>
    <col min="15110" max="15110" width="7.7109375" style="12" customWidth="1"/>
    <col min="15111" max="15111" width="8.7109375" style="12" customWidth="1"/>
    <col min="15112" max="15112" width="16.28515625" style="12" customWidth="1"/>
    <col min="15113" max="15113" width="7.7109375" style="12" customWidth="1"/>
    <col min="15114" max="15114" width="8" style="12" customWidth="1"/>
    <col min="15115" max="15115" width="7.7109375" style="12" customWidth="1"/>
    <col min="15116" max="15116" width="8.7109375" style="12" customWidth="1"/>
    <col min="15117" max="15356" width="9.140625" style="12"/>
    <col min="15357" max="15357" width="18.140625" style="12" customWidth="1"/>
    <col min="15358" max="15358" width="15.85546875" style="12" customWidth="1"/>
    <col min="15359" max="15360" width="6.7109375" style="12" customWidth="1"/>
    <col min="15361" max="15361" width="5.7109375" style="12" customWidth="1"/>
    <col min="15362" max="15362" width="7" style="12" customWidth="1"/>
    <col min="15363" max="15363" width="5.7109375" style="12" customWidth="1"/>
    <col min="15364" max="15364" width="7.7109375" style="12" customWidth="1"/>
    <col min="15365" max="15365" width="8.7109375" style="12" customWidth="1"/>
    <col min="15366" max="15366" width="7.7109375" style="12" customWidth="1"/>
    <col min="15367" max="15367" width="8.7109375" style="12" customWidth="1"/>
    <col min="15368" max="15368" width="16.28515625" style="12" customWidth="1"/>
    <col min="15369" max="15369" width="7.7109375" style="12" customWidth="1"/>
    <col min="15370" max="15370" width="8" style="12" customWidth="1"/>
    <col min="15371" max="15371" width="7.7109375" style="12" customWidth="1"/>
    <col min="15372" max="15372" width="8.7109375" style="12" customWidth="1"/>
    <col min="15373" max="15612" width="9.140625" style="12"/>
    <col min="15613" max="15613" width="18.140625" style="12" customWidth="1"/>
    <col min="15614" max="15614" width="15.85546875" style="12" customWidth="1"/>
    <col min="15615" max="15616" width="6.7109375" style="12" customWidth="1"/>
    <col min="15617" max="15617" width="5.7109375" style="12" customWidth="1"/>
    <col min="15618" max="15618" width="7" style="12" customWidth="1"/>
    <col min="15619" max="15619" width="5.7109375" style="12" customWidth="1"/>
    <col min="15620" max="15620" width="7.7109375" style="12" customWidth="1"/>
    <col min="15621" max="15621" width="8.7109375" style="12" customWidth="1"/>
    <col min="15622" max="15622" width="7.7109375" style="12" customWidth="1"/>
    <col min="15623" max="15623" width="8.7109375" style="12" customWidth="1"/>
    <col min="15624" max="15624" width="16.28515625" style="12" customWidth="1"/>
    <col min="15625" max="15625" width="7.7109375" style="12" customWidth="1"/>
    <col min="15626" max="15626" width="8" style="12" customWidth="1"/>
    <col min="15627" max="15627" width="7.7109375" style="12" customWidth="1"/>
    <col min="15628" max="15628" width="8.7109375" style="12" customWidth="1"/>
    <col min="15629" max="15868" width="9.140625" style="12"/>
    <col min="15869" max="15869" width="18.140625" style="12" customWidth="1"/>
    <col min="15870" max="15870" width="15.85546875" style="12" customWidth="1"/>
    <col min="15871" max="15872" width="6.7109375" style="12" customWidth="1"/>
    <col min="15873" max="15873" width="5.7109375" style="12" customWidth="1"/>
    <col min="15874" max="15874" width="7" style="12" customWidth="1"/>
    <col min="15875" max="15875" width="5.7109375" style="12" customWidth="1"/>
    <col min="15876" max="15876" width="7.7109375" style="12" customWidth="1"/>
    <col min="15877" max="15877" width="8.7109375" style="12" customWidth="1"/>
    <col min="15878" max="15878" width="7.7109375" style="12" customWidth="1"/>
    <col min="15879" max="15879" width="8.7109375" style="12" customWidth="1"/>
    <col min="15880" max="15880" width="16.28515625" style="12" customWidth="1"/>
    <col min="15881" max="15881" width="7.7109375" style="12" customWidth="1"/>
    <col min="15882" max="15882" width="8" style="12" customWidth="1"/>
    <col min="15883" max="15883" width="7.7109375" style="12" customWidth="1"/>
    <col min="15884" max="15884" width="8.7109375" style="12" customWidth="1"/>
    <col min="15885" max="16124" width="9.140625" style="12"/>
    <col min="16125" max="16125" width="18.140625" style="12" customWidth="1"/>
    <col min="16126" max="16126" width="15.85546875" style="12" customWidth="1"/>
    <col min="16127" max="16128" width="6.7109375" style="12" customWidth="1"/>
    <col min="16129" max="16129" width="5.7109375" style="12" customWidth="1"/>
    <col min="16130" max="16130" width="7" style="12" customWidth="1"/>
    <col min="16131" max="16131" width="5.7109375" style="12" customWidth="1"/>
    <col min="16132" max="16132" width="7.7109375" style="12" customWidth="1"/>
    <col min="16133" max="16133" width="8.7109375" style="12" customWidth="1"/>
    <col min="16134" max="16134" width="7.7109375" style="12" customWidth="1"/>
    <col min="16135" max="16135" width="8.7109375" style="12" customWidth="1"/>
    <col min="16136" max="16136" width="16.28515625" style="12" customWidth="1"/>
    <col min="16137" max="16137" width="7.7109375" style="12" customWidth="1"/>
    <col min="16138" max="16138" width="8" style="12" customWidth="1"/>
    <col min="16139" max="16139" width="7.7109375" style="12" customWidth="1"/>
    <col min="16140" max="16140" width="8.7109375" style="12" customWidth="1"/>
    <col min="16141" max="16380" width="9.140625" style="12"/>
    <col min="16381" max="16382" width="9.140625" style="12" customWidth="1"/>
    <col min="16383" max="16384" width="9.140625" style="12"/>
  </cols>
  <sheetData>
    <row r="1" spans="1:29" s="53" customFormat="1" ht="15" customHeight="1" x14ac:dyDescent="0.2">
      <c r="D1" s="362" t="s">
        <v>199</v>
      </c>
      <c r="E1" s="339" t="str">
        <f>ORÇAMENTO!I4</f>
        <v>SENSE106</v>
      </c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40"/>
      <c r="Q1" s="345"/>
      <c r="R1" s="346"/>
    </row>
    <row r="2" spans="1:29" s="215" customFormat="1" ht="15" customHeight="1" x14ac:dyDescent="0.2">
      <c r="D2" s="362" t="s">
        <v>173</v>
      </c>
      <c r="E2" s="363" t="str">
        <f>ORÇAMENTO!I5</f>
        <v>HOLZE EMPREENDIMENTOS</v>
      </c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98"/>
      <c r="Q2" s="347"/>
      <c r="R2" s="348"/>
    </row>
    <row r="3" spans="1:29" s="215" customFormat="1" ht="15" customHeight="1" x14ac:dyDescent="0.2">
      <c r="D3" s="362" t="s">
        <v>174</v>
      </c>
      <c r="E3" s="339" t="s">
        <v>313</v>
      </c>
      <c r="F3" s="339"/>
      <c r="G3" s="339"/>
      <c r="H3" s="339"/>
      <c r="I3" s="339"/>
      <c r="J3" s="339"/>
      <c r="K3" s="341"/>
      <c r="L3" s="341"/>
      <c r="M3" s="341"/>
      <c r="N3" s="341"/>
      <c r="O3" s="341"/>
      <c r="P3" s="398"/>
      <c r="Q3" s="349"/>
      <c r="R3" s="350"/>
    </row>
    <row r="4" spans="1:29" s="59" customFormat="1" ht="18.600000000000001" customHeight="1" x14ac:dyDescent="0.2">
      <c r="A4" s="1252" t="s">
        <v>1371</v>
      </c>
      <c r="B4" s="1252"/>
      <c r="C4" s="1252"/>
      <c r="D4" s="1252"/>
      <c r="E4" s="1252"/>
      <c r="F4" s="1252"/>
      <c r="G4" s="1252"/>
      <c r="H4" s="1252"/>
      <c r="I4" s="1252"/>
      <c r="J4" s="1252"/>
      <c r="K4" s="1252"/>
      <c r="L4" s="1252"/>
      <c r="M4" s="1252"/>
      <c r="N4" s="1252"/>
      <c r="O4" s="1252"/>
      <c r="P4" s="1252"/>
      <c r="Q4" s="1252"/>
      <c r="R4" s="1252"/>
    </row>
    <row r="5" spans="1:29" s="153" customFormat="1" ht="15" customHeight="1" x14ac:dyDescent="0.2">
      <c r="A5" s="1289" t="s">
        <v>106</v>
      </c>
      <c r="B5" s="1290"/>
      <c r="C5" s="1290"/>
      <c r="D5" s="1290"/>
      <c r="E5" s="1290"/>
      <c r="F5" s="1290"/>
      <c r="G5" s="1290"/>
      <c r="H5" s="1290"/>
      <c r="I5" s="1290"/>
      <c r="J5" s="1290"/>
      <c r="K5" s="1290"/>
      <c r="L5" s="1290"/>
      <c r="M5" s="1290"/>
      <c r="N5" s="1290"/>
      <c r="O5" s="1290"/>
      <c r="P5" s="1290"/>
      <c r="Q5" s="1290"/>
      <c r="R5" s="1290"/>
    </row>
    <row r="6" spans="1:29" s="848" customFormat="1" ht="48" x14ac:dyDescent="0.3">
      <c r="A6" s="851" t="s">
        <v>1372</v>
      </c>
      <c r="B6" s="851" t="s">
        <v>1373</v>
      </c>
      <c r="C6" s="851" t="s">
        <v>1374</v>
      </c>
      <c r="D6" s="851" t="s">
        <v>1375</v>
      </c>
      <c r="E6" s="851" t="s">
        <v>1336</v>
      </c>
      <c r="F6" s="851" t="s">
        <v>1376</v>
      </c>
      <c r="G6" s="851" t="s">
        <v>1338</v>
      </c>
      <c r="H6" s="851" t="s">
        <v>1339</v>
      </c>
      <c r="I6" s="851" t="s">
        <v>1340</v>
      </c>
      <c r="J6" s="851" t="s">
        <v>1377</v>
      </c>
      <c r="K6" s="851" t="s">
        <v>1343</v>
      </c>
      <c r="L6" s="851" t="s">
        <v>1378</v>
      </c>
      <c r="M6" s="851" t="s">
        <v>1362</v>
      </c>
      <c r="N6" s="851" t="s">
        <v>1344</v>
      </c>
      <c r="O6" s="851" t="s">
        <v>1345</v>
      </c>
      <c r="P6" s="851" t="s">
        <v>1346</v>
      </c>
      <c r="Q6" s="851" t="s">
        <v>1347</v>
      </c>
      <c r="R6" s="851" t="s">
        <v>1348</v>
      </c>
      <c r="S6" s="847"/>
      <c r="T6" s="847"/>
      <c r="U6" s="847"/>
    </row>
    <row r="7" spans="1:29" s="848" customFormat="1" ht="16.5" x14ac:dyDescent="0.3">
      <c r="A7" s="1287" t="s">
        <v>1349</v>
      </c>
      <c r="B7" s="849" t="s">
        <v>153</v>
      </c>
      <c r="C7" s="849" t="s">
        <v>1350</v>
      </c>
      <c r="D7" s="849" t="s">
        <v>51</v>
      </c>
      <c r="E7" s="849" t="s">
        <v>1351</v>
      </c>
      <c r="F7" s="849" t="s">
        <v>7</v>
      </c>
      <c r="G7" s="849" t="s">
        <v>1352</v>
      </c>
      <c r="H7" s="849" t="s">
        <v>1353</v>
      </c>
      <c r="I7" s="849" t="s">
        <v>1354</v>
      </c>
      <c r="J7" s="849" t="s">
        <v>159</v>
      </c>
      <c r="K7" s="849" t="s">
        <v>160</v>
      </c>
      <c r="L7" s="849" t="s">
        <v>67</v>
      </c>
      <c r="M7" s="849" t="s">
        <v>52</v>
      </c>
      <c r="N7" s="849" t="s">
        <v>161</v>
      </c>
      <c r="O7" s="849" t="s">
        <v>162</v>
      </c>
      <c r="P7" s="849" t="s">
        <v>163</v>
      </c>
      <c r="Q7" s="849" t="s">
        <v>164</v>
      </c>
      <c r="R7" s="849" t="s">
        <v>165</v>
      </c>
      <c r="S7" s="847"/>
      <c r="T7" s="847"/>
      <c r="U7" s="847"/>
    </row>
    <row r="8" spans="1:29" s="848" customFormat="1" ht="16.5" x14ac:dyDescent="0.3">
      <c r="A8" s="1288"/>
      <c r="B8" s="850" t="s">
        <v>166</v>
      </c>
      <c r="C8" s="850" t="s">
        <v>3</v>
      </c>
      <c r="D8" s="850" t="s">
        <v>3</v>
      </c>
      <c r="E8" s="850" t="s">
        <v>3</v>
      </c>
      <c r="F8" s="850" t="s">
        <v>3</v>
      </c>
      <c r="G8" s="850" t="s">
        <v>3</v>
      </c>
      <c r="H8" s="850" t="s">
        <v>3</v>
      </c>
      <c r="I8" s="850" t="s">
        <v>3</v>
      </c>
      <c r="J8" s="850" t="s">
        <v>3</v>
      </c>
      <c r="K8" s="850" t="s">
        <v>3</v>
      </c>
      <c r="L8" s="850" t="s">
        <v>1</v>
      </c>
      <c r="M8" s="850" t="s">
        <v>4</v>
      </c>
      <c r="N8" s="850" t="s">
        <v>4</v>
      </c>
      <c r="O8" s="850" t="s">
        <v>4</v>
      </c>
      <c r="P8" s="850" t="s">
        <v>4</v>
      </c>
      <c r="Q8" s="850" t="s">
        <v>1</v>
      </c>
      <c r="R8" s="850" t="s">
        <v>4</v>
      </c>
      <c r="S8" s="847"/>
      <c r="T8" s="847"/>
      <c r="U8" s="847"/>
    </row>
    <row r="9" spans="1:29" s="848" customFormat="1" ht="16.5" x14ac:dyDescent="0.3">
      <c r="A9" s="217" t="s">
        <v>1379</v>
      </c>
      <c r="B9" s="217">
        <v>1</v>
      </c>
      <c r="C9" s="217">
        <v>5.0999999999999996</v>
      </c>
      <c r="D9" s="217">
        <v>3.2</v>
      </c>
      <c r="E9" s="217">
        <v>0.2</v>
      </c>
      <c r="F9" s="217">
        <v>3</v>
      </c>
      <c r="G9" s="238">
        <f>F9-E9</f>
        <v>2.8</v>
      </c>
      <c r="H9" s="238">
        <f>C9-E9*2</f>
        <v>4.6999999999999993</v>
      </c>
      <c r="I9" s="238">
        <f>D9-E9*2</f>
        <v>2.8000000000000003</v>
      </c>
      <c r="J9" s="217">
        <v>0.05</v>
      </c>
      <c r="K9" s="238">
        <f>G9</f>
        <v>2.8</v>
      </c>
      <c r="L9" s="238">
        <f>(C9*F9*2+D9*F9*2+I9*G9*2+H9*G9*2)*B9</f>
        <v>91.799999999999983</v>
      </c>
      <c r="M9" s="238">
        <f>C9*D9*F9-G9*H9*I9</f>
        <v>12.112000000000009</v>
      </c>
      <c r="N9" s="238">
        <f>(C9+K9)*(D9+K9)*(F9+J9)*B9</f>
        <v>144.57</v>
      </c>
      <c r="O9" s="238">
        <f>N9-C9*D9*F9*B9</f>
        <v>95.609999999999985</v>
      </c>
      <c r="P9" s="238">
        <f>N9-O9</f>
        <v>48.960000000000008</v>
      </c>
      <c r="Q9" s="238">
        <f>C9*D9*B9</f>
        <v>16.32</v>
      </c>
      <c r="R9" s="238">
        <f>J9*Q9</f>
        <v>0.81600000000000006</v>
      </c>
      <c r="S9" s="847"/>
      <c r="T9" s="847"/>
      <c r="U9" s="847"/>
    </row>
    <row r="10" spans="1:29" s="848" customFormat="1" ht="16.5" x14ac:dyDescent="0.3">
      <c r="A10" s="217" t="s">
        <v>1380</v>
      </c>
      <c r="B10" s="217">
        <v>1</v>
      </c>
      <c r="C10" s="217">
        <v>5.0999999999999996</v>
      </c>
      <c r="D10" s="217">
        <v>3.2</v>
      </c>
      <c r="E10" s="217">
        <v>0.2</v>
      </c>
      <c r="F10" s="217">
        <v>0.2</v>
      </c>
      <c r="G10" s="238">
        <f>F10-E10</f>
        <v>0</v>
      </c>
      <c r="H10" s="238">
        <f>C10-E10*2</f>
        <v>4.6999999999999993</v>
      </c>
      <c r="I10" s="238">
        <f>D10-E10*2</f>
        <v>2.8000000000000003</v>
      </c>
      <c r="J10" s="217"/>
      <c r="K10" s="238">
        <f>G10</f>
        <v>0</v>
      </c>
      <c r="L10" s="238">
        <f>(2*E10*D10+2*E10*C10+H10*I10)*B10</f>
        <v>16.48</v>
      </c>
      <c r="M10" s="238">
        <f>C10*D10*F10-G10*H10*I10</f>
        <v>3.2640000000000002</v>
      </c>
      <c r="N10" s="238"/>
      <c r="O10" s="238"/>
      <c r="P10" s="238"/>
      <c r="Q10" s="238"/>
      <c r="R10" s="238"/>
      <c r="S10" s="847"/>
      <c r="T10" s="847"/>
      <c r="U10" s="847"/>
    </row>
    <row r="11" spans="1:29" s="848" customFormat="1" ht="16.5" x14ac:dyDescent="0.3">
      <c r="A11" s="217" t="s">
        <v>1381</v>
      </c>
      <c r="B11" s="217">
        <v>1</v>
      </c>
      <c r="C11" s="217">
        <v>23.35</v>
      </c>
      <c r="D11" s="217">
        <v>2.35</v>
      </c>
      <c r="E11" s="217">
        <v>0.15</v>
      </c>
      <c r="F11" s="217">
        <v>2.2000000000000002</v>
      </c>
      <c r="G11" s="238">
        <f>F11-E11</f>
        <v>2.0500000000000003</v>
      </c>
      <c r="H11" s="238">
        <f>C11-E11*2</f>
        <v>23.05</v>
      </c>
      <c r="I11" s="238">
        <f>D11-E11*2</f>
        <v>2.0500000000000003</v>
      </c>
      <c r="J11" s="217">
        <v>0.05</v>
      </c>
      <c r="K11" s="238">
        <f>G11</f>
        <v>2.0500000000000003</v>
      </c>
      <c r="L11" s="238">
        <f>G11*(7.55)+F11+(8.13)+0.35*(2.35+2.05)</f>
        <v>27.347500000000004</v>
      </c>
      <c r="M11" s="975">
        <v>40</v>
      </c>
      <c r="N11" s="238">
        <f>(C11+K11)*(D11+K11)*(F11+J11)*B11</f>
        <v>251.46000000000004</v>
      </c>
      <c r="O11" s="238">
        <f>N11-C11*D11*G11*B11</f>
        <v>138.97137500000002</v>
      </c>
      <c r="P11" s="238">
        <f>N11-O11</f>
        <v>112.48862500000001</v>
      </c>
      <c r="Q11" s="238">
        <f>C11*D11*B11</f>
        <v>54.872500000000002</v>
      </c>
      <c r="R11" s="238">
        <f>J11*Q11</f>
        <v>2.7436250000000002</v>
      </c>
      <c r="S11" s="847"/>
      <c r="T11" s="847"/>
      <c r="U11" s="847"/>
    </row>
    <row r="12" spans="1:29" s="848" customFormat="1" ht="16.5" x14ac:dyDescent="0.3">
      <c r="A12" s="217" t="s">
        <v>1382</v>
      </c>
      <c r="B12" s="217">
        <v>1</v>
      </c>
      <c r="C12" s="217">
        <v>2.9</v>
      </c>
      <c r="D12" s="217">
        <v>2.35</v>
      </c>
      <c r="E12" s="217">
        <v>0.15</v>
      </c>
      <c r="F12" s="217">
        <v>1.85</v>
      </c>
      <c r="G12" s="238">
        <f>F12-E12</f>
        <v>1.7000000000000002</v>
      </c>
      <c r="H12" s="238">
        <f>C12-E12*2</f>
        <v>2.6</v>
      </c>
      <c r="I12" s="238">
        <f>D12-E12*2</f>
        <v>2.0500000000000003</v>
      </c>
      <c r="J12" s="217">
        <v>0.05</v>
      </c>
      <c r="K12" s="238">
        <f>G12</f>
        <v>1.7000000000000002</v>
      </c>
      <c r="L12" s="238">
        <f>F12*(46.247)+G12*(46.397)</f>
        <v>164.43185</v>
      </c>
      <c r="M12" s="238"/>
      <c r="N12" s="238">
        <f>(C12+K12)*(D12+K12)*(F12+J12)*B12</f>
        <v>35.397000000000006</v>
      </c>
      <c r="O12" s="238">
        <f>N12-C12*D12*G12*B12</f>
        <v>23.811500000000002</v>
      </c>
      <c r="P12" s="238">
        <f>N12-O12</f>
        <v>11.585500000000003</v>
      </c>
      <c r="Q12" s="238">
        <f>C12*D12*B12</f>
        <v>6.8150000000000004</v>
      </c>
      <c r="R12" s="238">
        <f>J12*Q12</f>
        <v>0.34075000000000005</v>
      </c>
      <c r="S12" s="847"/>
      <c r="T12" s="847"/>
      <c r="U12" s="847"/>
    </row>
    <row r="13" spans="1:29" s="848" customFormat="1" ht="16.5" x14ac:dyDescent="0.3">
      <c r="A13" s="217" t="s">
        <v>1945</v>
      </c>
      <c r="B13" s="217">
        <v>1</v>
      </c>
      <c r="C13" s="217">
        <v>3.25</v>
      </c>
      <c r="D13" s="217">
        <v>1.3</v>
      </c>
      <c r="E13" s="217">
        <v>0.15</v>
      </c>
      <c r="F13" s="217">
        <v>2.2000000000000002</v>
      </c>
      <c r="G13" s="238">
        <f>F13-E13</f>
        <v>2.0500000000000003</v>
      </c>
      <c r="H13" s="238">
        <f>C13-E13*2</f>
        <v>2.95</v>
      </c>
      <c r="I13" s="238">
        <f>D13-E13*2</f>
        <v>1</v>
      </c>
      <c r="J13" s="217"/>
      <c r="K13" s="238">
        <f>G13</f>
        <v>2.0500000000000003</v>
      </c>
      <c r="L13" s="238">
        <f>F13*(7.8)+G13+(7.05)</f>
        <v>26.26</v>
      </c>
      <c r="M13" s="238"/>
      <c r="N13" s="238">
        <f>(C13+K13)*(D13+K13)*(F13+J13)*B13</f>
        <v>39.061000000000014</v>
      </c>
      <c r="O13" s="238">
        <f>N13-C13*D13*G13*B13</f>
        <v>30.399750000000012</v>
      </c>
      <c r="P13" s="238">
        <f>N13-O13</f>
        <v>8.6612500000000026</v>
      </c>
      <c r="Q13" s="238">
        <f>I13*E13</f>
        <v>0.15</v>
      </c>
      <c r="R13" s="238">
        <f>J13*Q13</f>
        <v>0</v>
      </c>
      <c r="S13" s="847"/>
      <c r="T13" s="847"/>
      <c r="U13" s="847"/>
    </row>
    <row r="14" spans="1:29" s="848" customFormat="1" ht="16.5" x14ac:dyDescent="0.3">
      <c r="A14" s="217" t="s">
        <v>1944</v>
      </c>
      <c r="B14" s="217"/>
      <c r="C14" s="217"/>
      <c r="D14" s="217"/>
      <c r="E14" s="217"/>
      <c r="F14" s="217"/>
      <c r="G14" s="238"/>
      <c r="H14" s="238"/>
      <c r="I14" s="238"/>
      <c r="J14" s="217"/>
      <c r="K14" s="238"/>
      <c r="L14" s="238">
        <v>57.63</v>
      </c>
      <c r="M14" s="238"/>
      <c r="N14" s="238"/>
      <c r="O14" s="238"/>
      <c r="P14" s="238"/>
      <c r="Q14" s="238"/>
      <c r="R14" s="238"/>
      <c r="S14" s="847"/>
      <c r="T14" s="847"/>
      <c r="U14" s="847"/>
    </row>
    <row r="15" spans="1:29" s="848" customFormat="1" ht="17.25" thickBot="1" x14ac:dyDescent="0.35">
      <c r="A15" s="464" t="s">
        <v>19</v>
      </c>
      <c r="B15" s="465"/>
      <c r="C15" s="465"/>
      <c r="D15" s="465"/>
      <c r="E15" s="465"/>
      <c r="F15" s="465"/>
      <c r="G15" s="465"/>
      <c r="H15" s="465"/>
      <c r="I15" s="465"/>
      <c r="J15" s="465"/>
      <c r="K15" s="465"/>
      <c r="L15" s="465">
        <f>SUM(L9:L14)</f>
        <v>383.94934999999998</v>
      </c>
      <c r="M15" s="465">
        <f t="shared" ref="M15:R15" si="0">SUM(M9:M14)</f>
        <v>55.376000000000005</v>
      </c>
      <c r="N15" s="465">
        <f t="shared" si="0"/>
        <v>470.48800000000006</v>
      </c>
      <c r="O15" s="465">
        <f t="shared" si="0"/>
        <v>288.79262500000004</v>
      </c>
      <c r="P15" s="465">
        <f t="shared" si="0"/>
        <v>181.69537500000001</v>
      </c>
      <c r="Q15" s="465">
        <f t="shared" si="0"/>
        <v>78.157499999999999</v>
      </c>
      <c r="R15" s="465">
        <f t="shared" si="0"/>
        <v>3.9003750000000004</v>
      </c>
      <c r="S15" s="847"/>
      <c r="T15" s="847"/>
      <c r="U15" s="847"/>
    </row>
    <row r="16" spans="1:29" s="848" customFormat="1" ht="17.25" thickTop="1" x14ac:dyDescent="0.3">
      <c r="A16" s="847"/>
      <c r="B16" s="847"/>
      <c r="C16" s="847"/>
      <c r="D16" s="847"/>
      <c r="E16" s="847"/>
      <c r="F16" s="847"/>
      <c r="G16" s="847"/>
      <c r="H16" s="847"/>
      <c r="I16" s="847"/>
      <c r="J16" s="847"/>
      <c r="K16" s="847"/>
      <c r="L16" s="847"/>
      <c r="M16" s="847"/>
      <c r="N16" s="847"/>
      <c r="O16" s="847"/>
      <c r="P16" s="847"/>
      <c r="Q16" s="847"/>
      <c r="R16" s="847"/>
      <c r="S16" s="847"/>
      <c r="T16" s="847"/>
      <c r="U16" s="847"/>
      <c r="V16" s="847"/>
      <c r="W16" s="847"/>
      <c r="X16" s="847"/>
      <c r="Y16" s="847"/>
      <c r="Z16" s="847"/>
      <c r="AA16" s="847"/>
      <c r="AB16" s="847"/>
      <c r="AC16" s="847"/>
    </row>
  </sheetData>
  <mergeCells count="3">
    <mergeCell ref="A7:A8"/>
    <mergeCell ref="A4:R4"/>
    <mergeCell ref="A5:R5"/>
  </mergeCells>
  <printOptions horizontalCentered="1"/>
  <pageMargins left="0.39370078740157483" right="0" top="0.39370078740157483" bottom="0.39370078740157483" header="0.51181102362204722" footer="0.19685039370078741"/>
  <pageSetup paperSize="9" scale="28" orientation="portrait" r:id="rId1"/>
  <headerFooter alignWithMargins="0">
    <oddFooter>&amp;L&amp;8&amp;F - &amp;A&amp;R&amp;8&amp;P /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3">
    <tabColor rgb="FFF43800"/>
    <pageSetUpPr fitToPage="1"/>
  </sheetPr>
  <dimension ref="A1:X108"/>
  <sheetViews>
    <sheetView showGridLines="0" view="pageBreakPreview" topLeftCell="K1" zoomScaleNormal="100" zoomScaleSheetLayoutView="100" workbookViewId="0">
      <pane ySplit="7" topLeftCell="A53" activePane="bottomLeft" state="frozen"/>
      <selection activeCell="B18" sqref="B18:E18"/>
      <selection pane="bottomLeft" activeCell="J10" sqref="J10"/>
    </sheetView>
  </sheetViews>
  <sheetFormatPr defaultRowHeight="11.25" x14ac:dyDescent="0.2"/>
  <cols>
    <col min="1" max="1" width="13.7109375" style="4" customWidth="1"/>
    <col min="2" max="2" width="8" style="4" customWidth="1"/>
    <col min="3" max="3" width="7.28515625" style="4" customWidth="1"/>
    <col min="4" max="4" width="7.5703125" style="4" customWidth="1"/>
    <col min="5" max="5" width="6.5703125" style="4" customWidth="1"/>
    <col min="6" max="6" width="8.140625" style="4" bestFit="1" customWidth="1"/>
    <col min="7" max="7" width="12.5703125" style="4" customWidth="1"/>
    <col min="8" max="8" width="14" style="4" customWidth="1"/>
    <col min="9" max="9" width="11.85546875" style="4" customWidth="1"/>
    <col min="10" max="10" width="11.85546875" style="4" bestFit="1" customWidth="1"/>
    <col min="11" max="11" width="10.85546875" style="4" bestFit="1" customWidth="1"/>
    <col min="12" max="12" width="8" style="4" bestFit="1" customWidth="1"/>
    <col min="13" max="13" width="8.7109375" style="4" bestFit="1" customWidth="1"/>
    <col min="14" max="14" width="9" style="4" bestFit="1" customWidth="1"/>
    <col min="15" max="15" width="12.7109375" style="4" bestFit="1" customWidth="1"/>
    <col min="16" max="16" width="14.7109375" style="4" bestFit="1" customWidth="1"/>
    <col min="17" max="17" width="7.85546875" style="4" customWidth="1"/>
    <col min="18" max="18" width="11.28515625" style="510" customWidth="1"/>
    <col min="19" max="19" width="10" style="4" customWidth="1"/>
    <col min="20" max="20" width="10" style="510" customWidth="1"/>
    <col min="21" max="21" width="10.28515625" style="4" customWidth="1"/>
    <col min="22" max="22" width="4.140625" style="4" customWidth="1"/>
    <col min="23" max="254" width="9.140625" style="4"/>
    <col min="255" max="255" width="18.7109375" style="4" customWidth="1"/>
    <col min="256" max="256" width="25.140625" style="4" customWidth="1"/>
    <col min="257" max="259" width="7.5703125" style="4" customWidth="1"/>
    <col min="260" max="262" width="6.7109375" style="4" customWidth="1"/>
    <col min="263" max="266" width="7.5703125" style="4" customWidth="1"/>
    <col min="267" max="267" width="8.140625" style="4" customWidth="1"/>
    <col min="268" max="268" width="8.42578125" style="4" customWidth="1"/>
    <col min="269" max="269" width="9.28515625" style="4" customWidth="1"/>
    <col min="270" max="270" width="8.42578125" style="4" customWidth="1"/>
    <col min="271" max="271" width="11.28515625" style="4" customWidth="1"/>
    <col min="272" max="272" width="9.28515625" style="4" customWidth="1"/>
    <col min="273" max="510" width="9.140625" style="4"/>
    <col min="511" max="511" width="18.7109375" style="4" customWidth="1"/>
    <col min="512" max="512" width="25.140625" style="4" customWidth="1"/>
    <col min="513" max="515" width="7.5703125" style="4" customWidth="1"/>
    <col min="516" max="518" width="6.7109375" style="4" customWidth="1"/>
    <col min="519" max="522" width="7.5703125" style="4" customWidth="1"/>
    <col min="523" max="523" width="8.140625" style="4" customWidth="1"/>
    <col min="524" max="524" width="8.42578125" style="4" customWidth="1"/>
    <col min="525" max="525" width="9.28515625" style="4" customWidth="1"/>
    <col min="526" max="526" width="8.42578125" style="4" customWidth="1"/>
    <col min="527" max="527" width="11.28515625" style="4" customWidth="1"/>
    <col min="528" max="528" width="9.28515625" style="4" customWidth="1"/>
    <col min="529" max="766" width="9.140625" style="4"/>
    <col min="767" max="767" width="18.7109375" style="4" customWidth="1"/>
    <col min="768" max="768" width="25.140625" style="4" customWidth="1"/>
    <col min="769" max="771" width="7.5703125" style="4" customWidth="1"/>
    <col min="772" max="774" width="6.7109375" style="4" customWidth="1"/>
    <col min="775" max="778" width="7.5703125" style="4" customWidth="1"/>
    <col min="779" max="779" width="8.140625" style="4" customWidth="1"/>
    <col min="780" max="780" width="8.42578125" style="4" customWidth="1"/>
    <col min="781" max="781" width="9.28515625" style="4" customWidth="1"/>
    <col min="782" max="782" width="8.42578125" style="4" customWidth="1"/>
    <col min="783" max="783" width="11.28515625" style="4" customWidth="1"/>
    <col min="784" max="784" width="9.28515625" style="4" customWidth="1"/>
    <col min="785" max="1022" width="9.140625" style="4"/>
    <col min="1023" max="1023" width="18.7109375" style="4" customWidth="1"/>
    <col min="1024" max="1024" width="25.140625" style="4" customWidth="1"/>
    <col min="1025" max="1027" width="7.5703125" style="4" customWidth="1"/>
    <col min="1028" max="1030" width="6.7109375" style="4" customWidth="1"/>
    <col min="1031" max="1034" width="7.5703125" style="4" customWidth="1"/>
    <col min="1035" max="1035" width="8.140625" style="4" customWidth="1"/>
    <col min="1036" max="1036" width="8.42578125" style="4" customWidth="1"/>
    <col min="1037" max="1037" width="9.28515625" style="4" customWidth="1"/>
    <col min="1038" max="1038" width="8.42578125" style="4" customWidth="1"/>
    <col min="1039" max="1039" width="11.28515625" style="4" customWidth="1"/>
    <col min="1040" max="1040" width="9.28515625" style="4" customWidth="1"/>
    <col min="1041" max="1278" width="9.140625" style="4"/>
    <col min="1279" max="1279" width="18.7109375" style="4" customWidth="1"/>
    <col min="1280" max="1280" width="25.140625" style="4" customWidth="1"/>
    <col min="1281" max="1283" width="7.5703125" style="4" customWidth="1"/>
    <col min="1284" max="1286" width="6.7109375" style="4" customWidth="1"/>
    <col min="1287" max="1290" width="7.5703125" style="4" customWidth="1"/>
    <col min="1291" max="1291" width="8.140625" style="4" customWidth="1"/>
    <col min="1292" max="1292" width="8.42578125" style="4" customWidth="1"/>
    <col min="1293" max="1293" width="9.28515625" style="4" customWidth="1"/>
    <col min="1294" max="1294" width="8.42578125" style="4" customWidth="1"/>
    <col min="1295" max="1295" width="11.28515625" style="4" customWidth="1"/>
    <col min="1296" max="1296" width="9.28515625" style="4" customWidth="1"/>
    <col min="1297" max="1534" width="9.140625" style="4"/>
    <col min="1535" max="1535" width="18.7109375" style="4" customWidth="1"/>
    <col min="1536" max="1536" width="25.140625" style="4" customWidth="1"/>
    <col min="1537" max="1539" width="7.5703125" style="4" customWidth="1"/>
    <col min="1540" max="1542" width="6.7109375" style="4" customWidth="1"/>
    <col min="1543" max="1546" width="7.5703125" style="4" customWidth="1"/>
    <col min="1547" max="1547" width="8.140625" style="4" customWidth="1"/>
    <col min="1548" max="1548" width="8.42578125" style="4" customWidth="1"/>
    <col min="1549" max="1549" width="9.28515625" style="4" customWidth="1"/>
    <col min="1550" max="1550" width="8.42578125" style="4" customWidth="1"/>
    <col min="1551" max="1551" width="11.28515625" style="4" customWidth="1"/>
    <col min="1552" max="1552" width="9.28515625" style="4" customWidth="1"/>
    <col min="1553" max="1790" width="9.140625" style="4"/>
    <col min="1791" max="1791" width="18.7109375" style="4" customWidth="1"/>
    <col min="1792" max="1792" width="25.140625" style="4" customWidth="1"/>
    <col min="1793" max="1795" width="7.5703125" style="4" customWidth="1"/>
    <col min="1796" max="1798" width="6.7109375" style="4" customWidth="1"/>
    <col min="1799" max="1802" width="7.5703125" style="4" customWidth="1"/>
    <col min="1803" max="1803" width="8.140625" style="4" customWidth="1"/>
    <col min="1804" max="1804" width="8.42578125" style="4" customWidth="1"/>
    <col min="1805" max="1805" width="9.28515625" style="4" customWidth="1"/>
    <col min="1806" max="1806" width="8.42578125" style="4" customWidth="1"/>
    <col min="1807" max="1807" width="11.28515625" style="4" customWidth="1"/>
    <col min="1808" max="1808" width="9.28515625" style="4" customWidth="1"/>
    <col min="1809" max="2046" width="9.140625" style="4"/>
    <col min="2047" max="2047" width="18.7109375" style="4" customWidth="1"/>
    <col min="2048" max="2048" width="25.140625" style="4" customWidth="1"/>
    <col min="2049" max="2051" width="7.5703125" style="4" customWidth="1"/>
    <col min="2052" max="2054" width="6.7109375" style="4" customWidth="1"/>
    <col min="2055" max="2058" width="7.5703125" style="4" customWidth="1"/>
    <col min="2059" max="2059" width="8.140625" style="4" customWidth="1"/>
    <col min="2060" max="2060" width="8.42578125" style="4" customWidth="1"/>
    <col min="2061" max="2061" width="9.28515625" style="4" customWidth="1"/>
    <col min="2062" max="2062" width="8.42578125" style="4" customWidth="1"/>
    <col min="2063" max="2063" width="11.28515625" style="4" customWidth="1"/>
    <col min="2064" max="2064" width="9.28515625" style="4" customWidth="1"/>
    <col min="2065" max="2302" width="9.140625" style="4"/>
    <col min="2303" max="2303" width="18.7109375" style="4" customWidth="1"/>
    <col min="2304" max="2304" width="25.140625" style="4" customWidth="1"/>
    <col min="2305" max="2307" width="7.5703125" style="4" customWidth="1"/>
    <col min="2308" max="2310" width="6.7109375" style="4" customWidth="1"/>
    <col min="2311" max="2314" width="7.5703125" style="4" customWidth="1"/>
    <col min="2315" max="2315" width="8.140625" style="4" customWidth="1"/>
    <col min="2316" max="2316" width="8.42578125" style="4" customWidth="1"/>
    <col min="2317" max="2317" width="9.28515625" style="4" customWidth="1"/>
    <col min="2318" max="2318" width="8.42578125" style="4" customWidth="1"/>
    <col min="2319" max="2319" width="11.28515625" style="4" customWidth="1"/>
    <col min="2320" max="2320" width="9.28515625" style="4" customWidth="1"/>
    <col min="2321" max="2558" width="9.140625" style="4"/>
    <col min="2559" max="2559" width="18.7109375" style="4" customWidth="1"/>
    <col min="2560" max="2560" width="25.140625" style="4" customWidth="1"/>
    <col min="2561" max="2563" width="7.5703125" style="4" customWidth="1"/>
    <col min="2564" max="2566" width="6.7109375" style="4" customWidth="1"/>
    <col min="2567" max="2570" width="7.5703125" style="4" customWidth="1"/>
    <col min="2571" max="2571" width="8.140625" style="4" customWidth="1"/>
    <col min="2572" max="2572" width="8.42578125" style="4" customWidth="1"/>
    <col min="2573" max="2573" width="9.28515625" style="4" customWidth="1"/>
    <col min="2574" max="2574" width="8.42578125" style="4" customWidth="1"/>
    <col min="2575" max="2575" width="11.28515625" style="4" customWidth="1"/>
    <col min="2576" max="2576" width="9.28515625" style="4" customWidth="1"/>
    <col min="2577" max="2814" width="9.140625" style="4"/>
    <col min="2815" max="2815" width="18.7109375" style="4" customWidth="1"/>
    <col min="2816" max="2816" width="25.140625" style="4" customWidth="1"/>
    <col min="2817" max="2819" width="7.5703125" style="4" customWidth="1"/>
    <col min="2820" max="2822" width="6.7109375" style="4" customWidth="1"/>
    <col min="2823" max="2826" width="7.5703125" style="4" customWidth="1"/>
    <col min="2827" max="2827" width="8.140625" style="4" customWidth="1"/>
    <col min="2828" max="2828" width="8.42578125" style="4" customWidth="1"/>
    <col min="2829" max="2829" width="9.28515625" style="4" customWidth="1"/>
    <col min="2830" max="2830" width="8.42578125" style="4" customWidth="1"/>
    <col min="2831" max="2831" width="11.28515625" style="4" customWidth="1"/>
    <col min="2832" max="2832" width="9.28515625" style="4" customWidth="1"/>
    <col min="2833" max="3070" width="9.140625" style="4"/>
    <col min="3071" max="3071" width="18.7109375" style="4" customWidth="1"/>
    <col min="3072" max="3072" width="25.140625" style="4" customWidth="1"/>
    <col min="3073" max="3075" width="7.5703125" style="4" customWidth="1"/>
    <col min="3076" max="3078" width="6.7109375" style="4" customWidth="1"/>
    <col min="3079" max="3082" width="7.5703125" style="4" customWidth="1"/>
    <col min="3083" max="3083" width="8.140625" style="4" customWidth="1"/>
    <col min="3084" max="3084" width="8.42578125" style="4" customWidth="1"/>
    <col min="3085" max="3085" width="9.28515625" style="4" customWidth="1"/>
    <col min="3086" max="3086" width="8.42578125" style="4" customWidth="1"/>
    <col min="3087" max="3087" width="11.28515625" style="4" customWidth="1"/>
    <col min="3088" max="3088" width="9.28515625" style="4" customWidth="1"/>
    <col min="3089" max="3326" width="9.140625" style="4"/>
    <col min="3327" max="3327" width="18.7109375" style="4" customWidth="1"/>
    <col min="3328" max="3328" width="25.140625" style="4" customWidth="1"/>
    <col min="3329" max="3331" width="7.5703125" style="4" customWidth="1"/>
    <col min="3332" max="3334" width="6.7109375" style="4" customWidth="1"/>
    <col min="3335" max="3338" width="7.5703125" style="4" customWidth="1"/>
    <col min="3339" max="3339" width="8.140625" style="4" customWidth="1"/>
    <col min="3340" max="3340" width="8.42578125" style="4" customWidth="1"/>
    <col min="3341" max="3341" width="9.28515625" style="4" customWidth="1"/>
    <col min="3342" max="3342" width="8.42578125" style="4" customWidth="1"/>
    <col min="3343" max="3343" width="11.28515625" style="4" customWidth="1"/>
    <col min="3344" max="3344" width="9.28515625" style="4" customWidth="1"/>
    <col min="3345" max="3582" width="9.140625" style="4"/>
    <col min="3583" max="3583" width="18.7109375" style="4" customWidth="1"/>
    <col min="3584" max="3584" width="25.140625" style="4" customWidth="1"/>
    <col min="3585" max="3587" width="7.5703125" style="4" customWidth="1"/>
    <col min="3588" max="3590" width="6.7109375" style="4" customWidth="1"/>
    <col min="3591" max="3594" width="7.5703125" style="4" customWidth="1"/>
    <col min="3595" max="3595" width="8.140625" style="4" customWidth="1"/>
    <col min="3596" max="3596" width="8.42578125" style="4" customWidth="1"/>
    <col min="3597" max="3597" width="9.28515625" style="4" customWidth="1"/>
    <col min="3598" max="3598" width="8.42578125" style="4" customWidth="1"/>
    <col min="3599" max="3599" width="11.28515625" style="4" customWidth="1"/>
    <col min="3600" max="3600" width="9.28515625" style="4" customWidth="1"/>
    <col min="3601" max="3838" width="9.140625" style="4"/>
    <col min="3839" max="3839" width="18.7109375" style="4" customWidth="1"/>
    <col min="3840" max="3840" width="25.140625" style="4" customWidth="1"/>
    <col min="3841" max="3843" width="7.5703125" style="4" customWidth="1"/>
    <col min="3844" max="3846" width="6.7109375" style="4" customWidth="1"/>
    <col min="3847" max="3850" width="7.5703125" style="4" customWidth="1"/>
    <col min="3851" max="3851" width="8.140625" style="4" customWidth="1"/>
    <col min="3852" max="3852" width="8.42578125" style="4" customWidth="1"/>
    <col min="3853" max="3853" width="9.28515625" style="4" customWidth="1"/>
    <col min="3854" max="3854" width="8.42578125" style="4" customWidth="1"/>
    <col min="3855" max="3855" width="11.28515625" style="4" customWidth="1"/>
    <col min="3856" max="3856" width="9.28515625" style="4" customWidth="1"/>
    <col min="3857" max="4094" width="9.140625" style="4"/>
    <col min="4095" max="4095" width="18.7109375" style="4" customWidth="1"/>
    <col min="4096" max="4096" width="25.140625" style="4" customWidth="1"/>
    <col min="4097" max="4099" width="7.5703125" style="4" customWidth="1"/>
    <col min="4100" max="4102" width="6.7109375" style="4" customWidth="1"/>
    <col min="4103" max="4106" width="7.5703125" style="4" customWidth="1"/>
    <col min="4107" max="4107" width="8.140625" style="4" customWidth="1"/>
    <col min="4108" max="4108" width="8.42578125" style="4" customWidth="1"/>
    <col min="4109" max="4109" width="9.28515625" style="4" customWidth="1"/>
    <col min="4110" max="4110" width="8.42578125" style="4" customWidth="1"/>
    <col min="4111" max="4111" width="11.28515625" style="4" customWidth="1"/>
    <col min="4112" max="4112" width="9.28515625" style="4" customWidth="1"/>
    <col min="4113" max="4350" width="9.140625" style="4"/>
    <col min="4351" max="4351" width="18.7109375" style="4" customWidth="1"/>
    <col min="4352" max="4352" width="25.140625" style="4" customWidth="1"/>
    <col min="4353" max="4355" width="7.5703125" style="4" customWidth="1"/>
    <col min="4356" max="4358" width="6.7109375" style="4" customWidth="1"/>
    <col min="4359" max="4362" width="7.5703125" style="4" customWidth="1"/>
    <col min="4363" max="4363" width="8.140625" style="4" customWidth="1"/>
    <col min="4364" max="4364" width="8.42578125" style="4" customWidth="1"/>
    <col min="4365" max="4365" width="9.28515625" style="4" customWidth="1"/>
    <col min="4366" max="4366" width="8.42578125" style="4" customWidth="1"/>
    <col min="4367" max="4367" width="11.28515625" style="4" customWidth="1"/>
    <col min="4368" max="4368" width="9.28515625" style="4" customWidth="1"/>
    <col min="4369" max="4606" width="9.140625" style="4"/>
    <col min="4607" max="4607" width="18.7109375" style="4" customWidth="1"/>
    <col min="4608" max="4608" width="25.140625" style="4" customWidth="1"/>
    <col min="4609" max="4611" width="7.5703125" style="4" customWidth="1"/>
    <col min="4612" max="4614" width="6.7109375" style="4" customWidth="1"/>
    <col min="4615" max="4618" width="7.5703125" style="4" customWidth="1"/>
    <col min="4619" max="4619" width="8.140625" style="4" customWidth="1"/>
    <col min="4620" max="4620" width="8.42578125" style="4" customWidth="1"/>
    <col min="4621" max="4621" width="9.28515625" style="4" customWidth="1"/>
    <col min="4622" max="4622" width="8.42578125" style="4" customWidth="1"/>
    <col min="4623" max="4623" width="11.28515625" style="4" customWidth="1"/>
    <col min="4624" max="4624" width="9.28515625" style="4" customWidth="1"/>
    <col min="4625" max="4862" width="9.140625" style="4"/>
    <col min="4863" max="4863" width="18.7109375" style="4" customWidth="1"/>
    <col min="4864" max="4864" width="25.140625" style="4" customWidth="1"/>
    <col min="4865" max="4867" width="7.5703125" style="4" customWidth="1"/>
    <col min="4868" max="4870" width="6.7109375" style="4" customWidth="1"/>
    <col min="4871" max="4874" width="7.5703125" style="4" customWidth="1"/>
    <col min="4875" max="4875" width="8.140625" style="4" customWidth="1"/>
    <col min="4876" max="4876" width="8.42578125" style="4" customWidth="1"/>
    <col min="4877" max="4877" width="9.28515625" style="4" customWidth="1"/>
    <col min="4878" max="4878" width="8.42578125" style="4" customWidth="1"/>
    <col min="4879" max="4879" width="11.28515625" style="4" customWidth="1"/>
    <col min="4880" max="4880" width="9.28515625" style="4" customWidth="1"/>
    <col min="4881" max="5118" width="9.140625" style="4"/>
    <col min="5119" max="5119" width="18.7109375" style="4" customWidth="1"/>
    <col min="5120" max="5120" width="25.140625" style="4" customWidth="1"/>
    <col min="5121" max="5123" width="7.5703125" style="4" customWidth="1"/>
    <col min="5124" max="5126" width="6.7109375" style="4" customWidth="1"/>
    <col min="5127" max="5130" width="7.5703125" style="4" customWidth="1"/>
    <col min="5131" max="5131" width="8.140625" style="4" customWidth="1"/>
    <col min="5132" max="5132" width="8.42578125" style="4" customWidth="1"/>
    <col min="5133" max="5133" width="9.28515625" style="4" customWidth="1"/>
    <col min="5134" max="5134" width="8.42578125" style="4" customWidth="1"/>
    <col min="5135" max="5135" width="11.28515625" style="4" customWidth="1"/>
    <col min="5136" max="5136" width="9.28515625" style="4" customWidth="1"/>
    <col min="5137" max="5374" width="9.140625" style="4"/>
    <col min="5375" max="5375" width="18.7109375" style="4" customWidth="1"/>
    <col min="5376" max="5376" width="25.140625" style="4" customWidth="1"/>
    <col min="5377" max="5379" width="7.5703125" style="4" customWidth="1"/>
    <col min="5380" max="5382" width="6.7109375" style="4" customWidth="1"/>
    <col min="5383" max="5386" width="7.5703125" style="4" customWidth="1"/>
    <col min="5387" max="5387" width="8.140625" style="4" customWidth="1"/>
    <col min="5388" max="5388" width="8.42578125" style="4" customWidth="1"/>
    <col min="5389" max="5389" width="9.28515625" style="4" customWidth="1"/>
    <col min="5390" max="5390" width="8.42578125" style="4" customWidth="1"/>
    <col min="5391" max="5391" width="11.28515625" style="4" customWidth="1"/>
    <col min="5392" max="5392" width="9.28515625" style="4" customWidth="1"/>
    <col min="5393" max="5630" width="9.140625" style="4"/>
    <col min="5631" max="5631" width="18.7109375" style="4" customWidth="1"/>
    <col min="5632" max="5632" width="25.140625" style="4" customWidth="1"/>
    <col min="5633" max="5635" width="7.5703125" style="4" customWidth="1"/>
    <col min="5636" max="5638" width="6.7109375" style="4" customWidth="1"/>
    <col min="5639" max="5642" width="7.5703125" style="4" customWidth="1"/>
    <col min="5643" max="5643" width="8.140625" style="4" customWidth="1"/>
    <col min="5644" max="5644" width="8.42578125" style="4" customWidth="1"/>
    <col min="5645" max="5645" width="9.28515625" style="4" customWidth="1"/>
    <col min="5646" max="5646" width="8.42578125" style="4" customWidth="1"/>
    <col min="5647" max="5647" width="11.28515625" style="4" customWidth="1"/>
    <col min="5648" max="5648" width="9.28515625" style="4" customWidth="1"/>
    <col min="5649" max="5886" width="9.140625" style="4"/>
    <col min="5887" max="5887" width="18.7109375" style="4" customWidth="1"/>
    <col min="5888" max="5888" width="25.140625" style="4" customWidth="1"/>
    <col min="5889" max="5891" width="7.5703125" style="4" customWidth="1"/>
    <col min="5892" max="5894" width="6.7109375" style="4" customWidth="1"/>
    <col min="5895" max="5898" width="7.5703125" style="4" customWidth="1"/>
    <col min="5899" max="5899" width="8.140625" style="4" customWidth="1"/>
    <col min="5900" max="5900" width="8.42578125" style="4" customWidth="1"/>
    <col min="5901" max="5901" width="9.28515625" style="4" customWidth="1"/>
    <col min="5902" max="5902" width="8.42578125" style="4" customWidth="1"/>
    <col min="5903" max="5903" width="11.28515625" style="4" customWidth="1"/>
    <col min="5904" max="5904" width="9.28515625" style="4" customWidth="1"/>
    <col min="5905" max="6142" width="9.140625" style="4"/>
    <col min="6143" max="6143" width="18.7109375" style="4" customWidth="1"/>
    <col min="6144" max="6144" width="25.140625" style="4" customWidth="1"/>
    <col min="6145" max="6147" width="7.5703125" style="4" customWidth="1"/>
    <col min="6148" max="6150" width="6.7109375" style="4" customWidth="1"/>
    <col min="6151" max="6154" width="7.5703125" style="4" customWidth="1"/>
    <col min="6155" max="6155" width="8.140625" style="4" customWidth="1"/>
    <col min="6156" max="6156" width="8.42578125" style="4" customWidth="1"/>
    <col min="6157" max="6157" width="9.28515625" style="4" customWidth="1"/>
    <col min="6158" max="6158" width="8.42578125" style="4" customWidth="1"/>
    <col min="6159" max="6159" width="11.28515625" style="4" customWidth="1"/>
    <col min="6160" max="6160" width="9.28515625" style="4" customWidth="1"/>
    <col min="6161" max="6398" width="9.140625" style="4"/>
    <col min="6399" max="6399" width="18.7109375" style="4" customWidth="1"/>
    <col min="6400" max="6400" width="25.140625" style="4" customWidth="1"/>
    <col min="6401" max="6403" width="7.5703125" style="4" customWidth="1"/>
    <col min="6404" max="6406" width="6.7109375" style="4" customWidth="1"/>
    <col min="6407" max="6410" width="7.5703125" style="4" customWidth="1"/>
    <col min="6411" max="6411" width="8.140625" style="4" customWidth="1"/>
    <col min="6412" max="6412" width="8.42578125" style="4" customWidth="1"/>
    <col min="6413" max="6413" width="9.28515625" style="4" customWidth="1"/>
    <col min="6414" max="6414" width="8.42578125" style="4" customWidth="1"/>
    <col min="6415" max="6415" width="11.28515625" style="4" customWidth="1"/>
    <col min="6416" max="6416" width="9.28515625" style="4" customWidth="1"/>
    <col min="6417" max="6654" width="9.140625" style="4"/>
    <col min="6655" max="6655" width="18.7109375" style="4" customWidth="1"/>
    <col min="6656" max="6656" width="25.140625" style="4" customWidth="1"/>
    <col min="6657" max="6659" width="7.5703125" style="4" customWidth="1"/>
    <col min="6660" max="6662" width="6.7109375" style="4" customWidth="1"/>
    <col min="6663" max="6666" width="7.5703125" style="4" customWidth="1"/>
    <col min="6667" max="6667" width="8.140625" style="4" customWidth="1"/>
    <col min="6668" max="6668" width="8.42578125" style="4" customWidth="1"/>
    <col min="6669" max="6669" width="9.28515625" style="4" customWidth="1"/>
    <col min="6670" max="6670" width="8.42578125" style="4" customWidth="1"/>
    <col min="6671" max="6671" width="11.28515625" style="4" customWidth="1"/>
    <col min="6672" max="6672" width="9.28515625" style="4" customWidth="1"/>
    <col min="6673" max="6910" width="9.140625" style="4"/>
    <col min="6911" max="6911" width="18.7109375" style="4" customWidth="1"/>
    <col min="6912" max="6912" width="25.140625" style="4" customWidth="1"/>
    <col min="6913" max="6915" width="7.5703125" style="4" customWidth="1"/>
    <col min="6916" max="6918" width="6.7109375" style="4" customWidth="1"/>
    <col min="6919" max="6922" width="7.5703125" style="4" customWidth="1"/>
    <col min="6923" max="6923" width="8.140625" style="4" customWidth="1"/>
    <col min="6924" max="6924" width="8.42578125" style="4" customWidth="1"/>
    <col min="6925" max="6925" width="9.28515625" style="4" customWidth="1"/>
    <col min="6926" max="6926" width="8.42578125" style="4" customWidth="1"/>
    <col min="6927" max="6927" width="11.28515625" style="4" customWidth="1"/>
    <col min="6928" max="6928" width="9.28515625" style="4" customWidth="1"/>
    <col min="6929" max="7166" width="9.140625" style="4"/>
    <col min="7167" max="7167" width="18.7109375" style="4" customWidth="1"/>
    <col min="7168" max="7168" width="25.140625" style="4" customWidth="1"/>
    <col min="7169" max="7171" width="7.5703125" style="4" customWidth="1"/>
    <col min="7172" max="7174" width="6.7109375" style="4" customWidth="1"/>
    <col min="7175" max="7178" width="7.5703125" style="4" customWidth="1"/>
    <col min="7179" max="7179" width="8.140625" style="4" customWidth="1"/>
    <col min="7180" max="7180" width="8.42578125" style="4" customWidth="1"/>
    <col min="7181" max="7181" width="9.28515625" style="4" customWidth="1"/>
    <col min="7182" max="7182" width="8.42578125" style="4" customWidth="1"/>
    <col min="7183" max="7183" width="11.28515625" style="4" customWidth="1"/>
    <col min="7184" max="7184" width="9.28515625" style="4" customWidth="1"/>
    <col min="7185" max="7422" width="9.140625" style="4"/>
    <col min="7423" max="7423" width="18.7109375" style="4" customWidth="1"/>
    <col min="7424" max="7424" width="25.140625" style="4" customWidth="1"/>
    <col min="7425" max="7427" width="7.5703125" style="4" customWidth="1"/>
    <col min="7428" max="7430" width="6.7109375" style="4" customWidth="1"/>
    <col min="7431" max="7434" width="7.5703125" style="4" customWidth="1"/>
    <col min="7435" max="7435" width="8.140625" style="4" customWidth="1"/>
    <col min="7436" max="7436" width="8.42578125" style="4" customWidth="1"/>
    <col min="7437" max="7437" width="9.28515625" style="4" customWidth="1"/>
    <col min="7438" max="7438" width="8.42578125" style="4" customWidth="1"/>
    <col min="7439" max="7439" width="11.28515625" style="4" customWidth="1"/>
    <col min="7440" max="7440" width="9.28515625" style="4" customWidth="1"/>
    <col min="7441" max="7678" width="9.140625" style="4"/>
    <col min="7679" max="7679" width="18.7109375" style="4" customWidth="1"/>
    <col min="7680" max="7680" width="25.140625" style="4" customWidth="1"/>
    <col min="7681" max="7683" width="7.5703125" style="4" customWidth="1"/>
    <col min="7684" max="7686" width="6.7109375" style="4" customWidth="1"/>
    <col min="7687" max="7690" width="7.5703125" style="4" customWidth="1"/>
    <col min="7691" max="7691" width="8.140625" style="4" customWidth="1"/>
    <col min="7692" max="7692" width="8.42578125" style="4" customWidth="1"/>
    <col min="7693" max="7693" width="9.28515625" style="4" customWidth="1"/>
    <col min="7694" max="7694" width="8.42578125" style="4" customWidth="1"/>
    <col min="7695" max="7695" width="11.28515625" style="4" customWidth="1"/>
    <col min="7696" max="7696" width="9.28515625" style="4" customWidth="1"/>
    <col min="7697" max="7934" width="9.140625" style="4"/>
    <col min="7935" max="7935" width="18.7109375" style="4" customWidth="1"/>
    <col min="7936" max="7936" width="25.140625" style="4" customWidth="1"/>
    <col min="7937" max="7939" width="7.5703125" style="4" customWidth="1"/>
    <col min="7940" max="7942" width="6.7109375" style="4" customWidth="1"/>
    <col min="7943" max="7946" width="7.5703125" style="4" customWidth="1"/>
    <col min="7947" max="7947" width="8.140625" style="4" customWidth="1"/>
    <col min="7948" max="7948" width="8.42578125" style="4" customWidth="1"/>
    <col min="7949" max="7949" width="9.28515625" style="4" customWidth="1"/>
    <col min="7950" max="7950" width="8.42578125" style="4" customWidth="1"/>
    <col min="7951" max="7951" width="11.28515625" style="4" customWidth="1"/>
    <col min="7952" max="7952" width="9.28515625" style="4" customWidth="1"/>
    <col min="7953" max="8190" width="9.140625" style="4"/>
    <col min="8191" max="8191" width="18.7109375" style="4" customWidth="1"/>
    <col min="8192" max="8192" width="25.140625" style="4" customWidth="1"/>
    <col min="8193" max="8195" width="7.5703125" style="4" customWidth="1"/>
    <col min="8196" max="8198" width="6.7109375" style="4" customWidth="1"/>
    <col min="8199" max="8202" width="7.5703125" style="4" customWidth="1"/>
    <col min="8203" max="8203" width="8.140625" style="4" customWidth="1"/>
    <col min="8204" max="8204" width="8.42578125" style="4" customWidth="1"/>
    <col min="8205" max="8205" width="9.28515625" style="4" customWidth="1"/>
    <col min="8206" max="8206" width="8.42578125" style="4" customWidth="1"/>
    <col min="8207" max="8207" width="11.28515625" style="4" customWidth="1"/>
    <col min="8208" max="8208" width="9.28515625" style="4" customWidth="1"/>
    <col min="8209" max="8446" width="9.140625" style="4"/>
    <col min="8447" max="8447" width="18.7109375" style="4" customWidth="1"/>
    <col min="8448" max="8448" width="25.140625" style="4" customWidth="1"/>
    <col min="8449" max="8451" width="7.5703125" style="4" customWidth="1"/>
    <col min="8452" max="8454" width="6.7109375" style="4" customWidth="1"/>
    <col min="8455" max="8458" width="7.5703125" style="4" customWidth="1"/>
    <col min="8459" max="8459" width="8.140625" style="4" customWidth="1"/>
    <col min="8460" max="8460" width="8.42578125" style="4" customWidth="1"/>
    <col min="8461" max="8461" width="9.28515625" style="4" customWidth="1"/>
    <col min="8462" max="8462" width="8.42578125" style="4" customWidth="1"/>
    <col min="8463" max="8463" width="11.28515625" style="4" customWidth="1"/>
    <col min="8464" max="8464" width="9.28515625" style="4" customWidth="1"/>
    <col min="8465" max="8702" width="9.140625" style="4"/>
    <col min="8703" max="8703" width="18.7109375" style="4" customWidth="1"/>
    <col min="8704" max="8704" width="25.140625" style="4" customWidth="1"/>
    <col min="8705" max="8707" width="7.5703125" style="4" customWidth="1"/>
    <col min="8708" max="8710" width="6.7109375" style="4" customWidth="1"/>
    <col min="8711" max="8714" width="7.5703125" style="4" customWidth="1"/>
    <col min="8715" max="8715" width="8.140625" style="4" customWidth="1"/>
    <col min="8716" max="8716" width="8.42578125" style="4" customWidth="1"/>
    <col min="8717" max="8717" width="9.28515625" style="4" customWidth="1"/>
    <col min="8718" max="8718" width="8.42578125" style="4" customWidth="1"/>
    <col min="8719" max="8719" width="11.28515625" style="4" customWidth="1"/>
    <col min="8720" max="8720" width="9.28515625" style="4" customWidth="1"/>
    <col min="8721" max="8958" width="9.140625" style="4"/>
    <col min="8959" max="8959" width="18.7109375" style="4" customWidth="1"/>
    <col min="8960" max="8960" width="25.140625" style="4" customWidth="1"/>
    <col min="8961" max="8963" width="7.5703125" style="4" customWidth="1"/>
    <col min="8964" max="8966" width="6.7109375" style="4" customWidth="1"/>
    <col min="8967" max="8970" width="7.5703125" style="4" customWidth="1"/>
    <col min="8971" max="8971" width="8.140625" style="4" customWidth="1"/>
    <col min="8972" max="8972" width="8.42578125" style="4" customWidth="1"/>
    <col min="8973" max="8973" width="9.28515625" style="4" customWidth="1"/>
    <col min="8974" max="8974" width="8.42578125" style="4" customWidth="1"/>
    <col min="8975" max="8975" width="11.28515625" style="4" customWidth="1"/>
    <col min="8976" max="8976" width="9.28515625" style="4" customWidth="1"/>
    <col min="8977" max="9214" width="9.140625" style="4"/>
    <col min="9215" max="9215" width="18.7109375" style="4" customWidth="1"/>
    <col min="9216" max="9216" width="25.140625" style="4" customWidth="1"/>
    <col min="9217" max="9219" width="7.5703125" style="4" customWidth="1"/>
    <col min="9220" max="9222" width="6.7109375" style="4" customWidth="1"/>
    <col min="9223" max="9226" width="7.5703125" style="4" customWidth="1"/>
    <col min="9227" max="9227" width="8.140625" style="4" customWidth="1"/>
    <col min="9228" max="9228" width="8.42578125" style="4" customWidth="1"/>
    <col min="9229" max="9229" width="9.28515625" style="4" customWidth="1"/>
    <col min="9230" max="9230" width="8.42578125" style="4" customWidth="1"/>
    <col min="9231" max="9231" width="11.28515625" style="4" customWidth="1"/>
    <col min="9232" max="9232" width="9.28515625" style="4" customWidth="1"/>
    <col min="9233" max="9470" width="9.140625" style="4"/>
    <col min="9471" max="9471" width="18.7109375" style="4" customWidth="1"/>
    <col min="9472" max="9472" width="25.140625" style="4" customWidth="1"/>
    <col min="9473" max="9475" width="7.5703125" style="4" customWidth="1"/>
    <col min="9476" max="9478" width="6.7109375" style="4" customWidth="1"/>
    <col min="9479" max="9482" width="7.5703125" style="4" customWidth="1"/>
    <col min="9483" max="9483" width="8.140625" style="4" customWidth="1"/>
    <col min="9484" max="9484" width="8.42578125" style="4" customWidth="1"/>
    <col min="9485" max="9485" width="9.28515625" style="4" customWidth="1"/>
    <col min="9486" max="9486" width="8.42578125" style="4" customWidth="1"/>
    <col min="9487" max="9487" width="11.28515625" style="4" customWidth="1"/>
    <col min="9488" max="9488" width="9.28515625" style="4" customWidth="1"/>
    <col min="9489" max="9726" width="9.140625" style="4"/>
    <col min="9727" max="9727" width="18.7109375" style="4" customWidth="1"/>
    <col min="9728" max="9728" width="25.140625" style="4" customWidth="1"/>
    <col min="9729" max="9731" width="7.5703125" style="4" customWidth="1"/>
    <col min="9732" max="9734" width="6.7109375" style="4" customWidth="1"/>
    <col min="9735" max="9738" width="7.5703125" style="4" customWidth="1"/>
    <col min="9739" max="9739" width="8.140625" style="4" customWidth="1"/>
    <col min="9740" max="9740" width="8.42578125" style="4" customWidth="1"/>
    <col min="9741" max="9741" width="9.28515625" style="4" customWidth="1"/>
    <col min="9742" max="9742" width="8.42578125" style="4" customWidth="1"/>
    <col min="9743" max="9743" width="11.28515625" style="4" customWidth="1"/>
    <col min="9744" max="9744" width="9.28515625" style="4" customWidth="1"/>
    <col min="9745" max="9982" width="9.140625" style="4"/>
    <col min="9983" max="9983" width="18.7109375" style="4" customWidth="1"/>
    <col min="9984" max="9984" width="25.140625" style="4" customWidth="1"/>
    <col min="9985" max="9987" width="7.5703125" style="4" customWidth="1"/>
    <col min="9988" max="9990" width="6.7109375" style="4" customWidth="1"/>
    <col min="9991" max="9994" width="7.5703125" style="4" customWidth="1"/>
    <col min="9995" max="9995" width="8.140625" style="4" customWidth="1"/>
    <col min="9996" max="9996" width="8.42578125" style="4" customWidth="1"/>
    <col min="9997" max="9997" width="9.28515625" style="4" customWidth="1"/>
    <col min="9998" max="9998" width="8.42578125" style="4" customWidth="1"/>
    <col min="9999" max="9999" width="11.28515625" style="4" customWidth="1"/>
    <col min="10000" max="10000" width="9.28515625" style="4" customWidth="1"/>
    <col min="10001" max="10238" width="9.140625" style="4"/>
    <col min="10239" max="10239" width="18.7109375" style="4" customWidth="1"/>
    <col min="10240" max="10240" width="25.140625" style="4" customWidth="1"/>
    <col min="10241" max="10243" width="7.5703125" style="4" customWidth="1"/>
    <col min="10244" max="10246" width="6.7109375" style="4" customWidth="1"/>
    <col min="10247" max="10250" width="7.5703125" style="4" customWidth="1"/>
    <col min="10251" max="10251" width="8.140625" style="4" customWidth="1"/>
    <col min="10252" max="10252" width="8.42578125" style="4" customWidth="1"/>
    <col min="10253" max="10253" width="9.28515625" style="4" customWidth="1"/>
    <col min="10254" max="10254" width="8.42578125" style="4" customWidth="1"/>
    <col min="10255" max="10255" width="11.28515625" style="4" customWidth="1"/>
    <col min="10256" max="10256" width="9.28515625" style="4" customWidth="1"/>
    <col min="10257" max="10494" width="9.140625" style="4"/>
    <col min="10495" max="10495" width="18.7109375" style="4" customWidth="1"/>
    <col min="10496" max="10496" width="25.140625" style="4" customWidth="1"/>
    <col min="10497" max="10499" width="7.5703125" style="4" customWidth="1"/>
    <col min="10500" max="10502" width="6.7109375" style="4" customWidth="1"/>
    <col min="10503" max="10506" width="7.5703125" style="4" customWidth="1"/>
    <col min="10507" max="10507" width="8.140625" style="4" customWidth="1"/>
    <col min="10508" max="10508" width="8.42578125" style="4" customWidth="1"/>
    <col min="10509" max="10509" width="9.28515625" style="4" customWidth="1"/>
    <col min="10510" max="10510" width="8.42578125" style="4" customWidth="1"/>
    <col min="10511" max="10511" width="11.28515625" style="4" customWidth="1"/>
    <col min="10512" max="10512" width="9.28515625" style="4" customWidth="1"/>
    <col min="10513" max="10750" width="9.140625" style="4"/>
    <col min="10751" max="10751" width="18.7109375" style="4" customWidth="1"/>
    <col min="10752" max="10752" width="25.140625" style="4" customWidth="1"/>
    <col min="10753" max="10755" width="7.5703125" style="4" customWidth="1"/>
    <col min="10756" max="10758" width="6.7109375" style="4" customWidth="1"/>
    <col min="10759" max="10762" width="7.5703125" style="4" customWidth="1"/>
    <col min="10763" max="10763" width="8.140625" style="4" customWidth="1"/>
    <col min="10764" max="10764" width="8.42578125" style="4" customWidth="1"/>
    <col min="10765" max="10765" width="9.28515625" style="4" customWidth="1"/>
    <col min="10766" max="10766" width="8.42578125" style="4" customWidth="1"/>
    <col min="10767" max="10767" width="11.28515625" style="4" customWidth="1"/>
    <col min="10768" max="10768" width="9.28515625" style="4" customWidth="1"/>
    <col min="10769" max="11006" width="9.140625" style="4"/>
    <col min="11007" max="11007" width="18.7109375" style="4" customWidth="1"/>
    <col min="11008" max="11008" width="25.140625" style="4" customWidth="1"/>
    <col min="11009" max="11011" width="7.5703125" style="4" customWidth="1"/>
    <col min="11012" max="11014" width="6.7109375" style="4" customWidth="1"/>
    <col min="11015" max="11018" width="7.5703125" style="4" customWidth="1"/>
    <col min="11019" max="11019" width="8.140625" style="4" customWidth="1"/>
    <col min="11020" max="11020" width="8.42578125" style="4" customWidth="1"/>
    <col min="11021" max="11021" width="9.28515625" style="4" customWidth="1"/>
    <col min="11022" max="11022" width="8.42578125" style="4" customWidth="1"/>
    <col min="11023" max="11023" width="11.28515625" style="4" customWidth="1"/>
    <col min="11024" max="11024" width="9.28515625" style="4" customWidth="1"/>
    <col min="11025" max="11262" width="9.140625" style="4"/>
    <col min="11263" max="11263" width="18.7109375" style="4" customWidth="1"/>
    <col min="11264" max="11264" width="25.140625" style="4" customWidth="1"/>
    <col min="11265" max="11267" width="7.5703125" style="4" customWidth="1"/>
    <col min="11268" max="11270" width="6.7109375" style="4" customWidth="1"/>
    <col min="11271" max="11274" width="7.5703125" style="4" customWidth="1"/>
    <col min="11275" max="11275" width="8.140625" style="4" customWidth="1"/>
    <col min="11276" max="11276" width="8.42578125" style="4" customWidth="1"/>
    <col min="11277" max="11277" width="9.28515625" style="4" customWidth="1"/>
    <col min="11278" max="11278" width="8.42578125" style="4" customWidth="1"/>
    <col min="11279" max="11279" width="11.28515625" style="4" customWidth="1"/>
    <col min="11280" max="11280" width="9.28515625" style="4" customWidth="1"/>
    <col min="11281" max="11518" width="9.140625" style="4"/>
    <col min="11519" max="11519" width="18.7109375" style="4" customWidth="1"/>
    <col min="11520" max="11520" width="25.140625" style="4" customWidth="1"/>
    <col min="11521" max="11523" width="7.5703125" style="4" customWidth="1"/>
    <col min="11524" max="11526" width="6.7109375" style="4" customWidth="1"/>
    <col min="11527" max="11530" width="7.5703125" style="4" customWidth="1"/>
    <col min="11531" max="11531" width="8.140625" style="4" customWidth="1"/>
    <col min="11532" max="11532" width="8.42578125" style="4" customWidth="1"/>
    <col min="11533" max="11533" width="9.28515625" style="4" customWidth="1"/>
    <col min="11534" max="11534" width="8.42578125" style="4" customWidth="1"/>
    <col min="11535" max="11535" width="11.28515625" style="4" customWidth="1"/>
    <col min="11536" max="11536" width="9.28515625" style="4" customWidth="1"/>
    <col min="11537" max="11774" width="9.140625" style="4"/>
    <col min="11775" max="11775" width="18.7109375" style="4" customWidth="1"/>
    <col min="11776" max="11776" width="25.140625" style="4" customWidth="1"/>
    <col min="11777" max="11779" width="7.5703125" style="4" customWidth="1"/>
    <col min="11780" max="11782" width="6.7109375" style="4" customWidth="1"/>
    <col min="11783" max="11786" width="7.5703125" style="4" customWidth="1"/>
    <col min="11787" max="11787" width="8.140625" style="4" customWidth="1"/>
    <col min="11788" max="11788" width="8.42578125" style="4" customWidth="1"/>
    <col min="11789" max="11789" width="9.28515625" style="4" customWidth="1"/>
    <col min="11790" max="11790" width="8.42578125" style="4" customWidth="1"/>
    <col min="11791" max="11791" width="11.28515625" style="4" customWidth="1"/>
    <col min="11792" max="11792" width="9.28515625" style="4" customWidth="1"/>
    <col min="11793" max="12030" width="9.140625" style="4"/>
    <col min="12031" max="12031" width="18.7109375" style="4" customWidth="1"/>
    <col min="12032" max="12032" width="25.140625" style="4" customWidth="1"/>
    <col min="12033" max="12035" width="7.5703125" style="4" customWidth="1"/>
    <col min="12036" max="12038" width="6.7109375" style="4" customWidth="1"/>
    <col min="12039" max="12042" width="7.5703125" style="4" customWidth="1"/>
    <col min="12043" max="12043" width="8.140625" style="4" customWidth="1"/>
    <col min="12044" max="12044" width="8.42578125" style="4" customWidth="1"/>
    <col min="12045" max="12045" width="9.28515625" style="4" customWidth="1"/>
    <col min="12046" max="12046" width="8.42578125" style="4" customWidth="1"/>
    <col min="12047" max="12047" width="11.28515625" style="4" customWidth="1"/>
    <col min="12048" max="12048" width="9.28515625" style="4" customWidth="1"/>
    <col min="12049" max="12286" width="9.140625" style="4"/>
    <col min="12287" max="12287" width="18.7109375" style="4" customWidth="1"/>
    <col min="12288" max="12288" width="25.140625" style="4" customWidth="1"/>
    <col min="12289" max="12291" width="7.5703125" style="4" customWidth="1"/>
    <col min="12292" max="12294" width="6.7109375" style="4" customWidth="1"/>
    <col min="12295" max="12298" width="7.5703125" style="4" customWidth="1"/>
    <col min="12299" max="12299" width="8.140625" style="4" customWidth="1"/>
    <col min="12300" max="12300" width="8.42578125" style="4" customWidth="1"/>
    <col min="12301" max="12301" width="9.28515625" style="4" customWidth="1"/>
    <col min="12302" max="12302" width="8.42578125" style="4" customWidth="1"/>
    <col min="12303" max="12303" width="11.28515625" style="4" customWidth="1"/>
    <col min="12304" max="12304" width="9.28515625" style="4" customWidth="1"/>
    <col min="12305" max="12542" width="9.140625" style="4"/>
    <col min="12543" max="12543" width="18.7109375" style="4" customWidth="1"/>
    <col min="12544" max="12544" width="25.140625" style="4" customWidth="1"/>
    <col min="12545" max="12547" width="7.5703125" style="4" customWidth="1"/>
    <col min="12548" max="12550" width="6.7109375" style="4" customWidth="1"/>
    <col min="12551" max="12554" width="7.5703125" style="4" customWidth="1"/>
    <col min="12555" max="12555" width="8.140625" style="4" customWidth="1"/>
    <col min="12556" max="12556" width="8.42578125" style="4" customWidth="1"/>
    <col min="12557" max="12557" width="9.28515625" style="4" customWidth="1"/>
    <col min="12558" max="12558" width="8.42578125" style="4" customWidth="1"/>
    <col min="12559" max="12559" width="11.28515625" style="4" customWidth="1"/>
    <col min="12560" max="12560" width="9.28515625" style="4" customWidth="1"/>
    <col min="12561" max="12798" width="9.140625" style="4"/>
    <col min="12799" max="12799" width="18.7109375" style="4" customWidth="1"/>
    <col min="12800" max="12800" width="25.140625" style="4" customWidth="1"/>
    <col min="12801" max="12803" width="7.5703125" style="4" customWidth="1"/>
    <col min="12804" max="12806" width="6.7109375" style="4" customWidth="1"/>
    <col min="12807" max="12810" width="7.5703125" style="4" customWidth="1"/>
    <col min="12811" max="12811" width="8.140625" style="4" customWidth="1"/>
    <col min="12812" max="12812" width="8.42578125" style="4" customWidth="1"/>
    <col min="12813" max="12813" width="9.28515625" style="4" customWidth="1"/>
    <col min="12814" max="12814" width="8.42578125" style="4" customWidth="1"/>
    <col min="12815" max="12815" width="11.28515625" style="4" customWidth="1"/>
    <col min="12816" max="12816" width="9.28515625" style="4" customWidth="1"/>
    <col min="12817" max="13054" width="9.140625" style="4"/>
    <col min="13055" max="13055" width="18.7109375" style="4" customWidth="1"/>
    <col min="13056" max="13056" width="25.140625" style="4" customWidth="1"/>
    <col min="13057" max="13059" width="7.5703125" style="4" customWidth="1"/>
    <col min="13060" max="13062" width="6.7109375" style="4" customWidth="1"/>
    <col min="13063" max="13066" width="7.5703125" style="4" customWidth="1"/>
    <col min="13067" max="13067" width="8.140625" style="4" customWidth="1"/>
    <col min="13068" max="13068" width="8.42578125" style="4" customWidth="1"/>
    <col min="13069" max="13069" width="9.28515625" style="4" customWidth="1"/>
    <col min="13070" max="13070" width="8.42578125" style="4" customWidth="1"/>
    <col min="13071" max="13071" width="11.28515625" style="4" customWidth="1"/>
    <col min="13072" max="13072" width="9.28515625" style="4" customWidth="1"/>
    <col min="13073" max="13310" width="9.140625" style="4"/>
    <col min="13311" max="13311" width="18.7109375" style="4" customWidth="1"/>
    <col min="13312" max="13312" width="25.140625" style="4" customWidth="1"/>
    <col min="13313" max="13315" width="7.5703125" style="4" customWidth="1"/>
    <col min="13316" max="13318" width="6.7109375" style="4" customWidth="1"/>
    <col min="13319" max="13322" width="7.5703125" style="4" customWidth="1"/>
    <col min="13323" max="13323" width="8.140625" style="4" customWidth="1"/>
    <col min="13324" max="13324" width="8.42578125" style="4" customWidth="1"/>
    <col min="13325" max="13325" width="9.28515625" style="4" customWidth="1"/>
    <col min="13326" max="13326" width="8.42578125" style="4" customWidth="1"/>
    <col min="13327" max="13327" width="11.28515625" style="4" customWidth="1"/>
    <col min="13328" max="13328" width="9.28515625" style="4" customWidth="1"/>
    <col min="13329" max="13566" width="9.140625" style="4"/>
    <col min="13567" max="13567" width="18.7109375" style="4" customWidth="1"/>
    <col min="13568" max="13568" width="25.140625" style="4" customWidth="1"/>
    <col min="13569" max="13571" width="7.5703125" style="4" customWidth="1"/>
    <col min="13572" max="13574" width="6.7109375" style="4" customWidth="1"/>
    <col min="13575" max="13578" width="7.5703125" style="4" customWidth="1"/>
    <col min="13579" max="13579" width="8.140625" style="4" customWidth="1"/>
    <col min="13580" max="13580" width="8.42578125" style="4" customWidth="1"/>
    <col min="13581" max="13581" width="9.28515625" style="4" customWidth="1"/>
    <col min="13582" max="13582" width="8.42578125" style="4" customWidth="1"/>
    <col min="13583" max="13583" width="11.28515625" style="4" customWidth="1"/>
    <col min="13584" max="13584" width="9.28515625" style="4" customWidth="1"/>
    <col min="13585" max="13822" width="9.140625" style="4"/>
    <col min="13823" max="13823" width="18.7109375" style="4" customWidth="1"/>
    <col min="13824" max="13824" width="25.140625" style="4" customWidth="1"/>
    <col min="13825" max="13827" width="7.5703125" style="4" customWidth="1"/>
    <col min="13828" max="13830" width="6.7109375" style="4" customWidth="1"/>
    <col min="13831" max="13834" width="7.5703125" style="4" customWidth="1"/>
    <col min="13835" max="13835" width="8.140625" style="4" customWidth="1"/>
    <col min="13836" max="13836" width="8.42578125" style="4" customWidth="1"/>
    <col min="13837" max="13837" width="9.28515625" style="4" customWidth="1"/>
    <col min="13838" max="13838" width="8.42578125" style="4" customWidth="1"/>
    <col min="13839" max="13839" width="11.28515625" style="4" customWidth="1"/>
    <col min="13840" max="13840" width="9.28515625" style="4" customWidth="1"/>
    <col min="13841" max="14078" width="9.140625" style="4"/>
    <col min="14079" max="14079" width="18.7109375" style="4" customWidth="1"/>
    <col min="14080" max="14080" width="25.140625" style="4" customWidth="1"/>
    <col min="14081" max="14083" width="7.5703125" style="4" customWidth="1"/>
    <col min="14084" max="14086" width="6.7109375" style="4" customWidth="1"/>
    <col min="14087" max="14090" width="7.5703125" style="4" customWidth="1"/>
    <col min="14091" max="14091" width="8.140625" style="4" customWidth="1"/>
    <col min="14092" max="14092" width="8.42578125" style="4" customWidth="1"/>
    <col min="14093" max="14093" width="9.28515625" style="4" customWidth="1"/>
    <col min="14094" max="14094" width="8.42578125" style="4" customWidth="1"/>
    <col min="14095" max="14095" width="11.28515625" style="4" customWidth="1"/>
    <col min="14096" max="14096" width="9.28515625" style="4" customWidth="1"/>
    <col min="14097" max="14334" width="9.140625" style="4"/>
    <col min="14335" max="14335" width="18.7109375" style="4" customWidth="1"/>
    <col min="14336" max="14336" width="25.140625" style="4" customWidth="1"/>
    <col min="14337" max="14339" width="7.5703125" style="4" customWidth="1"/>
    <col min="14340" max="14342" width="6.7109375" style="4" customWidth="1"/>
    <col min="14343" max="14346" width="7.5703125" style="4" customWidth="1"/>
    <col min="14347" max="14347" width="8.140625" style="4" customWidth="1"/>
    <col min="14348" max="14348" width="8.42578125" style="4" customWidth="1"/>
    <col min="14349" max="14349" width="9.28515625" style="4" customWidth="1"/>
    <col min="14350" max="14350" width="8.42578125" style="4" customWidth="1"/>
    <col min="14351" max="14351" width="11.28515625" style="4" customWidth="1"/>
    <col min="14352" max="14352" width="9.28515625" style="4" customWidth="1"/>
    <col min="14353" max="14590" width="9.140625" style="4"/>
    <col min="14591" max="14591" width="18.7109375" style="4" customWidth="1"/>
    <col min="14592" max="14592" width="25.140625" style="4" customWidth="1"/>
    <col min="14593" max="14595" width="7.5703125" style="4" customWidth="1"/>
    <col min="14596" max="14598" width="6.7109375" style="4" customWidth="1"/>
    <col min="14599" max="14602" width="7.5703125" style="4" customWidth="1"/>
    <col min="14603" max="14603" width="8.140625" style="4" customWidth="1"/>
    <col min="14604" max="14604" width="8.42578125" style="4" customWidth="1"/>
    <col min="14605" max="14605" width="9.28515625" style="4" customWidth="1"/>
    <col min="14606" max="14606" width="8.42578125" style="4" customWidth="1"/>
    <col min="14607" max="14607" width="11.28515625" style="4" customWidth="1"/>
    <col min="14608" max="14608" width="9.28515625" style="4" customWidth="1"/>
    <col min="14609" max="14846" width="9.140625" style="4"/>
    <col min="14847" max="14847" width="18.7109375" style="4" customWidth="1"/>
    <col min="14848" max="14848" width="25.140625" style="4" customWidth="1"/>
    <col min="14849" max="14851" width="7.5703125" style="4" customWidth="1"/>
    <col min="14852" max="14854" width="6.7109375" style="4" customWidth="1"/>
    <col min="14855" max="14858" width="7.5703125" style="4" customWidth="1"/>
    <col min="14859" max="14859" width="8.140625" style="4" customWidth="1"/>
    <col min="14860" max="14860" width="8.42578125" style="4" customWidth="1"/>
    <col min="14861" max="14861" width="9.28515625" style="4" customWidth="1"/>
    <col min="14862" max="14862" width="8.42578125" style="4" customWidth="1"/>
    <col min="14863" max="14863" width="11.28515625" style="4" customWidth="1"/>
    <col min="14864" max="14864" width="9.28515625" style="4" customWidth="1"/>
    <col min="14865" max="15102" width="9.140625" style="4"/>
    <col min="15103" max="15103" width="18.7109375" style="4" customWidth="1"/>
    <col min="15104" max="15104" width="25.140625" style="4" customWidth="1"/>
    <col min="15105" max="15107" width="7.5703125" style="4" customWidth="1"/>
    <col min="15108" max="15110" width="6.7109375" style="4" customWidth="1"/>
    <col min="15111" max="15114" width="7.5703125" style="4" customWidth="1"/>
    <col min="15115" max="15115" width="8.140625" style="4" customWidth="1"/>
    <col min="15116" max="15116" width="8.42578125" style="4" customWidth="1"/>
    <col min="15117" max="15117" width="9.28515625" style="4" customWidth="1"/>
    <col min="15118" max="15118" width="8.42578125" style="4" customWidth="1"/>
    <col min="15119" max="15119" width="11.28515625" style="4" customWidth="1"/>
    <col min="15120" max="15120" width="9.28515625" style="4" customWidth="1"/>
    <col min="15121" max="15358" width="9.140625" style="4"/>
    <col min="15359" max="15359" width="18.7109375" style="4" customWidth="1"/>
    <col min="15360" max="15360" width="25.140625" style="4" customWidth="1"/>
    <col min="15361" max="15363" width="7.5703125" style="4" customWidth="1"/>
    <col min="15364" max="15366" width="6.7109375" style="4" customWidth="1"/>
    <col min="15367" max="15370" width="7.5703125" style="4" customWidth="1"/>
    <col min="15371" max="15371" width="8.140625" style="4" customWidth="1"/>
    <col min="15372" max="15372" width="8.42578125" style="4" customWidth="1"/>
    <col min="15373" max="15373" width="9.28515625" style="4" customWidth="1"/>
    <col min="15374" max="15374" width="8.42578125" style="4" customWidth="1"/>
    <col min="15375" max="15375" width="11.28515625" style="4" customWidth="1"/>
    <col min="15376" max="15376" width="9.28515625" style="4" customWidth="1"/>
    <col min="15377" max="15614" width="9.140625" style="4"/>
    <col min="15615" max="15615" width="18.7109375" style="4" customWidth="1"/>
    <col min="15616" max="15616" width="25.140625" style="4" customWidth="1"/>
    <col min="15617" max="15619" width="7.5703125" style="4" customWidth="1"/>
    <col min="15620" max="15622" width="6.7109375" style="4" customWidth="1"/>
    <col min="15623" max="15626" width="7.5703125" style="4" customWidth="1"/>
    <col min="15627" max="15627" width="8.140625" style="4" customWidth="1"/>
    <col min="15628" max="15628" width="8.42578125" style="4" customWidth="1"/>
    <col min="15629" max="15629" width="9.28515625" style="4" customWidth="1"/>
    <col min="15630" max="15630" width="8.42578125" style="4" customWidth="1"/>
    <col min="15631" max="15631" width="11.28515625" style="4" customWidth="1"/>
    <col min="15632" max="15632" width="9.28515625" style="4" customWidth="1"/>
    <col min="15633" max="15870" width="9.140625" style="4"/>
    <col min="15871" max="15871" width="18.7109375" style="4" customWidth="1"/>
    <col min="15872" max="15872" width="25.140625" style="4" customWidth="1"/>
    <col min="15873" max="15875" width="7.5703125" style="4" customWidth="1"/>
    <col min="15876" max="15878" width="6.7109375" style="4" customWidth="1"/>
    <col min="15879" max="15882" width="7.5703125" style="4" customWidth="1"/>
    <col min="15883" max="15883" width="8.140625" style="4" customWidth="1"/>
    <col min="15884" max="15884" width="8.42578125" style="4" customWidth="1"/>
    <col min="15885" max="15885" width="9.28515625" style="4" customWidth="1"/>
    <col min="15886" max="15886" width="8.42578125" style="4" customWidth="1"/>
    <col min="15887" max="15887" width="11.28515625" style="4" customWidth="1"/>
    <col min="15888" max="15888" width="9.28515625" style="4" customWidth="1"/>
    <col min="15889" max="16126" width="9.140625" style="4"/>
    <col min="16127" max="16127" width="18.7109375" style="4" customWidth="1"/>
    <col min="16128" max="16128" width="25.140625" style="4" customWidth="1"/>
    <col min="16129" max="16131" width="7.5703125" style="4" customWidth="1"/>
    <col min="16132" max="16134" width="6.7109375" style="4" customWidth="1"/>
    <col min="16135" max="16138" width="7.5703125" style="4" customWidth="1"/>
    <col min="16139" max="16139" width="8.140625" style="4" customWidth="1"/>
    <col min="16140" max="16140" width="8.42578125" style="4" customWidth="1"/>
    <col min="16141" max="16141" width="9.28515625" style="4" customWidth="1"/>
    <col min="16142" max="16142" width="8.42578125" style="4" customWidth="1"/>
    <col min="16143" max="16143" width="11.28515625" style="4" customWidth="1"/>
    <col min="16144" max="16144" width="9.28515625" style="4" customWidth="1"/>
    <col min="16145" max="16384" width="9.140625" style="4"/>
  </cols>
  <sheetData>
    <row r="1" spans="1:24" s="53" customFormat="1" ht="15" customHeight="1" x14ac:dyDescent="0.2">
      <c r="A1" s="345"/>
      <c r="B1" s="354"/>
      <c r="C1" s="352"/>
      <c r="D1" s="362" t="s">
        <v>199</v>
      </c>
      <c r="E1" s="339" t="str">
        <f>ORÇAMENTO!I4</f>
        <v>SENSE106</v>
      </c>
      <c r="F1" s="339"/>
      <c r="G1" s="338"/>
      <c r="H1" s="338"/>
      <c r="I1" s="338"/>
      <c r="J1" s="338"/>
      <c r="K1" s="338"/>
      <c r="L1" s="338"/>
      <c r="M1" s="338"/>
      <c r="N1" s="353"/>
      <c r="O1" s="353"/>
      <c r="P1" s="353"/>
      <c r="Q1" s="353"/>
      <c r="R1" s="504"/>
      <c r="S1" s="351"/>
      <c r="T1" s="513"/>
      <c r="U1" s="352"/>
      <c r="W1" s="447"/>
    </row>
    <row r="2" spans="1:24" s="215" customFormat="1" ht="15" customHeight="1" x14ac:dyDescent="0.2">
      <c r="A2" s="347"/>
      <c r="C2" s="401"/>
      <c r="D2" s="362" t="s">
        <v>173</v>
      </c>
      <c r="E2" s="363" t="str">
        <f>ORÇAMENTO!I5</f>
        <v>HOLZE EMPREENDIMENTOS</v>
      </c>
      <c r="F2" s="339"/>
      <c r="G2" s="339"/>
      <c r="H2" s="339"/>
      <c r="I2" s="339"/>
      <c r="J2" s="339"/>
      <c r="K2" s="339"/>
      <c r="L2" s="339"/>
      <c r="M2" s="339"/>
      <c r="N2" s="399"/>
      <c r="O2" s="399"/>
      <c r="P2" s="399"/>
      <c r="Q2" s="399"/>
      <c r="R2" s="505"/>
      <c r="S2" s="402"/>
      <c r="T2" s="514"/>
      <c r="U2" s="401"/>
    </row>
    <row r="3" spans="1:24" s="215" customFormat="1" ht="15" customHeight="1" x14ac:dyDescent="0.2">
      <c r="A3" s="355"/>
      <c r="B3" s="403"/>
      <c r="C3" s="404"/>
      <c r="D3" s="362" t="s">
        <v>174</v>
      </c>
      <c r="E3" s="339" t="s">
        <v>313</v>
      </c>
      <c r="F3" s="339"/>
      <c r="G3" s="339"/>
      <c r="H3" s="339"/>
      <c r="I3" s="339"/>
      <c r="J3" s="339"/>
      <c r="K3" s="341"/>
      <c r="L3" s="342"/>
      <c r="M3" s="357"/>
      <c r="N3" s="399"/>
      <c r="O3" s="399"/>
      <c r="P3" s="399"/>
      <c r="Q3" s="399"/>
      <c r="R3" s="505"/>
      <c r="S3" s="405"/>
      <c r="T3" s="515"/>
      <c r="U3" s="404"/>
    </row>
    <row r="4" spans="1:24" s="54" customFormat="1" ht="22.15" customHeight="1" x14ac:dyDescent="0.2">
      <c r="A4" s="1295" t="s">
        <v>167</v>
      </c>
      <c r="B4" s="1296"/>
      <c r="C4" s="1296"/>
      <c r="D4" s="1296"/>
      <c r="E4" s="1296"/>
      <c r="F4" s="1296"/>
      <c r="G4" s="1296"/>
      <c r="H4" s="1296"/>
      <c r="I4" s="1296"/>
      <c r="J4" s="1296"/>
      <c r="K4" s="1296"/>
      <c r="L4" s="1296"/>
      <c r="M4" s="1296"/>
      <c r="N4" s="1296"/>
      <c r="O4" s="1296"/>
      <c r="P4" s="1296"/>
      <c r="Q4" s="1296"/>
      <c r="R4" s="1296"/>
      <c r="S4" s="1296"/>
      <c r="T4" s="1296"/>
      <c r="U4" s="1297"/>
    </row>
    <row r="5" spans="1:24" s="145" customFormat="1" ht="15" customHeight="1" x14ac:dyDescent="0.2">
      <c r="A5" s="1260" t="s">
        <v>6</v>
      </c>
      <c r="B5" s="1291"/>
      <c r="C5" s="1291"/>
      <c r="D5" s="1291"/>
      <c r="E5" s="1261"/>
      <c r="F5" s="1268" t="s">
        <v>18</v>
      </c>
      <c r="G5" s="356" t="s">
        <v>74</v>
      </c>
      <c r="H5" s="356"/>
      <c r="I5" s="356"/>
      <c r="J5" s="302" t="s">
        <v>88</v>
      </c>
      <c r="K5" s="302" t="s">
        <v>88</v>
      </c>
      <c r="L5" s="1268" t="s">
        <v>41</v>
      </c>
      <c r="M5" s="1268" t="s">
        <v>43</v>
      </c>
      <c r="N5" s="1268" t="s">
        <v>44</v>
      </c>
      <c r="O5" s="1260" t="s">
        <v>45</v>
      </c>
      <c r="P5" s="302" t="s">
        <v>46</v>
      </c>
      <c r="Q5" s="1268" t="s">
        <v>47</v>
      </c>
      <c r="R5" s="1304" t="s">
        <v>201</v>
      </c>
      <c r="S5" s="1306" t="s">
        <v>95</v>
      </c>
      <c r="T5" s="1307" t="s">
        <v>202</v>
      </c>
      <c r="U5" s="1301" t="s">
        <v>10</v>
      </c>
      <c r="W5" s="1300" t="s">
        <v>97</v>
      </c>
      <c r="X5" s="1300"/>
    </row>
    <row r="6" spans="1:24" s="145" customFormat="1" ht="12.75" customHeight="1" x14ac:dyDescent="0.2">
      <c r="A6" s="1260"/>
      <c r="B6" s="1291"/>
      <c r="C6" s="1291"/>
      <c r="D6" s="1291"/>
      <c r="E6" s="1261"/>
      <c r="F6" s="1268"/>
      <c r="G6" s="298" t="s">
        <v>89</v>
      </c>
      <c r="H6" s="300" t="s">
        <v>58</v>
      </c>
      <c r="I6" s="300" t="s">
        <v>75</v>
      </c>
      <c r="J6" s="302" t="s">
        <v>89</v>
      </c>
      <c r="K6" s="302" t="s">
        <v>75</v>
      </c>
      <c r="L6" s="1269"/>
      <c r="M6" s="1269"/>
      <c r="N6" s="1269"/>
      <c r="O6" s="1262"/>
      <c r="P6" s="303" t="s">
        <v>180</v>
      </c>
      <c r="Q6" s="1269"/>
      <c r="R6" s="1305"/>
      <c r="S6" s="1265"/>
      <c r="T6" s="1308"/>
      <c r="U6" s="1268"/>
      <c r="W6" s="1300"/>
      <c r="X6" s="1300"/>
    </row>
    <row r="7" spans="1:24" s="145" customFormat="1" ht="12.75" customHeight="1" x14ac:dyDescent="0.2">
      <c r="A7" s="1260"/>
      <c r="B7" s="1291"/>
      <c r="C7" s="1291"/>
      <c r="D7" s="1291"/>
      <c r="E7" s="1261"/>
      <c r="F7" s="1268"/>
      <c r="G7" s="301" t="s">
        <v>50</v>
      </c>
      <c r="H7" s="302" t="s">
        <v>52</v>
      </c>
      <c r="I7" s="302" t="s">
        <v>51</v>
      </c>
      <c r="J7" s="302" t="s">
        <v>3</v>
      </c>
      <c r="K7" s="302" t="s">
        <v>3</v>
      </c>
      <c r="L7" s="302" t="s">
        <v>4</v>
      </c>
      <c r="M7" s="302" t="s">
        <v>1</v>
      </c>
      <c r="N7" s="302" t="s">
        <v>4</v>
      </c>
      <c r="O7" s="302" t="s">
        <v>4</v>
      </c>
      <c r="P7" s="300">
        <v>0.05</v>
      </c>
      <c r="Q7" s="302" t="s">
        <v>1</v>
      </c>
      <c r="R7" s="506" t="s">
        <v>1</v>
      </c>
      <c r="S7" s="302" t="s">
        <v>4</v>
      </c>
      <c r="T7" s="516" t="s">
        <v>4</v>
      </c>
      <c r="U7" s="1269"/>
      <c r="W7" s="427" t="s">
        <v>4</v>
      </c>
      <c r="X7" s="360" t="s">
        <v>10</v>
      </c>
    </row>
    <row r="8" spans="1:24" s="164" customFormat="1" ht="16.149999999999999" customHeight="1" x14ac:dyDescent="0.2">
      <c r="A8" s="437" t="s">
        <v>1275</v>
      </c>
      <c r="B8" s="438"/>
      <c r="C8" s="438"/>
      <c r="D8" s="438"/>
      <c r="E8" s="438"/>
      <c r="F8" s="422"/>
      <c r="G8" s="422"/>
      <c r="H8" s="422"/>
      <c r="I8" s="422"/>
      <c r="J8" s="422"/>
      <c r="K8" s="422"/>
      <c r="L8" s="480"/>
      <c r="M8" s="480"/>
      <c r="N8" s="480"/>
      <c r="O8" s="480"/>
      <c r="P8" s="481"/>
      <c r="Q8" s="422"/>
      <c r="R8" s="507"/>
      <c r="S8" s="422"/>
      <c r="T8" s="507"/>
      <c r="U8" s="448"/>
      <c r="W8" s="428">
        <f t="shared" ref="W8:W14" si="0">SUMIF($U$8:$U$33,$X8,$S$8:$S$33)+SUMIF($U$51:$U$57,$X8,$S$51:$S$57)</f>
        <v>0</v>
      </c>
      <c r="X8" s="429" t="s">
        <v>125</v>
      </c>
    </row>
    <row r="9" spans="1:24" s="164" customFormat="1" ht="15" customHeight="1" x14ac:dyDescent="0.2">
      <c r="A9" s="433" t="s">
        <v>1249</v>
      </c>
      <c r="B9" s="433"/>
      <c r="C9" s="433"/>
      <c r="D9" s="433"/>
      <c r="E9" s="433"/>
      <c r="F9" s="434">
        <v>1</v>
      </c>
      <c r="G9" s="435">
        <v>0.9</v>
      </c>
      <c r="H9" s="435">
        <v>0.9</v>
      </c>
      <c r="I9" s="435">
        <v>0.8</v>
      </c>
      <c r="J9" s="478">
        <f>IF(I9&lt;=1,0.6,I9)</f>
        <v>0.6</v>
      </c>
      <c r="K9" s="436"/>
      <c r="L9" s="442">
        <f t="shared" ref="L9:L33" si="1">(G9+J9)*(I9+K9+$P$7)*(H9+J9)*F9</f>
        <v>1.9125000000000001</v>
      </c>
      <c r="M9" s="442">
        <f t="shared" ref="M9:M33" si="2">(G9)*(H9)*F9</f>
        <v>0.81</v>
      </c>
      <c r="N9" s="442">
        <f t="shared" ref="N9:N33" si="3">+L9-S9</f>
        <v>1.2645</v>
      </c>
      <c r="O9" s="442">
        <f t="shared" ref="O9:O33" si="4">(L9-N9)*1.3</f>
        <v>0.84240000000000015</v>
      </c>
      <c r="P9" s="175">
        <f t="shared" ref="P9:P33" si="5">M9*$P$7</f>
        <v>4.0500000000000008E-2</v>
      </c>
      <c r="Q9" s="436">
        <f t="shared" ref="Q9:Q33" si="6">(2*G9+H9*2)*I9*F9</f>
        <v>2.8800000000000003</v>
      </c>
      <c r="R9" s="508">
        <v>2.88</v>
      </c>
      <c r="S9" s="436">
        <f t="shared" ref="S9:S33" si="7">G9*I9*H9*F9</f>
        <v>0.64800000000000013</v>
      </c>
      <c r="T9" s="508">
        <v>0.65</v>
      </c>
      <c r="U9" s="446" t="s">
        <v>98</v>
      </c>
      <c r="W9" s="428">
        <f t="shared" si="0"/>
        <v>0</v>
      </c>
      <c r="X9" s="430" t="s">
        <v>123</v>
      </c>
    </row>
    <row r="10" spans="1:24" s="164" customFormat="1" ht="15" customHeight="1" x14ac:dyDescent="0.2">
      <c r="A10" s="498" t="s">
        <v>1250</v>
      </c>
      <c r="B10" s="482"/>
      <c r="C10" s="482"/>
      <c r="D10" s="482"/>
      <c r="E10" s="482"/>
      <c r="F10" s="445">
        <v>1</v>
      </c>
      <c r="G10" s="174">
        <v>0.9</v>
      </c>
      <c r="H10" s="174">
        <v>0.9</v>
      </c>
      <c r="I10" s="174">
        <v>0.8</v>
      </c>
      <c r="J10" s="436">
        <f t="shared" ref="J10:J33" si="8">IF(I10&lt;=1,0.6,I10)</f>
        <v>0.6</v>
      </c>
      <c r="K10" s="442"/>
      <c r="L10" s="436">
        <f t="shared" si="1"/>
        <v>1.9125000000000001</v>
      </c>
      <c r="M10" s="436">
        <f t="shared" si="2"/>
        <v>0.81</v>
      </c>
      <c r="N10" s="436">
        <f t="shared" si="3"/>
        <v>1.2645</v>
      </c>
      <c r="O10" s="436">
        <f t="shared" si="4"/>
        <v>0.84240000000000015</v>
      </c>
      <c r="P10" s="420">
        <f t="shared" si="5"/>
        <v>4.0500000000000008E-2</v>
      </c>
      <c r="Q10" s="442">
        <f t="shared" si="6"/>
        <v>2.8800000000000003</v>
      </c>
      <c r="R10" s="509">
        <v>2.88</v>
      </c>
      <c r="S10" s="442">
        <f t="shared" si="7"/>
        <v>0.64800000000000013</v>
      </c>
      <c r="T10" s="517">
        <v>0.65</v>
      </c>
      <c r="U10" s="446" t="s">
        <v>98</v>
      </c>
      <c r="W10" s="428">
        <f t="shared" si="0"/>
        <v>0</v>
      </c>
      <c r="X10" s="429" t="s">
        <v>124</v>
      </c>
    </row>
    <row r="11" spans="1:24" s="164" customFormat="1" ht="15" customHeight="1" x14ac:dyDescent="0.2">
      <c r="A11" s="433" t="s">
        <v>1251</v>
      </c>
      <c r="B11" s="433"/>
      <c r="C11" s="433"/>
      <c r="D11" s="433"/>
      <c r="E11" s="433"/>
      <c r="F11" s="434">
        <v>1</v>
      </c>
      <c r="G11" s="435">
        <v>0.9</v>
      </c>
      <c r="H11" s="435">
        <v>0.9</v>
      </c>
      <c r="I11" s="435">
        <v>0.8</v>
      </c>
      <c r="J11" s="479">
        <f t="shared" si="8"/>
        <v>0.6</v>
      </c>
      <c r="K11" s="238"/>
      <c r="L11" s="442">
        <f t="shared" si="1"/>
        <v>1.9125000000000001</v>
      </c>
      <c r="M11" s="442">
        <f t="shared" si="2"/>
        <v>0.81</v>
      </c>
      <c r="N11" s="442">
        <f t="shared" si="3"/>
        <v>1.2645</v>
      </c>
      <c r="O11" s="442">
        <f t="shared" si="4"/>
        <v>0.84240000000000015</v>
      </c>
      <c r="P11" s="175">
        <f t="shared" si="5"/>
        <v>4.0500000000000008E-2</v>
      </c>
      <c r="Q11" s="442">
        <f t="shared" si="6"/>
        <v>2.8800000000000003</v>
      </c>
      <c r="R11" s="509">
        <v>2.88</v>
      </c>
      <c r="S11" s="442">
        <f t="shared" si="7"/>
        <v>0.64800000000000013</v>
      </c>
      <c r="T11" s="517">
        <v>0.65</v>
      </c>
      <c r="U11" s="446" t="s">
        <v>98</v>
      </c>
      <c r="W11" s="428">
        <f t="shared" si="0"/>
        <v>230.1378378</v>
      </c>
      <c r="X11" s="429" t="s">
        <v>98</v>
      </c>
    </row>
    <row r="12" spans="1:24" s="164" customFormat="1" ht="15" customHeight="1" x14ac:dyDescent="0.2">
      <c r="A12" s="498" t="s">
        <v>1252</v>
      </c>
      <c r="B12" s="482"/>
      <c r="C12" s="482"/>
      <c r="D12" s="482"/>
      <c r="E12" s="482"/>
      <c r="F12" s="445">
        <v>1</v>
      </c>
      <c r="G12" s="174">
        <v>0.9</v>
      </c>
      <c r="H12" s="174">
        <v>0.9</v>
      </c>
      <c r="I12" s="174">
        <v>0.8</v>
      </c>
      <c r="J12" s="442">
        <f t="shared" si="8"/>
        <v>0.6</v>
      </c>
      <c r="K12" s="442"/>
      <c r="L12" s="442">
        <f t="shared" si="1"/>
        <v>1.9125000000000001</v>
      </c>
      <c r="M12" s="442">
        <f t="shared" si="2"/>
        <v>0.81</v>
      </c>
      <c r="N12" s="442">
        <f t="shared" si="3"/>
        <v>1.2645</v>
      </c>
      <c r="O12" s="442">
        <f t="shared" si="4"/>
        <v>0.84240000000000015</v>
      </c>
      <c r="P12" s="175">
        <f t="shared" si="5"/>
        <v>4.0500000000000008E-2</v>
      </c>
      <c r="Q12" s="442">
        <f t="shared" si="6"/>
        <v>2.8800000000000003</v>
      </c>
      <c r="R12" s="509">
        <v>2.88</v>
      </c>
      <c r="S12" s="442">
        <f t="shared" si="7"/>
        <v>0.64800000000000013</v>
      </c>
      <c r="T12" s="517">
        <v>0.65</v>
      </c>
      <c r="U12" s="446" t="s">
        <v>98</v>
      </c>
      <c r="W12" s="428">
        <f t="shared" si="0"/>
        <v>0</v>
      </c>
      <c r="X12" s="429"/>
    </row>
    <row r="13" spans="1:24" s="164" customFormat="1" ht="15" customHeight="1" x14ac:dyDescent="0.2">
      <c r="A13" s="425" t="s">
        <v>1253</v>
      </c>
      <c r="B13" s="425"/>
      <c r="C13" s="425"/>
      <c r="D13" s="425"/>
      <c r="E13" s="425"/>
      <c r="F13" s="426">
        <v>1</v>
      </c>
      <c r="G13" s="243">
        <v>0.9</v>
      </c>
      <c r="H13" s="243">
        <v>0.9</v>
      </c>
      <c r="I13" s="243">
        <v>0.8</v>
      </c>
      <c r="J13" s="479">
        <f t="shared" si="8"/>
        <v>0.6</v>
      </c>
      <c r="K13" s="442"/>
      <c r="L13" s="442">
        <f t="shared" si="1"/>
        <v>1.9125000000000001</v>
      </c>
      <c r="M13" s="442">
        <f t="shared" si="2"/>
        <v>0.81</v>
      </c>
      <c r="N13" s="442">
        <f t="shared" si="3"/>
        <v>1.2645</v>
      </c>
      <c r="O13" s="442">
        <f t="shared" si="4"/>
        <v>0.84240000000000015</v>
      </c>
      <c r="P13" s="175">
        <f t="shared" si="5"/>
        <v>4.0500000000000008E-2</v>
      </c>
      <c r="Q13" s="442">
        <f t="shared" si="6"/>
        <v>2.8800000000000003</v>
      </c>
      <c r="R13" s="509">
        <v>2.88</v>
      </c>
      <c r="S13" s="442">
        <f t="shared" si="7"/>
        <v>0.64800000000000013</v>
      </c>
      <c r="T13" s="509">
        <v>0.65</v>
      </c>
      <c r="U13" s="446" t="s">
        <v>98</v>
      </c>
      <c r="W13" s="428">
        <f t="shared" si="0"/>
        <v>0</v>
      </c>
      <c r="X13" s="429"/>
    </row>
    <row r="14" spans="1:24" s="164" customFormat="1" ht="15" customHeight="1" x14ac:dyDescent="0.2">
      <c r="A14" s="498" t="s">
        <v>1254</v>
      </c>
      <c r="B14" s="482"/>
      <c r="C14" s="482"/>
      <c r="D14" s="482"/>
      <c r="E14" s="482"/>
      <c r="F14" s="445">
        <v>1</v>
      </c>
      <c r="G14" s="174">
        <v>0.9</v>
      </c>
      <c r="H14" s="174">
        <v>0.9</v>
      </c>
      <c r="I14" s="174">
        <v>0.8</v>
      </c>
      <c r="J14" s="442">
        <f t="shared" si="8"/>
        <v>0.6</v>
      </c>
      <c r="K14" s="442"/>
      <c r="L14" s="442">
        <f t="shared" si="1"/>
        <v>1.9125000000000001</v>
      </c>
      <c r="M14" s="442">
        <f t="shared" si="2"/>
        <v>0.81</v>
      </c>
      <c r="N14" s="442">
        <f t="shared" si="3"/>
        <v>1.2645</v>
      </c>
      <c r="O14" s="442">
        <f t="shared" si="4"/>
        <v>0.84240000000000015</v>
      </c>
      <c r="P14" s="175">
        <f t="shared" si="5"/>
        <v>4.0500000000000008E-2</v>
      </c>
      <c r="Q14" s="442">
        <f t="shared" si="6"/>
        <v>2.8800000000000003</v>
      </c>
      <c r="R14" s="509">
        <v>2.88</v>
      </c>
      <c r="S14" s="442">
        <f t="shared" si="7"/>
        <v>0.64800000000000013</v>
      </c>
      <c r="T14" s="517">
        <v>0.65</v>
      </c>
      <c r="U14" s="446" t="s">
        <v>98</v>
      </c>
      <c r="W14" s="428">
        <f t="shared" si="0"/>
        <v>0</v>
      </c>
      <c r="X14" s="429"/>
    </row>
    <row r="15" spans="1:24" s="164" customFormat="1" ht="15" customHeight="1" x14ac:dyDescent="0.2">
      <c r="A15" s="433" t="s">
        <v>1255</v>
      </c>
      <c r="B15" s="433"/>
      <c r="C15" s="433"/>
      <c r="D15" s="433"/>
      <c r="E15" s="433"/>
      <c r="F15" s="434">
        <v>1</v>
      </c>
      <c r="G15" s="435">
        <v>0.9</v>
      </c>
      <c r="H15" s="435">
        <v>0.9</v>
      </c>
      <c r="I15" s="435">
        <v>0.8</v>
      </c>
      <c r="J15" s="436">
        <f t="shared" si="8"/>
        <v>0.6</v>
      </c>
      <c r="K15" s="436"/>
      <c r="L15" s="442">
        <f t="shared" si="1"/>
        <v>1.9125000000000001</v>
      </c>
      <c r="M15" s="442">
        <f t="shared" si="2"/>
        <v>0.81</v>
      </c>
      <c r="N15" s="442">
        <f t="shared" si="3"/>
        <v>1.2645</v>
      </c>
      <c r="O15" s="442">
        <f t="shared" si="4"/>
        <v>0.84240000000000015</v>
      </c>
      <c r="P15" s="175">
        <f t="shared" si="5"/>
        <v>4.0500000000000008E-2</v>
      </c>
      <c r="Q15" s="442">
        <f t="shared" si="6"/>
        <v>2.8800000000000003</v>
      </c>
      <c r="R15" s="508">
        <v>2.88</v>
      </c>
      <c r="S15" s="436">
        <f t="shared" si="7"/>
        <v>0.64800000000000013</v>
      </c>
      <c r="T15" s="508">
        <v>0.65</v>
      </c>
      <c r="U15" s="446" t="s">
        <v>98</v>
      </c>
      <c r="W15" s="431">
        <f>SUM(W8:W14)</f>
        <v>230.1378378</v>
      </c>
      <c r="X15" s="432" t="str">
        <f>IF(S34=W15,"OK","Conferir")</f>
        <v>Conferir</v>
      </c>
    </row>
    <row r="16" spans="1:24" s="164" customFormat="1" ht="15" customHeight="1" x14ac:dyDescent="0.2">
      <c r="A16" s="498" t="s">
        <v>1256</v>
      </c>
      <c r="B16" s="444"/>
      <c r="C16" s="444"/>
      <c r="D16" s="444"/>
      <c r="E16" s="444"/>
      <c r="F16" s="445">
        <v>1</v>
      </c>
      <c r="G16" s="174">
        <v>0.9</v>
      </c>
      <c r="H16" s="174">
        <v>0.9</v>
      </c>
      <c r="I16" s="174">
        <v>0.8</v>
      </c>
      <c r="J16" s="479">
        <f t="shared" si="8"/>
        <v>0.6</v>
      </c>
      <c r="K16" s="442"/>
      <c r="L16" s="442">
        <f t="shared" si="1"/>
        <v>1.9125000000000001</v>
      </c>
      <c r="M16" s="442">
        <f t="shared" si="2"/>
        <v>0.81</v>
      </c>
      <c r="N16" s="442">
        <f t="shared" si="3"/>
        <v>1.2645</v>
      </c>
      <c r="O16" s="442">
        <f t="shared" si="4"/>
        <v>0.84240000000000015</v>
      </c>
      <c r="P16" s="175">
        <f t="shared" si="5"/>
        <v>4.0500000000000008E-2</v>
      </c>
      <c r="Q16" s="442">
        <f t="shared" si="6"/>
        <v>2.8800000000000003</v>
      </c>
      <c r="R16" s="509">
        <v>2.88</v>
      </c>
      <c r="S16" s="442">
        <f t="shared" si="7"/>
        <v>0.64800000000000013</v>
      </c>
      <c r="T16" s="509">
        <v>0.65</v>
      </c>
      <c r="U16" s="446" t="s">
        <v>98</v>
      </c>
    </row>
    <row r="17" spans="1:21" s="164" customFormat="1" ht="15" customHeight="1" x14ac:dyDescent="0.2">
      <c r="A17" s="449" t="s">
        <v>1257</v>
      </c>
      <c r="B17" s="443"/>
      <c r="C17" s="443"/>
      <c r="D17" s="482"/>
      <c r="E17" s="482"/>
      <c r="F17" s="445">
        <v>1</v>
      </c>
      <c r="G17" s="174">
        <v>0.9</v>
      </c>
      <c r="H17" s="174">
        <v>0.9</v>
      </c>
      <c r="I17" s="174">
        <v>0.8</v>
      </c>
      <c r="J17" s="442">
        <f t="shared" si="8"/>
        <v>0.6</v>
      </c>
      <c r="K17" s="442"/>
      <c r="L17" s="442">
        <f t="shared" si="1"/>
        <v>1.9125000000000001</v>
      </c>
      <c r="M17" s="442">
        <f t="shared" si="2"/>
        <v>0.81</v>
      </c>
      <c r="N17" s="442">
        <f t="shared" si="3"/>
        <v>1.2645</v>
      </c>
      <c r="O17" s="442">
        <f t="shared" si="4"/>
        <v>0.84240000000000015</v>
      </c>
      <c r="P17" s="175">
        <f t="shared" si="5"/>
        <v>4.0500000000000008E-2</v>
      </c>
      <c r="Q17" s="442">
        <f t="shared" si="6"/>
        <v>2.8800000000000003</v>
      </c>
      <c r="R17" s="509">
        <v>2.88</v>
      </c>
      <c r="S17" s="442">
        <f t="shared" si="7"/>
        <v>0.64800000000000013</v>
      </c>
      <c r="T17" s="517">
        <v>0.65</v>
      </c>
      <c r="U17" s="446" t="s">
        <v>98</v>
      </c>
    </row>
    <row r="18" spans="1:21" s="164" customFormat="1" ht="15" customHeight="1" x14ac:dyDescent="0.2">
      <c r="A18" s="449" t="s">
        <v>1258</v>
      </c>
      <c r="B18" s="443"/>
      <c r="C18" s="443"/>
      <c r="D18" s="482"/>
      <c r="E18" s="482"/>
      <c r="F18" s="445">
        <v>1</v>
      </c>
      <c r="G18" s="174">
        <v>0.9</v>
      </c>
      <c r="H18" s="174">
        <v>0.9</v>
      </c>
      <c r="I18" s="174">
        <v>0.8</v>
      </c>
      <c r="J18" s="442">
        <f t="shared" si="8"/>
        <v>0.6</v>
      </c>
      <c r="K18" s="442"/>
      <c r="L18" s="442">
        <f t="shared" si="1"/>
        <v>1.9125000000000001</v>
      </c>
      <c r="M18" s="442">
        <f t="shared" si="2"/>
        <v>0.81</v>
      </c>
      <c r="N18" s="442">
        <f t="shared" si="3"/>
        <v>1.2645</v>
      </c>
      <c r="O18" s="442">
        <f t="shared" si="4"/>
        <v>0.84240000000000015</v>
      </c>
      <c r="P18" s="175">
        <f t="shared" si="5"/>
        <v>4.0500000000000008E-2</v>
      </c>
      <c r="Q18" s="442">
        <f t="shared" si="6"/>
        <v>2.8800000000000003</v>
      </c>
      <c r="R18" s="509">
        <v>2.88</v>
      </c>
      <c r="S18" s="442">
        <f t="shared" si="7"/>
        <v>0.64800000000000013</v>
      </c>
      <c r="T18" s="517">
        <v>0.65</v>
      </c>
      <c r="U18" s="446" t="s">
        <v>98</v>
      </c>
    </row>
    <row r="19" spans="1:21" s="164" customFormat="1" ht="15" customHeight="1" x14ac:dyDescent="0.2">
      <c r="A19" s="449" t="s">
        <v>1259</v>
      </c>
      <c r="B19" s="443"/>
      <c r="C19" s="443"/>
      <c r="D19" s="482"/>
      <c r="E19" s="482"/>
      <c r="F19" s="445">
        <v>1</v>
      </c>
      <c r="G19" s="174">
        <v>1</v>
      </c>
      <c r="H19" s="174">
        <v>1</v>
      </c>
      <c r="I19" s="174">
        <v>1</v>
      </c>
      <c r="J19" s="442">
        <f t="shared" si="8"/>
        <v>0.6</v>
      </c>
      <c r="K19" s="442"/>
      <c r="L19" s="442">
        <f t="shared" si="1"/>
        <v>2.6880000000000006</v>
      </c>
      <c r="M19" s="442">
        <f t="shared" si="2"/>
        <v>1</v>
      </c>
      <c r="N19" s="442">
        <f t="shared" si="3"/>
        <v>1.6880000000000006</v>
      </c>
      <c r="O19" s="442">
        <f t="shared" si="4"/>
        <v>1.3</v>
      </c>
      <c r="P19" s="175">
        <f t="shared" si="5"/>
        <v>0.05</v>
      </c>
      <c r="Q19" s="442">
        <f t="shared" si="6"/>
        <v>4</v>
      </c>
      <c r="R19" s="509">
        <v>4</v>
      </c>
      <c r="S19" s="442">
        <f t="shared" si="7"/>
        <v>1</v>
      </c>
      <c r="T19" s="517">
        <v>1</v>
      </c>
      <c r="U19" s="446" t="s">
        <v>98</v>
      </c>
    </row>
    <row r="20" spans="1:21" s="164" customFormat="1" ht="15" customHeight="1" x14ac:dyDescent="0.2">
      <c r="A20" s="498" t="s">
        <v>1260</v>
      </c>
      <c r="B20" s="444"/>
      <c r="C20" s="444"/>
      <c r="D20" s="444"/>
      <c r="E20" s="444"/>
      <c r="F20" s="445">
        <v>1</v>
      </c>
      <c r="G20" s="174">
        <v>0.9</v>
      </c>
      <c r="H20" s="174">
        <v>0.9</v>
      </c>
      <c r="I20" s="174">
        <v>0.8</v>
      </c>
      <c r="J20" s="479">
        <f t="shared" si="8"/>
        <v>0.6</v>
      </c>
      <c r="K20" s="442"/>
      <c r="L20" s="442">
        <f t="shared" si="1"/>
        <v>1.9125000000000001</v>
      </c>
      <c r="M20" s="442">
        <f t="shared" si="2"/>
        <v>0.81</v>
      </c>
      <c r="N20" s="442">
        <f t="shared" si="3"/>
        <v>1.2645</v>
      </c>
      <c r="O20" s="442">
        <f t="shared" si="4"/>
        <v>0.84240000000000015</v>
      </c>
      <c r="P20" s="175">
        <f t="shared" si="5"/>
        <v>4.0500000000000008E-2</v>
      </c>
      <c r="Q20" s="442">
        <f t="shared" si="6"/>
        <v>2.8800000000000003</v>
      </c>
      <c r="R20" s="509">
        <v>2.88</v>
      </c>
      <c r="S20" s="442">
        <f t="shared" si="7"/>
        <v>0.64800000000000013</v>
      </c>
      <c r="T20" s="517">
        <v>0.65</v>
      </c>
      <c r="U20" s="446" t="s">
        <v>98</v>
      </c>
    </row>
    <row r="21" spans="1:21" s="164" customFormat="1" ht="15" customHeight="1" x14ac:dyDescent="0.2">
      <c r="A21" s="449" t="s">
        <v>1261</v>
      </c>
      <c r="B21" s="443"/>
      <c r="C21" s="443"/>
      <c r="D21" s="482"/>
      <c r="E21" s="482"/>
      <c r="F21" s="445">
        <v>1</v>
      </c>
      <c r="G21" s="174">
        <v>0.9</v>
      </c>
      <c r="H21" s="174">
        <v>0.9</v>
      </c>
      <c r="I21" s="174">
        <v>0.8</v>
      </c>
      <c r="J21" s="442">
        <f t="shared" si="8"/>
        <v>0.6</v>
      </c>
      <c r="K21" s="442"/>
      <c r="L21" s="442">
        <f t="shared" si="1"/>
        <v>1.9125000000000001</v>
      </c>
      <c r="M21" s="442">
        <f t="shared" si="2"/>
        <v>0.81</v>
      </c>
      <c r="N21" s="442">
        <f t="shared" si="3"/>
        <v>1.2645</v>
      </c>
      <c r="O21" s="442">
        <f t="shared" si="4"/>
        <v>0.84240000000000015</v>
      </c>
      <c r="P21" s="175">
        <f t="shared" si="5"/>
        <v>4.0500000000000008E-2</v>
      </c>
      <c r="Q21" s="442">
        <f t="shared" si="6"/>
        <v>2.8800000000000003</v>
      </c>
      <c r="R21" s="509">
        <v>2.88</v>
      </c>
      <c r="S21" s="442">
        <f t="shared" si="7"/>
        <v>0.64800000000000013</v>
      </c>
      <c r="T21" s="517">
        <v>0.65</v>
      </c>
      <c r="U21" s="446" t="s">
        <v>98</v>
      </c>
    </row>
    <row r="22" spans="1:21" s="164" customFormat="1" ht="15" customHeight="1" x14ac:dyDescent="0.2">
      <c r="A22" s="449" t="s">
        <v>1262</v>
      </c>
      <c r="B22" s="443"/>
      <c r="C22" s="443"/>
      <c r="D22" s="482"/>
      <c r="E22" s="482"/>
      <c r="F22" s="445">
        <v>1</v>
      </c>
      <c r="G22" s="174">
        <v>0.9</v>
      </c>
      <c r="H22" s="174">
        <v>0.9</v>
      </c>
      <c r="I22" s="174">
        <v>0.8</v>
      </c>
      <c r="J22" s="442">
        <f t="shared" si="8"/>
        <v>0.6</v>
      </c>
      <c r="K22" s="442"/>
      <c r="L22" s="442">
        <f t="shared" si="1"/>
        <v>1.9125000000000001</v>
      </c>
      <c r="M22" s="442">
        <f t="shared" si="2"/>
        <v>0.81</v>
      </c>
      <c r="N22" s="442">
        <f t="shared" si="3"/>
        <v>1.2645</v>
      </c>
      <c r="O22" s="442">
        <f t="shared" si="4"/>
        <v>0.84240000000000015</v>
      </c>
      <c r="P22" s="175">
        <f t="shared" si="5"/>
        <v>4.0500000000000008E-2</v>
      </c>
      <c r="Q22" s="442">
        <f t="shared" si="6"/>
        <v>2.8800000000000003</v>
      </c>
      <c r="R22" s="509">
        <v>2.88</v>
      </c>
      <c r="S22" s="442">
        <f t="shared" si="7"/>
        <v>0.64800000000000013</v>
      </c>
      <c r="T22" s="517">
        <v>0.65</v>
      </c>
      <c r="U22" s="446" t="s">
        <v>98</v>
      </c>
    </row>
    <row r="23" spans="1:21" s="164" customFormat="1" ht="15" customHeight="1" x14ac:dyDescent="0.2">
      <c r="A23" s="449" t="s">
        <v>1263</v>
      </c>
      <c r="B23" s="443"/>
      <c r="C23" s="443"/>
      <c r="D23" s="482"/>
      <c r="E23" s="482"/>
      <c r="F23" s="445">
        <v>1</v>
      </c>
      <c r="G23" s="174">
        <v>0.9</v>
      </c>
      <c r="H23" s="174">
        <v>0.9</v>
      </c>
      <c r="I23" s="174">
        <v>0.8</v>
      </c>
      <c r="J23" s="442">
        <f t="shared" si="8"/>
        <v>0.6</v>
      </c>
      <c r="K23" s="442"/>
      <c r="L23" s="442">
        <f t="shared" si="1"/>
        <v>1.9125000000000001</v>
      </c>
      <c r="M23" s="442">
        <f t="shared" si="2"/>
        <v>0.81</v>
      </c>
      <c r="N23" s="442">
        <f t="shared" si="3"/>
        <v>1.2645</v>
      </c>
      <c r="O23" s="442">
        <f t="shared" si="4"/>
        <v>0.84240000000000015</v>
      </c>
      <c r="P23" s="175">
        <f t="shared" si="5"/>
        <v>4.0500000000000008E-2</v>
      </c>
      <c r="Q23" s="442">
        <f t="shared" si="6"/>
        <v>2.8800000000000003</v>
      </c>
      <c r="R23" s="509">
        <v>2.88</v>
      </c>
      <c r="S23" s="442">
        <f t="shared" si="7"/>
        <v>0.64800000000000013</v>
      </c>
      <c r="T23" s="517">
        <v>0.65</v>
      </c>
      <c r="U23" s="446" t="s">
        <v>98</v>
      </c>
    </row>
    <row r="24" spans="1:21" s="164" customFormat="1" ht="15" customHeight="1" x14ac:dyDescent="0.2">
      <c r="A24" s="498" t="s">
        <v>1264</v>
      </c>
      <c r="B24" s="444"/>
      <c r="C24" s="444"/>
      <c r="D24" s="444"/>
      <c r="E24" s="444"/>
      <c r="F24" s="445">
        <v>1</v>
      </c>
      <c r="G24" s="174">
        <v>0.9</v>
      </c>
      <c r="H24" s="174">
        <v>0.9</v>
      </c>
      <c r="I24" s="174">
        <v>0.8</v>
      </c>
      <c r="J24" s="479">
        <f t="shared" si="8"/>
        <v>0.6</v>
      </c>
      <c r="K24" s="442"/>
      <c r="L24" s="442">
        <f t="shared" si="1"/>
        <v>1.9125000000000001</v>
      </c>
      <c r="M24" s="442">
        <f t="shared" si="2"/>
        <v>0.81</v>
      </c>
      <c r="N24" s="442">
        <f t="shared" si="3"/>
        <v>1.2645</v>
      </c>
      <c r="O24" s="442">
        <f t="shared" si="4"/>
        <v>0.84240000000000015</v>
      </c>
      <c r="P24" s="175">
        <f t="shared" si="5"/>
        <v>4.0500000000000008E-2</v>
      </c>
      <c r="Q24" s="442">
        <f t="shared" si="6"/>
        <v>2.8800000000000003</v>
      </c>
      <c r="R24" s="509">
        <v>2.88</v>
      </c>
      <c r="S24" s="442">
        <f t="shared" si="7"/>
        <v>0.64800000000000013</v>
      </c>
      <c r="T24" s="517">
        <v>0.65</v>
      </c>
      <c r="U24" s="446" t="s">
        <v>98</v>
      </c>
    </row>
    <row r="25" spans="1:21" s="164" customFormat="1" ht="15" customHeight="1" x14ac:dyDescent="0.2">
      <c r="A25" s="449" t="s">
        <v>320</v>
      </c>
      <c r="B25" s="443"/>
      <c r="C25" s="443"/>
      <c r="D25" s="482"/>
      <c r="E25" s="482"/>
      <c r="F25" s="445">
        <v>1</v>
      </c>
      <c r="G25" s="174">
        <v>2.65</v>
      </c>
      <c r="H25" s="174">
        <v>1</v>
      </c>
      <c r="I25" s="174">
        <v>1</v>
      </c>
      <c r="J25" s="442">
        <f t="shared" si="8"/>
        <v>0.6</v>
      </c>
      <c r="K25" s="442"/>
      <c r="L25" s="442">
        <f t="shared" si="1"/>
        <v>5.4600000000000009</v>
      </c>
      <c r="M25" s="442">
        <f t="shared" si="2"/>
        <v>2.65</v>
      </c>
      <c r="N25" s="442">
        <f t="shared" si="3"/>
        <v>2.8100000000000009</v>
      </c>
      <c r="O25" s="442">
        <f t="shared" si="4"/>
        <v>3.4449999999999998</v>
      </c>
      <c r="P25" s="175">
        <f t="shared" si="5"/>
        <v>0.13250000000000001</v>
      </c>
      <c r="Q25" s="442">
        <f t="shared" si="6"/>
        <v>7.3</v>
      </c>
      <c r="R25" s="509">
        <v>20.82</v>
      </c>
      <c r="S25" s="442">
        <f t="shared" si="7"/>
        <v>2.65</v>
      </c>
      <c r="T25" s="517">
        <v>12.97</v>
      </c>
      <c r="U25" s="446" t="s">
        <v>98</v>
      </c>
    </row>
    <row r="26" spans="1:21" s="164" customFormat="1" ht="15" customHeight="1" x14ac:dyDescent="0.2">
      <c r="A26" s="449" t="s">
        <v>1265</v>
      </c>
      <c r="B26" s="443"/>
      <c r="C26" s="443"/>
      <c r="D26" s="482"/>
      <c r="E26" s="482"/>
      <c r="F26" s="445">
        <v>1</v>
      </c>
      <c r="G26" s="174">
        <v>3.66</v>
      </c>
      <c r="H26" s="174">
        <v>2.0950000000000002</v>
      </c>
      <c r="I26" s="174">
        <v>1.35</v>
      </c>
      <c r="J26" s="442">
        <f t="shared" si="8"/>
        <v>1.35</v>
      </c>
      <c r="K26" s="442"/>
      <c r="L26" s="442">
        <f t="shared" si="1"/>
        <v>24.163230000000002</v>
      </c>
      <c r="M26" s="442">
        <f t="shared" si="2"/>
        <v>7.6677000000000008</v>
      </c>
      <c r="N26" s="442">
        <f t="shared" si="3"/>
        <v>13.811835</v>
      </c>
      <c r="O26" s="442">
        <f t="shared" si="4"/>
        <v>13.456813500000003</v>
      </c>
      <c r="P26" s="175">
        <f t="shared" si="5"/>
        <v>0.38338500000000009</v>
      </c>
      <c r="Q26" s="442">
        <f t="shared" si="6"/>
        <v>15.538500000000003</v>
      </c>
      <c r="R26" s="509"/>
      <c r="S26" s="442">
        <f t="shared" si="7"/>
        <v>10.351395000000002</v>
      </c>
      <c r="T26" s="517"/>
      <c r="U26" s="446" t="s">
        <v>98</v>
      </c>
    </row>
    <row r="27" spans="1:21" s="164" customFormat="1" ht="15" customHeight="1" x14ac:dyDescent="0.2">
      <c r="A27" s="449" t="s">
        <v>1266</v>
      </c>
      <c r="B27" s="443"/>
      <c r="C27" s="443"/>
      <c r="D27" s="482"/>
      <c r="E27" s="482"/>
      <c r="F27" s="445">
        <v>1</v>
      </c>
      <c r="G27" s="174">
        <v>4.1180000000000003</v>
      </c>
      <c r="H27" s="174">
        <v>4.5999999999999996</v>
      </c>
      <c r="I27" s="174">
        <v>1.8</v>
      </c>
      <c r="J27" s="442">
        <f t="shared" si="8"/>
        <v>1.8</v>
      </c>
      <c r="K27" s="442"/>
      <c r="L27" s="442">
        <f t="shared" si="1"/>
        <v>70.069119999999998</v>
      </c>
      <c r="M27" s="442">
        <f t="shared" si="2"/>
        <v>18.942799999999998</v>
      </c>
      <c r="N27" s="442">
        <f t="shared" si="3"/>
        <v>35.972079999999998</v>
      </c>
      <c r="O27" s="442">
        <f t="shared" si="4"/>
        <v>44.326152</v>
      </c>
      <c r="P27" s="175">
        <f t="shared" si="5"/>
        <v>0.94713999999999998</v>
      </c>
      <c r="Q27" s="442">
        <f t="shared" si="6"/>
        <v>31.384800000000002</v>
      </c>
      <c r="R27" s="509">
        <v>57.06</v>
      </c>
      <c r="S27" s="442">
        <f t="shared" si="7"/>
        <v>34.09704</v>
      </c>
      <c r="T27" s="517">
        <v>67.8</v>
      </c>
      <c r="U27" s="446" t="s">
        <v>98</v>
      </c>
    </row>
    <row r="28" spans="1:21" s="164" customFormat="1" ht="15" customHeight="1" x14ac:dyDescent="0.2">
      <c r="A28" s="498" t="s">
        <v>1267</v>
      </c>
      <c r="B28" s="444"/>
      <c r="C28" s="444"/>
      <c r="D28" s="444"/>
      <c r="E28" s="444"/>
      <c r="F28" s="445">
        <v>1</v>
      </c>
      <c r="G28" s="174">
        <v>4.1180000000000003</v>
      </c>
      <c r="H28" s="174">
        <v>4.5999999999999996</v>
      </c>
      <c r="I28" s="174">
        <v>1.8</v>
      </c>
      <c r="J28" s="479">
        <f t="shared" si="8"/>
        <v>1.8</v>
      </c>
      <c r="K28" s="442"/>
      <c r="L28" s="442">
        <f t="shared" si="1"/>
        <v>70.069119999999998</v>
      </c>
      <c r="M28" s="442">
        <f t="shared" si="2"/>
        <v>18.942799999999998</v>
      </c>
      <c r="N28" s="442">
        <f t="shared" si="3"/>
        <v>35.972079999999998</v>
      </c>
      <c r="O28" s="442">
        <f t="shared" si="4"/>
        <v>44.326152</v>
      </c>
      <c r="P28" s="175">
        <f t="shared" si="5"/>
        <v>0.94713999999999998</v>
      </c>
      <c r="Q28" s="442">
        <f t="shared" si="6"/>
        <v>31.384800000000002</v>
      </c>
      <c r="R28" s="509"/>
      <c r="S28" s="442">
        <f t="shared" si="7"/>
        <v>34.09704</v>
      </c>
      <c r="T28" s="509"/>
      <c r="U28" s="446" t="s">
        <v>98</v>
      </c>
    </row>
    <row r="29" spans="1:21" s="164" customFormat="1" ht="15" customHeight="1" x14ac:dyDescent="0.2">
      <c r="A29" s="449" t="s">
        <v>321</v>
      </c>
      <c r="B29" s="443"/>
      <c r="C29" s="443"/>
      <c r="D29" s="482"/>
      <c r="E29" s="482"/>
      <c r="F29" s="445">
        <v>1</v>
      </c>
      <c r="G29" s="174">
        <v>2.65</v>
      </c>
      <c r="H29" s="174">
        <v>2.65</v>
      </c>
      <c r="I29" s="174">
        <v>1.2</v>
      </c>
      <c r="J29" s="442">
        <f t="shared" si="8"/>
        <v>1.2</v>
      </c>
      <c r="K29" s="442"/>
      <c r="L29" s="442">
        <f t="shared" si="1"/>
        <v>18.528124999999999</v>
      </c>
      <c r="M29" s="442">
        <f t="shared" si="2"/>
        <v>7.0225</v>
      </c>
      <c r="N29" s="442">
        <f t="shared" si="3"/>
        <v>10.101125</v>
      </c>
      <c r="O29" s="442">
        <f t="shared" si="4"/>
        <v>10.9551</v>
      </c>
      <c r="P29" s="175">
        <f t="shared" si="5"/>
        <v>0.35112500000000002</v>
      </c>
      <c r="Q29" s="442">
        <f t="shared" si="6"/>
        <v>12.719999999999999</v>
      </c>
      <c r="R29" s="509">
        <v>12.72</v>
      </c>
      <c r="S29" s="442">
        <f t="shared" si="7"/>
        <v>8.4269999999999996</v>
      </c>
      <c r="T29" s="517">
        <v>8.26</v>
      </c>
      <c r="U29" s="446" t="s">
        <v>98</v>
      </c>
    </row>
    <row r="30" spans="1:21" s="164" customFormat="1" ht="15" customHeight="1" x14ac:dyDescent="0.2">
      <c r="A30" s="449" t="s">
        <v>1268</v>
      </c>
      <c r="B30" s="443"/>
      <c r="C30" s="443"/>
      <c r="D30" s="482"/>
      <c r="E30" s="482"/>
      <c r="F30" s="445">
        <v>1</v>
      </c>
      <c r="G30" s="174">
        <v>4.3</v>
      </c>
      <c r="H30" s="174">
        <v>4.3</v>
      </c>
      <c r="I30" s="174">
        <v>1.8</v>
      </c>
      <c r="J30" s="442">
        <f t="shared" si="8"/>
        <v>1.8</v>
      </c>
      <c r="K30" s="442"/>
      <c r="L30" s="442">
        <f t="shared" si="1"/>
        <v>68.838499999999996</v>
      </c>
      <c r="M30" s="442">
        <f t="shared" si="2"/>
        <v>18.489999999999998</v>
      </c>
      <c r="N30" s="442">
        <f t="shared" si="3"/>
        <v>35.5565</v>
      </c>
      <c r="O30" s="442">
        <f t="shared" si="4"/>
        <v>43.266599999999997</v>
      </c>
      <c r="P30" s="175">
        <f t="shared" si="5"/>
        <v>0.92449999999999999</v>
      </c>
      <c r="Q30" s="442">
        <f t="shared" si="6"/>
        <v>30.96</v>
      </c>
      <c r="R30" s="509">
        <v>43</v>
      </c>
      <c r="S30" s="442">
        <f t="shared" si="7"/>
        <v>33.281999999999996</v>
      </c>
      <c r="T30" s="517">
        <v>33.4</v>
      </c>
      <c r="U30" s="446" t="s">
        <v>98</v>
      </c>
    </row>
    <row r="31" spans="1:21" s="164" customFormat="1" ht="15" customHeight="1" x14ac:dyDescent="0.2">
      <c r="A31" s="449" t="s">
        <v>325</v>
      </c>
      <c r="B31" s="443"/>
      <c r="C31" s="443"/>
      <c r="D31" s="482"/>
      <c r="E31" s="482"/>
      <c r="F31" s="445">
        <v>1</v>
      </c>
      <c r="G31" s="174">
        <v>2.649</v>
      </c>
      <c r="H31" s="174">
        <v>3.859</v>
      </c>
      <c r="I31" s="174">
        <v>1.5</v>
      </c>
      <c r="J31" s="442">
        <f t="shared" si="8"/>
        <v>1.5</v>
      </c>
      <c r="K31" s="442"/>
      <c r="L31" s="442">
        <f t="shared" si="1"/>
        <v>34.463461049999999</v>
      </c>
      <c r="M31" s="442">
        <f t="shared" si="2"/>
        <v>10.222491</v>
      </c>
      <c r="N31" s="442">
        <f t="shared" si="3"/>
        <v>19.129724549999999</v>
      </c>
      <c r="O31" s="442">
        <f t="shared" si="4"/>
        <v>19.933857450000001</v>
      </c>
      <c r="P31" s="175">
        <f t="shared" si="5"/>
        <v>0.51112455000000001</v>
      </c>
      <c r="Q31" s="442">
        <f t="shared" si="6"/>
        <v>19.524000000000001</v>
      </c>
      <c r="R31" s="509">
        <v>20</v>
      </c>
      <c r="S31" s="442">
        <f t="shared" si="7"/>
        <v>15.333736500000001</v>
      </c>
      <c r="T31" s="517">
        <v>15.34</v>
      </c>
      <c r="U31" s="446" t="s">
        <v>98</v>
      </c>
    </row>
    <row r="32" spans="1:21" s="164" customFormat="1" ht="15" customHeight="1" x14ac:dyDescent="0.2">
      <c r="A32" s="449" t="s">
        <v>1269</v>
      </c>
      <c r="B32" s="443"/>
      <c r="C32" s="443"/>
      <c r="D32" s="482"/>
      <c r="E32" s="482"/>
      <c r="F32" s="445">
        <v>1</v>
      </c>
      <c r="G32" s="174">
        <v>5.95</v>
      </c>
      <c r="H32" s="174">
        <v>2.65</v>
      </c>
      <c r="I32" s="174">
        <v>1.5</v>
      </c>
      <c r="J32" s="442">
        <f t="shared" si="8"/>
        <v>1.5</v>
      </c>
      <c r="K32" s="442"/>
      <c r="L32" s="442">
        <f t="shared" si="1"/>
        <v>47.922125000000008</v>
      </c>
      <c r="M32" s="442">
        <f t="shared" si="2"/>
        <v>15.7675</v>
      </c>
      <c r="N32" s="442">
        <f t="shared" si="3"/>
        <v>24.270875000000007</v>
      </c>
      <c r="O32" s="442">
        <f t="shared" si="4"/>
        <v>30.746625000000002</v>
      </c>
      <c r="P32" s="175">
        <f t="shared" si="5"/>
        <v>0.78837500000000005</v>
      </c>
      <c r="Q32" s="442">
        <f t="shared" si="6"/>
        <v>25.799999999999997</v>
      </c>
      <c r="R32" s="509">
        <f>31.8/2</f>
        <v>15.9</v>
      </c>
      <c r="S32" s="442">
        <f t="shared" si="7"/>
        <v>23.651250000000001</v>
      </c>
      <c r="T32" s="517">
        <f>47.2/2</f>
        <v>23.6</v>
      </c>
      <c r="U32" s="446" t="s">
        <v>98</v>
      </c>
    </row>
    <row r="33" spans="1:21" s="164" customFormat="1" ht="15" customHeight="1" thickBot="1" x14ac:dyDescent="0.25">
      <c r="A33" s="449" t="s">
        <v>1270</v>
      </c>
      <c r="B33" s="443"/>
      <c r="C33" s="443"/>
      <c r="D33" s="482"/>
      <c r="E33" s="482"/>
      <c r="F33" s="445">
        <v>1</v>
      </c>
      <c r="G33" s="174">
        <v>5.95</v>
      </c>
      <c r="H33" s="174">
        <v>2.65</v>
      </c>
      <c r="I33" s="174">
        <v>1.5</v>
      </c>
      <c r="J33" s="442">
        <f t="shared" si="8"/>
        <v>1.5</v>
      </c>
      <c r="K33" s="442"/>
      <c r="L33" s="442">
        <f t="shared" si="1"/>
        <v>47.922125000000008</v>
      </c>
      <c r="M33" s="442">
        <f t="shared" si="2"/>
        <v>15.7675</v>
      </c>
      <c r="N33" s="442">
        <f t="shared" si="3"/>
        <v>24.270875000000007</v>
      </c>
      <c r="O33" s="442">
        <f t="shared" si="4"/>
        <v>30.746625000000002</v>
      </c>
      <c r="P33" s="175">
        <f t="shared" si="5"/>
        <v>0.78837500000000005</v>
      </c>
      <c r="Q33" s="442">
        <f t="shared" si="6"/>
        <v>25.799999999999997</v>
      </c>
      <c r="R33" s="509">
        <f>31.8/2</f>
        <v>15.9</v>
      </c>
      <c r="S33" s="442">
        <f t="shared" si="7"/>
        <v>23.651250000000001</v>
      </c>
      <c r="T33" s="517">
        <f>47.2/2</f>
        <v>23.6</v>
      </c>
      <c r="U33" s="446" t="s">
        <v>98</v>
      </c>
    </row>
    <row r="34" spans="1:21" ht="13.5" thickTop="1" thickBot="1" x14ac:dyDescent="0.25">
      <c r="A34" s="115" t="s">
        <v>19</v>
      </c>
      <c r="B34" s="115"/>
      <c r="C34" s="115"/>
      <c r="D34" s="115"/>
      <c r="E34" s="115"/>
      <c r="F34" s="249"/>
      <c r="G34" s="115"/>
      <c r="H34" s="115"/>
      <c r="I34" s="187"/>
      <c r="J34" s="187"/>
      <c r="K34" s="187"/>
      <c r="L34" s="189">
        <f t="shared" ref="L34:Q34" si="9">SUM(L7:L33)</f>
        <v>418.81130604999998</v>
      </c>
      <c r="M34" s="189">
        <f t="shared" si="9"/>
        <v>128.62329099999999</v>
      </c>
      <c r="N34" s="189">
        <f t="shared" si="9"/>
        <v>222.55059455000003</v>
      </c>
      <c r="O34" s="189">
        <f t="shared" si="9"/>
        <v>255.13892494999999</v>
      </c>
      <c r="P34" s="189">
        <f t="shared" si="9"/>
        <v>6.4811645500000008</v>
      </c>
      <c r="Q34" s="189">
        <f t="shared" si="9"/>
        <v>247.61210000000005</v>
      </c>
      <c r="R34" s="503">
        <f>SUM(R9:R33)</f>
        <v>232.60000000000002</v>
      </c>
      <c r="S34" s="189">
        <f>SUM(S8:S33)</f>
        <v>196.26071150000001</v>
      </c>
      <c r="T34" s="503">
        <f>SUM(T9:T33)</f>
        <v>195.72</v>
      </c>
      <c r="U34" s="279"/>
    </row>
    <row r="35" spans="1:21" ht="13.5" thickTop="1" thickBot="1" x14ac:dyDescent="0.25">
      <c r="A35" s="115" t="s">
        <v>70</v>
      </c>
      <c r="B35" s="115"/>
      <c r="C35" s="115"/>
      <c r="D35" s="115"/>
      <c r="E35" s="115"/>
      <c r="F35" s="249"/>
      <c r="G35" s="115"/>
      <c r="H35" s="115"/>
      <c r="I35" s="187"/>
      <c r="J35" s="187"/>
      <c r="K35" s="187"/>
      <c r="L35" s="189"/>
      <c r="M35" s="189"/>
      <c r="N35" s="189"/>
      <c r="O35" s="189"/>
      <c r="P35" s="189"/>
      <c r="Q35" s="189">
        <v>0</v>
      </c>
      <c r="R35" s="503"/>
      <c r="S35" s="189">
        <v>0</v>
      </c>
      <c r="T35" s="503"/>
      <c r="U35" s="279"/>
    </row>
    <row r="36" spans="1:21" ht="13.5" thickTop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R36" s="846">
        <f>1-Q34/R34</f>
        <v>-6.4540412725709428E-2</v>
      </c>
      <c r="T36" s="846">
        <f>1-S34/T34</f>
        <v>-2.762678826895737E-3</v>
      </c>
    </row>
    <row r="37" spans="1:21" ht="12.75" x14ac:dyDescent="0.2">
      <c r="A37" s="7"/>
      <c r="B37" s="7"/>
      <c r="C37" s="7"/>
      <c r="E37" s="7"/>
      <c r="H37" s="11" t="s">
        <v>54</v>
      </c>
      <c r="K37" s="7"/>
      <c r="L37" s="7"/>
      <c r="M37" s="7"/>
      <c r="N37" s="7"/>
      <c r="R37" s="798" t="str">
        <f>IF(R36&lt;10%,"Usar valor de projeto","Confirmar com cliente")</f>
        <v>Usar valor de projeto</v>
      </c>
      <c r="T37" s="798" t="str">
        <f>IF(T36&lt;10%,"Usar valor de projeto","Confirmar com cliente")</f>
        <v>Usar valor de projeto</v>
      </c>
    </row>
    <row r="38" spans="1:21" x14ac:dyDescent="0.2"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21" x14ac:dyDescent="0.2"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21" x14ac:dyDescent="0.2">
      <c r="D40" s="7"/>
      <c r="E40" s="7"/>
      <c r="F40" s="7"/>
      <c r="H40" s="7"/>
      <c r="I40" s="7"/>
      <c r="J40" s="7"/>
      <c r="K40" s="7"/>
      <c r="L40" s="7"/>
      <c r="M40" s="7"/>
      <c r="O40" s="7"/>
    </row>
    <row r="41" spans="1:21" x14ac:dyDescent="0.2"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21" x14ac:dyDescent="0.2"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21" x14ac:dyDescent="0.2"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2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2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21" ht="22.9" customHeight="1" x14ac:dyDescent="0.2">
      <c r="A46" s="1292" t="s">
        <v>168</v>
      </c>
      <c r="B46" s="1293"/>
      <c r="C46" s="1293"/>
      <c r="D46" s="1293"/>
      <c r="E46" s="1293"/>
      <c r="F46" s="1293"/>
      <c r="G46" s="1293"/>
      <c r="H46" s="1293"/>
      <c r="I46" s="1293"/>
      <c r="J46" s="1293"/>
      <c r="K46" s="1293"/>
      <c r="L46" s="1293"/>
      <c r="M46" s="1293"/>
      <c r="N46" s="1293"/>
      <c r="O46" s="1293"/>
      <c r="P46" s="1293"/>
      <c r="Q46" s="1293"/>
      <c r="R46" s="1293"/>
      <c r="S46" s="1293"/>
      <c r="T46" s="1293"/>
      <c r="U46" s="1294"/>
    </row>
    <row r="47" spans="1:21" ht="36" x14ac:dyDescent="0.2">
      <c r="A47" s="1298" t="s">
        <v>6</v>
      </c>
      <c r="B47" s="306" t="s">
        <v>18</v>
      </c>
      <c r="C47" s="306" t="s">
        <v>146</v>
      </c>
      <c r="D47" s="306" t="s">
        <v>147</v>
      </c>
      <c r="E47" s="306" t="s">
        <v>148</v>
      </c>
      <c r="F47" s="306" t="s">
        <v>149</v>
      </c>
      <c r="G47" s="306" t="s">
        <v>150</v>
      </c>
      <c r="H47" s="306" t="s">
        <v>151</v>
      </c>
      <c r="I47" s="306" t="s">
        <v>152</v>
      </c>
      <c r="J47" s="306" t="s">
        <v>170</v>
      </c>
      <c r="K47" s="306" t="s">
        <v>171</v>
      </c>
      <c r="L47" s="306" t="s">
        <v>41</v>
      </c>
      <c r="M47" s="306" t="s">
        <v>43</v>
      </c>
      <c r="N47" s="306" t="s">
        <v>169</v>
      </c>
      <c r="O47" s="306" t="s">
        <v>128</v>
      </c>
      <c r="P47" s="306" t="s">
        <v>46</v>
      </c>
      <c r="Q47" s="306" t="s">
        <v>47</v>
      </c>
      <c r="R47" s="417" t="s">
        <v>201</v>
      </c>
      <c r="S47" s="306" t="s">
        <v>95</v>
      </c>
      <c r="T47" s="417" t="s">
        <v>202</v>
      </c>
      <c r="U47" s="1302" t="s">
        <v>10</v>
      </c>
    </row>
    <row r="48" spans="1:21" ht="12" x14ac:dyDescent="0.2">
      <c r="A48" s="1299"/>
      <c r="B48" s="307" t="s">
        <v>153</v>
      </c>
      <c r="C48" s="307" t="s">
        <v>154</v>
      </c>
      <c r="D48" s="307" t="s">
        <v>155</v>
      </c>
      <c r="E48" s="307" t="s">
        <v>51</v>
      </c>
      <c r="F48" s="307" t="s">
        <v>156</v>
      </c>
      <c r="G48" s="307" t="s">
        <v>157</v>
      </c>
      <c r="H48" s="307" t="s">
        <v>158</v>
      </c>
      <c r="I48" s="307" t="s">
        <v>159</v>
      </c>
      <c r="J48" s="307" t="s">
        <v>160</v>
      </c>
      <c r="K48" s="307" t="s">
        <v>160</v>
      </c>
      <c r="L48" s="307" t="s">
        <v>161</v>
      </c>
      <c r="M48" s="307" t="s">
        <v>164</v>
      </c>
      <c r="N48" s="307" t="s">
        <v>162</v>
      </c>
      <c r="O48" s="307" t="s">
        <v>163</v>
      </c>
      <c r="P48" s="307" t="s">
        <v>165</v>
      </c>
      <c r="Q48" s="307" t="s">
        <v>67</v>
      </c>
      <c r="R48" s="511" t="s">
        <v>67</v>
      </c>
      <c r="S48" s="307" t="s">
        <v>52</v>
      </c>
      <c r="T48" s="511" t="s">
        <v>52</v>
      </c>
      <c r="U48" s="1303"/>
    </row>
    <row r="49" spans="1:21" ht="12" x14ac:dyDescent="0.2">
      <c r="A49" s="1299"/>
      <c r="B49" s="308" t="s">
        <v>166</v>
      </c>
      <c r="C49" s="308" t="s">
        <v>3</v>
      </c>
      <c r="D49" s="308" t="s">
        <v>3</v>
      </c>
      <c r="E49" s="308" t="s">
        <v>3</v>
      </c>
      <c r="F49" s="308" t="s">
        <v>3</v>
      </c>
      <c r="G49" s="308" t="s">
        <v>3</v>
      </c>
      <c r="H49" s="308" t="s">
        <v>3</v>
      </c>
      <c r="I49" s="308" t="s">
        <v>3</v>
      </c>
      <c r="J49" s="308" t="s">
        <v>3</v>
      </c>
      <c r="K49" s="308" t="s">
        <v>3</v>
      </c>
      <c r="L49" s="308" t="s">
        <v>4</v>
      </c>
      <c r="M49" s="308" t="s">
        <v>1</v>
      </c>
      <c r="N49" s="308" t="s">
        <v>4</v>
      </c>
      <c r="O49" s="308" t="s">
        <v>4</v>
      </c>
      <c r="P49" s="308" t="s">
        <v>4</v>
      </c>
      <c r="Q49" s="308" t="s">
        <v>1</v>
      </c>
      <c r="R49" s="512" t="s">
        <v>1</v>
      </c>
      <c r="S49" s="308" t="s">
        <v>4</v>
      </c>
      <c r="T49" s="512" t="s">
        <v>4</v>
      </c>
      <c r="U49" s="1303"/>
    </row>
    <row r="50" spans="1:21" ht="12" x14ac:dyDescent="0.2">
      <c r="A50" s="437" t="s">
        <v>1275</v>
      </c>
      <c r="B50" s="438"/>
      <c r="C50" s="438"/>
      <c r="D50" s="438"/>
      <c r="E50" s="438"/>
      <c r="F50" s="422"/>
      <c r="G50" s="422"/>
      <c r="H50" s="422"/>
      <c r="I50" s="422"/>
      <c r="J50" s="422"/>
      <c r="K50" s="422"/>
      <c r="L50" s="422"/>
      <c r="M50" s="422"/>
      <c r="N50" s="422"/>
      <c r="O50" s="422"/>
      <c r="P50" s="423"/>
      <c r="Q50" s="422"/>
      <c r="R50" s="507"/>
      <c r="S50" s="422"/>
      <c r="T50" s="507"/>
      <c r="U50" s="424"/>
    </row>
    <row r="51" spans="1:21" ht="12" x14ac:dyDescent="0.2">
      <c r="A51" s="450" t="s">
        <v>322</v>
      </c>
      <c r="B51" s="439">
        <v>1</v>
      </c>
      <c r="C51" s="440">
        <v>2.4289999999999998</v>
      </c>
      <c r="D51" s="440">
        <v>0.5</v>
      </c>
      <c r="E51" s="440">
        <v>2.8050000000000002</v>
      </c>
      <c r="F51" s="440">
        <v>2.2269999999999999</v>
      </c>
      <c r="G51" s="440">
        <v>0.57699999999999996</v>
      </c>
      <c r="H51" s="440">
        <v>1.2</v>
      </c>
      <c r="I51" s="485">
        <v>0.05</v>
      </c>
      <c r="J51" s="479">
        <f>IF(H51&lt;=1,0.6,H51)</f>
        <v>1.2</v>
      </c>
      <c r="K51" s="418"/>
      <c r="L51" s="418">
        <f t="shared" ref="L51:L57" si="10">(C51+J51)*(E51+J51)*(H51+I51+K51)*B51</f>
        <v>18.167681249999998</v>
      </c>
      <c r="M51" s="418">
        <f t="shared" ref="M51:M57" si="11">(((E51+F51)*D51/2)+((E51+G51)*(C51-D51))/2)*B51</f>
        <v>4.5199389999999999</v>
      </c>
      <c r="N51" s="418">
        <f t="shared" ref="N51:N57" si="12">L51-S51</f>
        <v>12.743754449999997</v>
      </c>
      <c r="O51" s="418">
        <f t="shared" ref="O51:O57" si="13">(L51-N51)*1.3</f>
        <v>7.0511048400000007</v>
      </c>
      <c r="P51" s="418">
        <f t="shared" ref="P51:P57" si="14">M51*I51</f>
        <v>0.22599695</v>
      </c>
      <c r="Q51" s="418">
        <f t="shared" ref="Q51:Q57" si="15">(F51*H51+G51*H51+(((C51-D51)^2+((E51-G51)/2)^2)^(1/2))*H51*2+(((D51^2)+((E51-F51)/2)^2)^(1/2))*H51*2)*B51</f>
        <v>10.096981892663601</v>
      </c>
      <c r="R51" s="509">
        <f>20.19/2</f>
        <v>10.095000000000001</v>
      </c>
      <c r="S51" s="418">
        <f t="shared" ref="S51:S57" si="16">(((E51+F51)*D51/2)+((E51+G51)*(C51-D51))/2)*H51*B51</f>
        <v>5.4239267999999994</v>
      </c>
      <c r="T51" s="509">
        <f>10.59/2</f>
        <v>5.2949999999999999</v>
      </c>
      <c r="U51" s="419" t="s">
        <v>98</v>
      </c>
    </row>
    <row r="52" spans="1:21" ht="12" x14ac:dyDescent="0.2">
      <c r="A52" s="451" t="s">
        <v>323</v>
      </c>
      <c r="B52" s="441">
        <v>1</v>
      </c>
      <c r="C52" s="440">
        <v>2.4289999999999998</v>
      </c>
      <c r="D52" s="440">
        <v>0.5</v>
      </c>
      <c r="E52" s="440">
        <v>2.81</v>
      </c>
      <c r="F52" s="440">
        <v>2.2269999999999999</v>
      </c>
      <c r="G52" s="440">
        <v>0.57699999999999996</v>
      </c>
      <c r="H52" s="440">
        <v>1.2</v>
      </c>
      <c r="I52" s="485">
        <v>0.05</v>
      </c>
      <c r="J52" s="479">
        <f t="shared" ref="J52:J57" si="17">IF(H52&lt;=1,0.6,H52)</f>
        <v>1.2</v>
      </c>
      <c r="K52" s="418"/>
      <c r="L52" s="420">
        <f t="shared" si="10"/>
        <v>18.190362499999996</v>
      </c>
      <c r="M52" s="420">
        <f t="shared" si="11"/>
        <v>4.5260115000000001</v>
      </c>
      <c r="N52" s="420">
        <f t="shared" si="12"/>
        <v>12.759148699999995</v>
      </c>
      <c r="O52" s="420">
        <f t="shared" si="13"/>
        <v>7.0605779399999999</v>
      </c>
      <c r="P52" s="420">
        <f t="shared" si="14"/>
        <v>0.226300575</v>
      </c>
      <c r="Q52" s="420">
        <f t="shared" si="15"/>
        <v>10.102997249102952</v>
      </c>
      <c r="R52" s="509">
        <f>20.19/2</f>
        <v>10.095000000000001</v>
      </c>
      <c r="S52" s="420">
        <f t="shared" si="16"/>
        <v>5.4312138000000001</v>
      </c>
      <c r="T52" s="509">
        <f>10.59/2</f>
        <v>5.2949999999999999</v>
      </c>
      <c r="U52" s="419" t="s">
        <v>98</v>
      </c>
    </row>
    <row r="53" spans="1:21" ht="12" x14ac:dyDescent="0.2">
      <c r="A53" s="450" t="s">
        <v>324</v>
      </c>
      <c r="B53" s="440">
        <v>1</v>
      </c>
      <c r="C53" s="440">
        <v>2.0950000000000002</v>
      </c>
      <c r="D53" s="440">
        <v>0.45</v>
      </c>
      <c r="E53" s="440">
        <v>2.419</v>
      </c>
      <c r="F53" s="440">
        <v>1.9</v>
      </c>
      <c r="G53" s="440">
        <v>0.52</v>
      </c>
      <c r="H53" s="440">
        <v>1</v>
      </c>
      <c r="I53" s="485">
        <v>0.05</v>
      </c>
      <c r="J53" s="479">
        <f t="shared" si="17"/>
        <v>0.6</v>
      </c>
      <c r="K53" s="418"/>
      <c r="L53" s="418">
        <f t="shared" si="10"/>
        <v>8.5430152500000016</v>
      </c>
      <c r="M53" s="418">
        <f t="shared" si="11"/>
        <v>3.3891025000000004</v>
      </c>
      <c r="N53" s="418">
        <f t="shared" si="12"/>
        <v>5.1539127500000017</v>
      </c>
      <c r="O53" s="418">
        <f t="shared" si="13"/>
        <v>4.4058332499999997</v>
      </c>
      <c r="P53" s="418">
        <f t="shared" si="14"/>
        <v>0.16945512500000004</v>
      </c>
      <c r="Q53" s="418">
        <f t="shared" si="15"/>
        <v>7.2576466014561003</v>
      </c>
      <c r="R53" s="509">
        <v>7.26</v>
      </c>
      <c r="S53" s="418">
        <f t="shared" si="16"/>
        <v>3.3891025000000004</v>
      </c>
      <c r="T53" s="509">
        <v>3.3</v>
      </c>
      <c r="U53" s="419" t="s">
        <v>98</v>
      </c>
    </row>
    <row r="54" spans="1:21" ht="12" x14ac:dyDescent="0.2">
      <c r="A54" s="450" t="s">
        <v>1271</v>
      </c>
      <c r="B54" s="439">
        <v>1</v>
      </c>
      <c r="C54" s="440">
        <v>2.2989999999999999</v>
      </c>
      <c r="D54" s="440">
        <v>0.5</v>
      </c>
      <c r="E54" s="440">
        <v>2.6549999999999998</v>
      </c>
      <c r="F54" s="440">
        <v>2.077</v>
      </c>
      <c r="G54" s="440">
        <v>0.57699999999999996</v>
      </c>
      <c r="H54" s="440">
        <v>1.2</v>
      </c>
      <c r="I54" s="485">
        <v>0.05</v>
      </c>
      <c r="J54" s="479">
        <f t="shared" si="17"/>
        <v>1.2</v>
      </c>
      <c r="K54" s="418"/>
      <c r="L54" s="418">
        <f t="shared" si="10"/>
        <v>16.860806249999996</v>
      </c>
      <c r="M54" s="418">
        <f t="shared" si="11"/>
        <v>4.0901839999999989</v>
      </c>
      <c r="N54" s="418">
        <f t="shared" si="12"/>
        <v>11.952585449999997</v>
      </c>
      <c r="O54" s="418">
        <f t="shared" si="13"/>
        <v>6.3806870399999989</v>
      </c>
      <c r="P54" s="418">
        <f t="shared" si="14"/>
        <v>0.20450919999999995</v>
      </c>
      <c r="Q54" s="418">
        <f t="shared" si="15"/>
        <v>9.5567819845143571</v>
      </c>
      <c r="R54" s="509">
        <f>38.23/4</f>
        <v>9.5574999999999992</v>
      </c>
      <c r="S54" s="418">
        <f t="shared" si="16"/>
        <v>4.9082207999999987</v>
      </c>
      <c r="T54" s="509">
        <f>18.64/4</f>
        <v>4.66</v>
      </c>
      <c r="U54" s="419" t="s">
        <v>98</v>
      </c>
    </row>
    <row r="55" spans="1:21" ht="12" x14ac:dyDescent="0.2">
      <c r="A55" s="451" t="s">
        <v>1272</v>
      </c>
      <c r="B55" s="441">
        <v>1</v>
      </c>
      <c r="C55" s="440">
        <v>2.2989999999999999</v>
      </c>
      <c r="D55" s="440">
        <v>0.5</v>
      </c>
      <c r="E55" s="440">
        <v>2.6549999999999998</v>
      </c>
      <c r="F55" s="440">
        <v>2.077</v>
      </c>
      <c r="G55" s="440">
        <v>0.57699999999999996</v>
      </c>
      <c r="H55" s="440">
        <v>1.2</v>
      </c>
      <c r="I55" s="485">
        <v>0.05</v>
      </c>
      <c r="J55" s="479">
        <f t="shared" si="17"/>
        <v>1.2</v>
      </c>
      <c r="K55" s="418"/>
      <c r="L55" s="420">
        <f t="shared" si="10"/>
        <v>16.860806249999996</v>
      </c>
      <c r="M55" s="420">
        <f t="shared" si="11"/>
        <v>4.0901839999999989</v>
      </c>
      <c r="N55" s="420">
        <f t="shared" si="12"/>
        <v>11.952585449999997</v>
      </c>
      <c r="O55" s="420">
        <f t="shared" si="13"/>
        <v>6.3806870399999989</v>
      </c>
      <c r="P55" s="420">
        <f t="shared" si="14"/>
        <v>0.20450919999999995</v>
      </c>
      <c r="Q55" s="420">
        <f t="shared" si="15"/>
        <v>9.5567819845143571</v>
      </c>
      <c r="R55" s="509">
        <f>38.23/4</f>
        <v>9.5574999999999992</v>
      </c>
      <c r="S55" s="420">
        <f t="shared" si="16"/>
        <v>4.9082207999999987</v>
      </c>
      <c r="T55" s="509">
        <f>18.64/4</f>
        <v>4.66</v>
      </c>
      <c r="U55" s="419" t="s">
        <v>98</v>
      </c>
    </row>
    <row r="56" spans="1:21" ht="12" x14ac:dyDescent="0.2">
      <c r="A56" s="450" t="s">
        <v>1273</v>
      </c>
      <c r="B56" s="440">
        <v>1</v>
      </c>
      <c r="C56" s="440">
        <v>2.2989999999999999</v>
      </c>
      <c r="D56" s="440">
        <v>0.5</v>
      </c>
      <c r="E56" s="440">
        <v>2.6549999999999998</v>
      </c>
      <c r="F56" s="440">
        <v>2.077</v>
      </c>
      <c r="G56" s="440">
        <v>0.57699999999999996</v>
      </c>
      <c r="H56" s="440">
        <v>1.2</v>
      </c>
      <c r="I56" s="485">
        <v>0.05</v>
      </c>
      <c r="J56" s="479">
        <f t="shared" si="17"/>
        <v>1.2</v>
      </c>
      <c r="K56" s="418"/>
      <c r="L56" s="418">
        <f t="shared" si="10"/>
        <v>16.860806249999996</v>
      </c>
      <c r="M56" s="418">
        <f t="shared" si="11"/>
        <v>4.0901839999999989</v>
      </c>
      <c r="N56" s="418">
        <f t="shared" si="12"/>
        <v>11.952585449999997</v>
      </c>
      <c r="O56" s="418">
        <f t="shared" si="13"/>
        <v>6.3806870399999989</v>
      </c>
      <c r="P56" s="418">
        <f t="shared" si="14"/>
        <v>0.20450919999999995</v>
      </c>
      <c r="Q56" s="418">
        <f t="shared" si="15"/>
        <v>9.5567819845143571</v>
      </c>
      <c r="R56" s="509">
        <f>38.23/4</f>
        <v>9.5574999999999992</v>
      </c>
      <c r="S56" s="418">
        <f t="shared" si="16"/>
        <v>4.9082207999999987</v>
      </c>
      <c r="T56" s="509">
        <f>18.64/4</f>
        <v>4.66</v>
      </c>
      <c r="U56" s="419" t="s">
        <v>98</v>
      </c>
    </row>
    <row r="57" spans="1:21" ht="12.75" thickBot="1" x14ac:dyDescent="0.25">
      <c r="A57" s="450" t="s">
        <v>1274</v>
      </c>
      <c r="B57" s="439">
        <v>1</v>
      </c>
      <c r="C57" s="440">
        <v>2.2989999999999999</v>
      </c>
      <c r="D57" s="440">
        <v>0.5</v>
      </c>
      <c r="E57" s="440">
        <v>2.6549999999999998</v>
      </c>
      <c r="F57" s="440">
        <v>2.077</v>
      </c>
      <c r="G57" s="440">
        <v>0.57699999999999996</v>
      </c>
      <c r="H57" s="440">
        <v>1.2</v>
      </c>
      <c r="I57" s="485">
        <v>0.05</v>
      </c>
      <c r="J57" s="479">
        <f t="shared" si="17"/>
        <v>1.2</v>
      </c>
      <c r="K57" s="418"/>
      <c r="L57" s="418">
        <f t="shared" si="10"/>
        <v>16.860806249999996</v>
      </c>
      <c r="M57" s="418">
        <f t="shared" si="11"/>
        <v>4.0901839999999989</v>
      </c>
      <c r="N57" s="418">
        <f t="shared" si="12"/>
        <v>11.952585449999997</v>
      </c>
      <c r="O57" s="418">
        <f t="shared" si="13"/>
        <v>6.3806870399999989</v>
      </c>
      <c r="P57" s="418">
        <f t="shared" si="14"/>
        <v>0.20450919999999995</v>
      </c>
      <c r="Q57" s="418">
        <f t="shared" si="15"/>
        <v>9.5567819845143571</v>
      </c>
      <c r="R57" s="509">
        <f>38.23/4</f>
        <v>9.5574999999999992</v>
      </c>
      <c r="S57" s="418">
        <f t="shared" si="16"/>
        <v>4.9082207999999987</v>
      </c>
      <c r="T57" s="509">
        <f>18.64/4</f>
        <v>4.66</v>
      </c>
      <c r="U57" s="419" t="s">
        <v>98</v>
      </c>
    </row>
    <row r="58" spans="1:21" ht="13.5" thickTop="1" thickBot="1" x14ac:dyDescent="0.25">
      <c r="A58" s="115" t="s">
        <v>9</v>
      </c>
      <c r="B58" s="421">
        <f>SUM(B51:B57)</f>
        <v>7</v>
      </c>
      <c r="C58" s="115"/>
      <c r="D58" s="115"/>
      <c r="E58" s="115"/>
      <c r="F58" s="115"/>
      <c r="G58" s="115"/>
      <c r="H58" s="115"/>
      <c r="I58" s="115"/>
      <c r="J58" s="115"/>
      <c r="K58" s="115"/>
      <c r="L58" s="189">
        <f t="shared" ref="L58:T58" si="18">SUM(L51:L57)</f>
        <v>112.34428399999999</v>
      </c>
      <c r="M58" s="189">
        <f t="shared" si="18"/>
        <v>28.795788999999999</v>
      </c>
      <c r="N58" s="189">
        <f t="shared" si="18"/>
        <v>78.467157700000001</v>
      </c>
      <c r="O58" s="189">
        <f t="shared" si="18"/>
        <v>44.040264189999995</v>
      </c>
      <c r="P58" s="189">
        <f t="shared" si="18"/>
        <v>1.4397894499999997</v>
      </c>
      <c r="Q58" s="189">
        <f t="shared" si="18"/>
        <v>65.684753681280085</v>
      </c>
      <c r="R58" s="503">
        <f t="shared" si="18"/>
        <v>65.679999999999993</v>
      </c>
      <c r="S58" s="189">
        <f t="shared" si="18"/>
        <v>33.877126299999993</v>
      </c>
      <c r="T58" s="503">
        <f t="shared" si="18"/>
        <v>32.53</v>
      </c>
      <c r="U58" s="115"/>
    </row>
    <row r="59" spans="1:21" ht="13.5" thickTop="1" x14ac:dyDescent="0.2">
      <c r="R59" s="846">
        <f>1-Q58/R58</f>
        <v>-7.2376389770090199E-5</v>
      </c>
      <c r="T59" s="846">
        <f>1-S58/T58</f>
        <v>-4.1411813710420908E-2</v>
      </c>
    </row>
    <row r="60" spans="1:21" ht="12" x14ac:dyDescent="0.2">
      <c r="R60" s="798" t="str">
        <f>IF(R59&lt;10%,"Usar valor de projeto","Confirmar com cliente")</f>
        <v>Usar valor de projeto</v>
      </c>
      <c r="T60" s="798" t="str">
        <f>IF(T59&lt;10%,"Usar valor de projeto","Confirmar com cliente")</f>
        <v>Usar valor de projeto</v>
      </c>
    </row>
    <row r="62" spans="1:21" ht="12.75" x14ac:dyDescent="0.2">
      <c r="H62" s="11" t="s">
        <v>54</v>
      </c>
    </row>
    <row r="65" spans="1:21" s="147" customFormat="1" ht="16.899999999999999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510"/>
      <c r="S65" s="4"/>
      <c r="T65" s="510"/>
      <c r="U65" s="4"/>
    </row>
    <row r="83" spans="1:21" ht="12" thickBot="1" x14ac:dyDescent="0.25"/>
    <row r="84" spans="1:21" ht="13.5" thickTop="1" thickBot="1" x14ac:dyDescent="0.25">
      <c r="A84" s="115" t="s">
        <v>16</v>
      </c>
      <c r="B84" s="115"/>
      <c r="C84" s="115"/>
      <c r="D84" s="115"/>
      <c r="E84" s="115"/>
      <c r="F84" s="452">
        <f>B58+F34</f>
        <v>7</v>
      </c>
      <c r="G84" s="115"/>
      <c r="H84" s="115"/>
      <c r="I84" s="115"/>
      <c r="J84" s="115"/>
      <c r="K84" s="115"/>
      <c r="L84" s="189">
        <f t="shared" ref="L84:T84" si="19">L58+L34</f>
        <v>531.15559005</v>
      </c>
      <c r="M84" s="189">
        <f t="shared" si="19"/>
        <v>157.41908000000001</v>
      </c>
      <c r="N84" s="189">
        <f t="shared" si="19"/>
        <v>301.01775225000006</v>
      </c>
      <c r="O84" s="189">
        <f t="shared" si="19"/>
        <v>299.17918914000001</v>
      </c>
      <c r="P84" s="189">
        <f t="shared" si="19"/>
        <v>7.9209540000000001</v>
      </c>
      <c r="Q84" s="189">
        <f t="shared" si="19"/>
        <v>313.29685368128014</v>
      </c>
      <c r="R84" s="503">
        <f t="shared" si="19"/>
        <v>298.28000000000003</v>
      </c>
      <c r="S84" s="189">
        <f t="shared" si="19"/>
        <v>230.1378378</v>
      </c>
      <c r="T84" s="503">
        <f t="shared" si="19"/>
        <v>228.25</v>
      </c>
      <c r="U84" s="115"/>
    </row>
    <row r="85" spans="1:21" ht="12" thickTop="1" x14ac:dyDescent="0.2"/>
    <row r="108" spans="1:1" x14ac:dyDescent="0.2">
      <c r="A108" s="409"/>
    </row>
  </sheetData>
  <mergeCells count="16">
    <mergeCell ref="A5:E7"/>
    <mergeCell ref="A46:U46"/>
    <mergeCell ref="A4:U4"/>
    <mergeCell ref="A47:A49"/>
    <mergeCell ref="W5:X6"/>
    <mergeCell ref="F5:F7"/>
    <mergeCell ref="L5:L6"/>
    <mergeCell ref="M5:M6"/>
    <mergeCell ref="N5:N6"/>
    <mergeCell ref="O5:O6"/>
    <mergeCell ref="Q5:Q6"/>
    <mergeCell ref="U5:U7"/>
    <mergeCell ref="U47:U49"/>
    <mergeCell ref="R5:R6"/>
    <mergeCell ref="S5:S6"/>
    <mergeCell ref="T5:T6"/>
  </mergeCells>
  <dataValidations count="2">
    <dataValidation type="list" allowBlank="1" showInputMessage="1" showErrorMessage="1" sqref="U49 U8" xr:uid="{00000000-0002-0000-0D00-000000000000}">
      <formula1>$X$9:$X$14</formula1>
    </dataValidation>
    <dataValidation type="list" allowBlank="1" showInputMessage="1" showErrorMessage="1" sqref="U9:U33 U50:U57" xr:uid="{00000000-0002-0000-0D00-000001000000}">
      <formula1>$X$8:$X$14</formula1>
    </dataValidation>
  </dataValidations>
  <printOptions horizontalCentered="1"/>
  <pageMargins left="0.39370078740157483" right="0" top="0.39370078740157483" bottom="0.39370078740157483" header="0.51181102362204722" footer="0.19685039370078741"/>
  <pageSetup paperSize="9" scale="42" orientation="portrait" verticalDpi="300" r:id="rId1"/>
  <headerFooter alignWithMargins="0">
    <oddFooter>&amp;L&amp;F - &amp;A&amp;R&amp;P / &amp;N</oddFooter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43800"/>
    <pageSetUpPr fitToPage="1"/>
  </sheetPr>
  <dimension ref="A1:W33"/>
  <sheetViews>
    <sheetView showGridLines="0" view="pageBreakPreview" zoomScaleNormal="100" zoomScaleSheetLayoutView="100" workbookViewId="0">
      <pane ySplit="6" topLeftCell="A7" activePane="bottomLeft" state="frozen"/>
      <selection sqref="A1:XFD3"/>
      <selection pane="bottomLeft" activeCell="D24" sqref="D24"/>
    </sheetView>
  </sheetViews>
  <sheetFormatPr defaultRowHeight="11.25" x14ac:dyDescent="0.2"/>
  <cols>
    <col min="1" max="1" width="28.85546875" style="4" customWidth="1"/>
    <col min="2" max="2" width="10.28515625" style="4" customWidth="1"/>
    <col min="3" max="3" width="7.5703125" style="4" customWidth="1"/>
    <col min="4" max="14" width="8.140625" style="4" customWidth="1"/>
    <col min="15" max="15" width="9.140625" style="4" customWidth="1"/>
    <col min="16" max="16" width="7.42578125" style="4" customWidth="1"/>
    <col min="17" max="17" width="21.42578125" style="4" bestFit="1" customWidth="1"/>
    <col min="18" max="18" width="10.28515625" style="4" bestFit="1" customWidth="1"/>
    <col min="19" max="250" width="8.85546875" style="4"/>
    <col min="251" max="251" width="14.5703125" style="4" customWidth="1"/>
    <col min="252" max="252" width="20.7109375" style="4" customWidth="1"/>
    <col min="253" max="253" width="8.85546875" style="4"/>
    <col min="254" max="265" width="8.42578125" style="4" customWidth="1"/>
    <col min="266" max="506" width="8.85546875" style="4"/>
    <col min="507" max="507" width="14.5703125" style="4" customWidth="1"/>
    <col min="508" max="508" width="20.7109375" style="4" customWidth="1"/>
    <col min="509" max="509" width="8.85546875" style="4"/>
    <col min="510" max="521" width="8.42578125" style="4" customWidth="1"/>
    <col min="522" max="762" width="8.85546875" style="4"/>
    <col min="763" max="763" width="14.5703125" style="4" customWidth="1"/>
    <col min="764" max="764" width="20.7109375" style="4" customWidth="1"/>
    <col min="765" max="765" width="8.85546875" style="4"/>
    <col min="766" max="777" width="8.42578125" style="4" customWidth="1"/>
    <col min="778" max="1018" width="8.85546875" style="4"/>
    <col min="1019" max="1019" width="14.5703125" style="4" customWidth="1"/>
    <col min="1020" max="1020" width="20.7109375" style="4" customWidth="1"/>
    <col min="1021" max="1021" width="8.85546875" style="4"/>
    <col min="1022" max="1033" width="8.42578125" style="4" customWidth="1"/>
    <col min="1034" max="1274" width="8.85546875" style="4"/>
    <col min="1275" max="1275" width="14.5703125" style="4" customWidth="1"/>
    <col min="1276" max="1276" width="20.7109375" style="4" customWidth="1"/>
    <col min="1277" max="1277" width="8.85546875" style="4"/>
    <col min="1278" max="1289" width="8.42578125" style="4" customWidth="1"/>
    <col min="1290" max="1530" width="8.85546875" style="4"/>
    <col min="1531" max="1531" width="14.5703125" style="4" customWidth="1"/>
    <col min="1532" max="1532" width="20.7109375" style="4" customWidth="1"/>
    <col min="1533" max="1533" width="8.85546875" style="4"/>
    <col min="1534" max="1545" width="8.42578125" style="4" customWidth="1"/>
    <col min="1546" max="1786" width="8.85546875" style="4"/>
    <col min="1787" max="1787" width="14.5703125" style="4" customWidth="1"/>
    <col min="1788" max="1788" width="20.7109375" style="4" customWidth="1"/>
    <col min="1789" max="1789" width="8.85546875" style="4"/>
    <col min="1790" max="1801" width="8.42578125" style="4" customWidth="1"/>
    <col min="1802" max="2042" width="8.85546875" style="4"/>
    <col min="2043" max="2043" width="14.5703125" style="4" customWidth="1"/>
    <col min="2044" max="2044" width="20.7109375" style="4" customWidth="1"/>
    <col min="2045" max="2045" width="8.85546875" style="4"/>
    <col min="2046" max="2057" width="8.42578125" style="4" customWidth="1"/>
    <col min="2058" max="2298" width="8.85546875" style="4"/>
    <col min="2299" max="2299" width="14.5703125" style="4" customWidth="1"/>
    <col min="2300" max="2300" width="20.7109375" style="4" customWidth="1"/>
    <col min="2301" max="2301" width="8.85546875" style="4"/>
    <col min="2302" max="2313" width="8.42578125" style="4" customWidth="1"/>
    <col min="2314" max="2554" width="8.85546875" style="4"/>
    <col min="2555" max="2555" width="14.5703125" style="4" customWidth="1"/>
    <col min="2556" max="2556" width="20.7109375" style="4" customWidth="1"/>
    <col min="2557" max="2557" width="8.85546875" style="4"/>
    <col min="2558" max="2569" width="8.42578125" style="4" customWidth="1"/>
    <col min="2570" max="2810" width="8.85546875" style="4"/>
    <col min="2811" max="2811" width="14.5703125" style="4" customWidth="1"/>
    <col min="2812" max="2812" width="20.7109375" style="4" customWidth="1"/>
    <col min="2813" max="2813" width="8.85546875" style="4"/>
    <col min="2814" max="2825" width="8.42578125" style="4" customWidth="1"/>
    <col min="2826" max="3066" width="8.85546875" style="4"/>
    <col min="3067" max="3067" width="14.5703125" style="4" customWidth="1"/>
    <col min="3068" max="3068" width="20.7109375" style="4" customWidth="1"/>
    <col min="3069" max="3069" width="8.85546875" style="4"/>
    <col min="3070" max="3081" width="8.42578125" style="4" customWidth="1"/>
    <col min="3082" max="3322" width="8.85546875" style="4"/>
    <col min="3323" max="3323" width="14.5703125" style="4" customWidth="1"/>
    <col min="3324" max="3324" width="20.7109375" style="4" customWidth="1"/>
    <col min="3325" max="3325" width="8.85546875" style="4"/>
    <col min="3326" max="3337" width="8.42578125" style="4" customWidth="1"/>
    <col min="3338" max="3578" width="8.85546875" style="4"/>
    <col min="3579" max="3579" width="14.5703125" style="4" customWidth="1"/>
    <col min="3580" max="3580" width="20.7109375" style="4" customWidth="1"/>
    <col min="3581" max="3581" width="8.85546875" style="4"/>
    <col min="3582" max="3593" width="8.42578125" style="4" customWidth="1"/>
    <col min="3594" max="3834" width="8.85546875" style="4"/>
    <col min="3835" max="3835" width="14.5703125" style="4" customWidth="1"/>
    <col min="3836" max="3836" width="20.7109375" style="4" customWidth="1"/>
    <col min="3837" max="3837" width="8.85546875" style="4"/>
    <col min="3838" max="3849" width="8.42578125" style="4" customWidth="1"/>
    <col min="3850" max="4090" width="8.85546875" style="4"/>
    <col min="4091" max="4091" width="14.5703125" style="4" customWidth="1"/>
    <col min="4092" max="4092" width="20.7109375" style="4" customWidth="1"/>
    <col min="4093" max="4093" width="8.85546875" style="4"/>
    <col min="4094" max="4105" width="8.42578125" style="4" customWidth="1"/>
    <col min="4106" max="4346" width="8.85546875" style="4"/>
    <col min="4347" max="4347" width="14.5703125" style="4" customWidth="1"/>
    <col min="4348" max="4348" width="20.7109375" style="4" customWidth="1"/>
    <col min="4349" max="4349" width="8.85546875" style="4"/>
    <col min="4350" max="4361" width="8.42578125" style="4" customWidth="1"/>
    <col min="4362" max="4602" width="8.85546875" style="4"/>
    <col min="4603" max="4603" width="14.5703125" style="4" customWidth="1"/>
    <col min="4604" max="4604" width="20.7109375" style="4" customWidth="1"/>
    <col min="4605" max="4605" width="8.85546875" style="4"/>
    <col min="4606" max="4617" width="8.42578125" style="4" customWidth="1"/>
    <col min="4618" max="4858" width="8.85546875" style="4"/>
    <col min="4859" max="4859" width="14.5703125" style="4" customWidth="1"/>
    <col min="4860" max="4860" width="20.7109375" style="4" customWidth="1"/>
    <col min="4861" max="4861" width="8.85546875" style="4"/>
    <col min="4862" max="4873" width="8.42578125" style="4" customWidth="1"/>
    <col min="4874" max="5114" width="8.85546875" style="4"/>
    <col min="5115" max="5115" width="14.5703125" style="4" customWidth="1"/>
    <col min="5116" max="5116" width="20.7109375" style="4" customWidth="1"/>
    <col min="5117" max="5117" width="8.85546875" style="4"/>
    <col min="5118" max="5129" width="8.42578125" style="4" customWidth="1"/>
    <col min="5130" max="5370" width="8.85546875" style="4"/>
    <col min="5371" max="5371" width="14.5703125" style="4" customWidth="1"/>
    <col min="5372" max="5372" width="20.7109375" style="4" customWidth="1"/>
    <col min="5373" max="5373" width="8.85546875" style="4"/>
    <col min="5374" max="5385" width="8.42578125" style="4" customWidth="1"/>
    <col min="5386" max="5626" width="8.85546875" style="4"/>
    <col min="5627" max="5627" width="14.5703125" style="4" customWidth="1"/>
    <col min="5628" max="5628" width="20.7109375" style="4" customWidth="1"/>
    <col min="5629" max="5629" width="8.85546875" style="4"/>
    <col min="5630" max="5641" width="8.42578125" style="4" customWidth="1"/>
    <col min="5642" max="5882" width="8.85546875" style="4"/>
    <col min="5883" max="5883" width="14.5703125" style="4" customWidth="1"/>
    <col min="5884" max="5884" width="20.7109375" style="4" customWidth="1"/>
    <col min="5885" max="5885" width="8.85546875" style="4"/>
    <col min="5886" max="5897" width="8.42578125" style="4" customWidth="1"/>
    <col min="5898" max="6138" width="8.85546875" style="4"/>
    <col min="6139" max="6139" width="14.5703125" style="4" customWidth="1"/>
    <col min="6140" max="6140" width="20.7109375" style="4" customWidth="1"/>
    <col min="6141" max="6141" width="8.85546875" style="4"/>
    <col min="6142" max="6153" width="8.42578125" style="4" customWidth="1"/>
    <col min="6154" max="6394" width="8.85546875" style="4"/>
    <col min="6395" max="6395" width="14.5703125" style="4" customWidth="1"/>
    <col min="6396" max="6396" width="20.7109375" style="4" customWidth="1"/>
    <col min="6397" max="6397" width="8.85546875" style="4"/>
    <col min="6398" max="6409" width="8.42578125" style="4" customWidth="1"/>
    <col min="6410" max="6650" width="8.85546875" style="4"/>
    <col min="6651" max="6651" width="14.5703125" style="4" customWidth="1"/>
    <col min="6652" max="6652" width="20.7109375" style="4" customWidth="1"/>
    <col min="6653" max="6653" width="8.85546875" style="4"/>
    <col min="6654" max="6665" width="8.42578125" style="4" customWidth="1"/>
    <col min="6666" max="6906" width="8.85546875" style="4"/>
    <col min="6907" max="6907" width="14.5703125" style="4" customWidth="1"/>
    <col min="6908" max="6908" width="20.7109375" style="4" customWidth="1"/>
    <col min="6909" max="6909" width="8.85546875" style="4"/>
    <col min="6910" max="6921" width="8.42578125" style="4" customWidth="1"/>
    <col min="6922" max="7162" width="8.85546875" style="4"/>
    <col min="7163" max="7163" width="14.5703125" style="4" customWidth="1"/>
    <col min="7164" max="7164" width="20.7109375" style="4" customWidth="1"/>
    <col min="7165" max="7165" width="8.85546875" style="4"/>
    <col min="7166" max="7177" width="8.42578125" style="4" customWidth="1"/>
    <col min="7178" max="7418" width="8.85546875" style="4"/>
    <col min="7419" max="7419" width="14.5703125" style="4" customWidth="1"/>
    <col min="7420" max="7420" width="20.7109375" style="4" customWidth="1"/>
    <col min="7421" max="7421" width="8.85546875" style="4"/>
    <col min="7422" max="7433" width="8.42578125" style="4" customWidth="1"/>
    <col min="7434" max="7674" width="8.85546875" style="4"/>
    <col min="7675" max="7675" width="14.5703125" style="4" customWidth="1"/>
    <col min="7676" max="7676" width="20.7109375" style="4" customWidth="1"/>
    <col min="7677" max="7677" width="8.85546875" style="4"/>
    <col min="7678" max="7689" width="8.42578125" style="4" customWidth="1"/>
    <col min="7690" max="7930" width="8.85546875" style="4"/>
    <col min="7931" max="7931" width="14.5703125" style="4" customWidth="1"/>
    <col min="7932" max="7932" width="20.7109375" style="4" customWidth="1"/>
    <col min="7933" max="7933" width="8.85546875" style="4"/>
    <col min="7934" max="7945" width="8.42578125" style="4" customWidth="1"/>
    <col min="7946" max="8186" width="8.85546875" style="4"/>
    <col min="8187" max="8187" width="14.5703125" style="4" customWidth="1"/>
    <col min="8188" max="8188" width="20.7109375" style="4" customWidth="1"/>
    <col min="8189" max="8189" width="8.85546875" style="4"/>
    <col min="8190" max="8201" width="8.42578125" style="4" customWidth="1"/>
    <col min="8202" max="8442" width="8.85546875" style="4"/>
    <col min="8443" max="8443" width="14.5703125" style="4" customWidth="1"/>
    <col min="8444" max="8444" width="20.7109375" style="4" customWidth="1"/>
    <col min="8445" max="8445" width="8.85546875" style="4"/>
    <col min="8446" max="8457" width="8.42578125" style="4" customWidth="1"/>
    <col min="8458" max="8698" width="8.85546875" style="4"/>
    <col min="8699" max="8699" width="14.5703125" style="4" customWidth="1"/>
    <col min="8700" max="8700" width="20.7109375" style="4" customWidth="1"/>
    <col min="8701" max="8701" width="8.85546875" style="4"/>
    <col min="8702" max="8713" width="8.42578125" style="4" customWidth="1"/>
    <col min="8714" max="8954" width="8.85546875" style="4"/>
    <col min="8955" max="8955" width="14.5703125" style="4" customWidth="1"/>
    <col min="8956" max="8956" width="20.7109375" style="4" customWidth="1"/>
    <col min="8957" max="8957" width="8.85546875" style="4"/>
    <col min="8958" max="8969" width="8.42578125" style="4" customWidth="1"/>
    <col min="8970" max="9210" width="8.85546875" style="4"/>
    <col min="9211" max="9211" width="14.5703125" style="4" customWidth="1"/>
    <col min="9212" max="9212" width="20.7109375" style="4" customWidth="1"/>
    <col min="9213" max="9213" width="8.85546875" style="4"/>
    <col min="9214" max="9225" width="8.42578125" style="4" customWidth="1"/>
    <col min="9226" max="9466" width="8.85546875" style="4"/>
    <col min="9467" max="9467" width="14.5703125" style="4" customWidth="1"/>
    <col min="9468" max="9468" width="20.7109375" style="4" customWidth="1"/>
    <col min="9469" max="9469" width="8.85546875" style="4"/>
    <col min="9470" max="9481" width="8.42578125" style="4" customWidth="1"/>
    <col min="9482" max="9722" width="8.85546875" style="4"/>
    <col min="9723" max="9723" width="14.5703125" style="4" customWidth="1"/>
    <col min="9724" max="9724" width="20.7109375" style="4" customWidth="1"/>
    <col min="9725" max="9725" width="8.85546875" style="4"/>
    <col min="9726" max="9737" width="8.42578125" style="4" customWidth="1"/>
    <col min="9738" max="9978" width="8.85546875" style="4"/>
    <col min="9979" max="9979" width="14.5703125" style="4" customWidth="1"/>
    <col min="9980" max="9980" width="20.7109375" style="4" customWidth="1"/>
    <col min="9981" max="9981" width="8.85546875" style="4"/>
    <col min="9982" max="9993" width="8.42578125" style="4" customWidth="1"/>
    <col min="9994" max="10234" width="8.85546875" style="4"/>
    <col min="10235" max="10235" width="14.5703125" style="4" customWidth="1"/>
    <col min="10236" max="10236" width="20.7109375" style="4" customWidth="1"/>
    <col min="10237" max="10237" width="8.85546875" style="4"/>
    <col min="10238" max="10249" width="8.42578125" style="4" customWidth="1"/>
    <col min="10250" max="10490" width="8.85546875" style="4"/>
    <col min="10491" max="10491" width="14.5703125" style="4" customWidth="1"/>
    <col min="10492" max="10492" width="20.7109375" style="4" customWidth="1"/>
    <col min="10493" max="10493" width="8.85546875" style="4"/>
    <col min="10494" max="10505" width="8.42578125" style="4" customWidth="1"/>
    <col min="10506" max="10746" width="8.85546875" style="4"/>
    <col min="10747" max="10747" width="14.5703125" style="4" customWidth="1"/>
    <col min="10748" max="10748" width="20.7109375" style="4" customWidth="1"/>
    <col min="10749" max="10749" width="8.85546875" style="4"/>
    <col min="10750" max="10761" width="8.42578125" style="4" customWidth="1"/>
    <col min="10762" max="11002" width="8.85546875" style="4"/>
    <col min="11003" max="11003" width="14.5703125" style="4" customWidth="1"/>
    <col min="11004" max="11004" width="20.7109375" style="4" customWidth="1"/>
    <col min="11005" max="11005" width="8.85546875" style="4"/>
    <col min="11006" max="11017" width="8.42578125" style="4" customWidth="1"/>
    <col min="11018" max="11258" width="8.85546875" style="4"/>
    <col min="11259" max="11259" width="14.5703125" style="4" customWidth="1"/>
    <col min="11260" max="11260" width="20.7109375" style="4" customWidth="1"/>
    <col min="11261" max="11261" width="8.85546875" style="4"/>
    <col min="11262" max="11273" width="8.42578125" style="4" customWidth="1"/>
    <col min="11274" max="11514" width="8.85546875" style="4"/>
    <col min="11515" max="11515" width="14.5703125" style="4" customWidth="1"/>
    <col min="11516" max="11516" width="20.7109375" style="4" customWidth="1"/>
    <col min="11517" max="11517" width="8.85546875" style="4"/>
    <col min="11518" max="11529" width="8.42578125" style="4" customWidth="1"/>
    <col min="11530" max="11770" width="8.85546875" style="4"/>
    <col min="11771" max="11771" width="14.5703125" style="4" customWidth="1"/>
    <col min="11772" max="11772" width="20.7109375" style="4" customWidth="1"/>
    <col min="11773" max="11773" width="8.85546875" style="4"/>
    <col min="11774" max="11785" width="8.42578125" style="4" customWidth="1"/>
    <col min="11786" max="12026" width="8.85546875" style="4"/>
    <col min="12027" max="12027" width="14.5703125" style="4" customWidth="1"/>
    <col min="12028" max="12028" width="20.7109375" style="4" customWidth="1"/>
    <col min="12029" max="12029" width="8.85546875" style="4"/>
    <col min="12030" max="12041" width="8.42578125" style="4" customWidth="1"/>
    <col min="12042" max="12282" width="8.85546875" style="4"/>
    <col min="12283" max="12283" width="14.5703125" style="4" customWidth="1"/>
    <col min="12284" max="12284" width="20.7109375" style="4" customWidth="1"/>
    <col min="12285" max="12285" width="8.85546875" style="4"/>
    <col min="12286" max="12297" width="8.42578125" style="4" customWidth="1"/>
    <col min="12298" max="12538" width="8.85546875" style="4"/>
    <col min="12539" max="12539" width="14.5703125" style="4" customWidth="1"/>
    <col min="12540" max="12540" width="20.7109375" style="4" customWidth="1"/>
    <col min="12541" max="12541" width="8.85546875" style="4"/>
    <col min="12542" max="12553" width="8.42578125" style="4" customWidth="1"/>
    <col min="12554" max="12794" width="8.85546875" style="4"/>
    <col min="12795" max="12795" width="14.5703125" style="4" customWidth="1"/>
    <col min="12796" max="12796" width="20.7109375" style="4" customWidth="1"/>
    <col min="12797" max="12797" width="8.85546875" style="4"/>
    <col min="12798" max="12809" width="8.42578125" style="4" customWidth="1"/>
    <col min="12810" max="13050" width="8.85546875" style="4"/>
    <col min="13051" max="13051" width="14.5703125" style="4" customWidth="1"/>
    <col min="13052" max="13052" width="20.7109375" style="4" customWidth="1"/>
    <col min="13053" max="13053" width="8.85546875" style="4"/>
    <col min="13054" max="13065" width="8.42578125" style="4" customWidth="1"/>
    <col min="13066" max="13306" width="8.85546875" style="4"/>
    <col min="13307" max="13307" width="14.5703125" style="4" customWidth="1"/>
    <col min="13308" max="13308" width="20.7109375" style="4" customWidth="1"/>
    <col min="13309" max="13309" width="8.85546875" style="4"/>
    <col min="13310" max="13321" width="8.42578125" style="4" customWidth="1"/>
    <col min="13322" max="13562" width="8.85546875" style="4"/>
    <col min="13563" max="13563" width="14.5703125" style="4" customWidth="1"/>
    <col min="13564" max="13564" width="20.7109375" style="4" customWidth="1"/>
    <col min="13565" max="13565" width="8.85546875" style="4"/>
    <col min="13566" max="13577" width="8.42578125" style="4" customWidth="1"/>
    <col min="13578" max="13818" width="8.85546875" style="4"/>
    <col min="13819" max="13819" width="14.5703125" style="4" customWidth="1"/>
    <col min="13820" max="13820" width="20.7109375" style="4" customWidth="1"/>
    <col min="13821" max="13821" width="8.85546875" style="4"/>
    <col min="13822" max="13833" width="8.42578125" style="4" customWidth="1"/>
    <col min="13834" max="14074" width="8.85546875" style="4"/>
    <col min="14075" max="14075" width="14.5703125" style="4" customWidth="1"/>
    <col min="14076" max="14076" width="20.7109375" style="4" customWidth="1"/>
    <col min="14077" max="14077" width="8.85546875" style="4"/>
    <col min="14078" max="14089" width="8.42578125" style="4" customWidth="1"/>
    <col min="14090" max="14330" width="8.85546875" style="4"/>
    <col min="14331" max="14331" width="14.5703125" style="4" customWidth="1"/>
    <col min="14332" max="14332" width="20.7109375" style="4" customWidth="1"/>
    <col min="14333" max="14333" width="8.85546875" style="4"/>
    <col min="14334" max="14345" width="8.42578125" style="4" customWidth="1"/>
    <col min="14346" max="14586" width="8.85546875" style="4"/>
    <col min="14587" max="14587" width="14.5703125" style="4" customWidth="1"/>
    <col min="14588" max="14588" width="20.7109375" style="4" customWidth="1"/>
    <col min="14589" max="14589" width="8.85546875" style="4"/>
    <col min="14590" max="14601" width="8.42578125" style="4" customWidth="1"/>
    <col min="14602" max="14842" width="8.85546875" style="4"/>
    <col min="14843" max="14843" width="14.5703125" style="4" customWidth="1"/>
    <col min="14844" max="14844" width="20.7109375" style="4" customWidth="1"/>
    <col min="14845" max="14845" width="8.85546875" style="4"/>
    <col min="14846" max="14857" width="8.42578125" style="4" customWidth="1"/>
    <col min="14858" max="15098" width="8.85546875" style="4"/>
    <col min="15099" max="15099" width="14.5703125" style="4" customWidth="1"/>
    <col min="15100" max="15100" width="20.7109375" style="4" customWidth="1"/>
    <col min="15101" max="15101" width="8.85546875" style="4"/>
    <col min="15102" max="15113" width="8.42578125" style="4" customWidth="1"/>
    <col min="15114" max="15354" width="8.85546875" style="4"/>
    <col min="15355" max="15355" width="14.5703125" style="4" customWidth="1"/>
    <col min="15356" max="15356" width="20.7109375" style="4" customWidth="1"/>
    <col min="15357" max="15357" width="8.85546875" style="4"/>
    <col min="15358" max="15369" width="8.42578125" style="4" customWidth="1"/>
    <col min="15370" max="15610" width="8.85546875" style="4"/>
    <col min="15611" max="15611" width="14.5703125" style="4" customWidth="1"/>
    <col min="15612" max="15612" width="20.7109375" style="4" customWidth="1"/>
    <col min="15613" max="15613" width="8.85546875" style="4"/>
    <col min="15614" max="15625" width="8.42578125" style="4" customWidth="1"/>
    <col min="15626" max="15866" width="8.85546875" style="4"/>
    <col min="15867" max="15867" width="14.5703125" style="4" customWidth="1"/>
    <col min="15868" max="15868" width="20.7109375" style="4" customWidth="1"/>
    <col min="15869" max="15869" width="8.85546875" style="4"/>
    <col min="15870" max="15881" width="8.42578125" style="4" customWidth="1"/>
    <col min="15882" max="16122" width="8.85546875" style="4"/>
    <col min="16123" max="16123" width="14.5703125" style="4" customWidth="1"/>
    <col min="16124" max="16124" width="20.7109375" style="4" customWidth="1"/>
    <col min="16125" max="16125" width="8.85546875" style="4"/>
    <col min="16126" max="16137" width="8.42578125" style="4" customWidth="1"/>
    <col min="16138" max="16378" width="8.85546875" style="4"/>
    <col min="16379" max="16384" width="9.140625" style="4" customWidth="1"/>
  </cols>
  <sheetData>
    <row r="1" spans="1:23" s="53" customFormat="1" ht="15" customHeight="1" x14ac:dyDescent="0.2">
      <c r="A1" s="343"/>
      <c r="B1" s="362" t="s">
        <v>199</v>
      </c>
      <c r="C1" s="339" t="str">
        <f>ORÇAMENTO!I4</f>
        <v>SENSE106</v>
      </c>
      <c r="D1" s="338"/>
      <c r="E1" s="338"/>
      <c r="F1" s="338"/>
      <c r="G1" s="338"/>
      <c r="H1" s="338"/>
      <c r="I1" s="338"/>
      <c r="J1" s="338"/>
      <c r="K1" s="338"/>
      <c r="L1" s="339"/>
      <c r="M1" s="340"/>
      <c r="N1" s="345"/>
      <c r="O1" s="346"/>
      <c r="P1" s="416"/>
    </row>
    <row r="2" spans="1:23" s="215" customFormat="1" ht="15" customHeight="1" x14ac:dyDescent="0.2">
      <c r="A2" s="397"/>
      <c r="B2" s="362" t="s">
        <v>173</v>
      </c>
      <c r="C2" s="363" t="str">
        <f>ORÇAMENTO!I5</f>
        <v>HOLZE EMPREENDIMENTOS</v>
      </c>
      <c r="D2" s="339"/>
      <c r="E2" s="339"/>
      <c r="F2" s="339"/>
      <c r="G2" s="339"/>
      <c r="H2" s="339"/>
      <c r="I2" s="339"/>
      <c r="J2" s="339"/>
      <c r="K2" s="339"/>
      <c r="L2" s="399"/>
      <c r="M2" s="398"/>
      <c r="N2" s="347"/>
      <c r="O2" s="348"/>
      <c r="P2" s="414"/>
    </row>
    <row r="3" spans="1:23" s="53" customFormat="1" ht="15" customHeight="1" x14ac:dyDescent="0.2">
      <c r="A3" s="344"/>
      <c r="B3" s="362" t="s">
        <v>174</v>
      </c>
      <c r="C3" s="339" t="s">
        <v>314</v>
      </c>
      <c r="D3" s="339"/>
      <c r="E3" s="339"/>
      <c r="F3" s="339"/>
      <c r="G3" s="339"/>
      <c r="H3" s="339"/>
      <c r="I3" s="339"/>
      <c r="J3" s="339"/>
      <c r="K3" s="341"/>
      <c r="L3" s="339"/>
      <c r="M3" s="340"/>
      <c r="N3" s="349"/>
      <c r="O3" s="350"/>
      <c r="P3" s="415"/>
      <c r="Q3" s="415"/>
    </row>
    <row r="4" spans="1:23" s="2" customFormat="1" ht="21.6" customHeight="1" x14ac:dyDescent="0.2">
      <c r="A4" s="1272" t="s">
        <v>204</v>
      </c>
      <c r="B4" s="1272"/>
      <c r="C4" s="1272"/>
      <c r="D4" s="1272"/>
      <c r="E4" s="1272"/>
      <c r="F4" s="1272"/>
      <c r="G4" s="1272"/>
      <c r="H4" s="1272"/>
      <c r="I4" s="1272"/>
      <c r="J4" s="1272"/>
      <c r="K4" s="1272"/>
      <c r="L4" s="1272"/>
      <c r="M4" s="1272"/>
      <c r="N4" s="1272"/>
      <c r="O4" s="1272"/>
      <c r="P4" s="415"/>
      <c r="Q4" s="198"/>
      <c r="R4" s="1"/>
      <c r="S4" s="1"/>
      <c r="T4" s="1"/>
      <c r="U4" s="1"/>
      <c r="V4" s="1"/>
      <c r="W4" s="1"/>
    </row>
    <row r="5" spans="1:23" s="2" customFormat="1" ht="15" customHeight="1" x14ac:dyDescent="0.2">
      <c r="A5" s="1275" t="s">
        <v>6</v>
      </c>
      <c r="B5" s="1276"/>
      <c r="C5" s="1279" t="s">
        <v>18</v>
      </c>
      <c r="D5" s="317" t="s">
        <v>73</v>
      </c>
      <c r="E5" s="318"/>
      <c r="F5" s="319"/>
      <c r="G5" s="319"/>
      <c r="H5" s="319"/>
      <c r="I5" s="319"/>
      <c r="J5" s="320"/>
      <c r="K5" s="317" t="s">
        <v>20</v>
      </c>
      <c r="L5" s="319"/>
      <c r="M5" s="319"/>
      <c r="N5" s="319"/>
      <c r="O5" s="321"/>
      <c r="P5" s="198"/>
      <c r="Q5" s="198"/>
      <c r="R5" s="1"/>
      <c r="S5" s="1"/>
      <c r="T5" s="1"/>
      <c r="U5" s="1"/>
      <c r="V5" s="1"/>
      <c r="W5" s="1"/>
    </row>
    <row r="6" spans="1:23" s="3" customFormat="1" ht="16.899999999999999" customHeight="1" x14ac:dyDescent="0.2">
      <c r="A6" s="1277"/>
      <c r="B6" s="1278"/>
      <c r="C6" s="1280"/>
      <c r="D6" s="316">
        <v>6.3</v>
      </c>
      <c r="E6" s="316">
        <v>8</v>
      </c>
      <c r="F6" s="316">
        <v>10</v>
      </c>
      <c r="G6" s="316">
        <v>12.5</v>
      </c>
      <c r="H6" s="316">
        <v>16</v>
      </c>
      <c r="I6" s="316">
        <v>20</v>
      </c>
      <c r="J6" s="316">
        <v>25</v>
      </c>
      <c r="K6" s="316">
        <v>5</v>
      </c>
      <c r="L6" s="316">
        <v>0</v>
      </c>
      <c r="M6" s="316">
        <v>0</v>
      </c>
      <c r="N6" s="316">
        <v>0</v>
      </c>
      <c r="O6" s="325">
        <v>0</v>
      </c>
      <c r="P6" s="52"/>
      <c r="Q6" s="1"/>
      <c r="R6" s="1"/>
      <c r="S6" s="1"/>
      <c r="T6" s="1"/>
      <c r="U6" s="1"/>
      <c r="V6" s="1"/>
      <c r="W6" s="1"/>
    </row>
    <row r="7" spans="1:23" ht="12.95" customHeight="1" x14ac:dyDescent="0.2">
      <c r="A7" s="322" t="s">
        <v>106</v>
      </c>
      <c r="B7" s="323"/>
      <c r="C7" s="323"/>
      <c r="D7" s="323"/>
      <c r="E7" s="323"/>
      <c r="F7" s="324"/>
      <c r="G7" s="324"/>
      <c r="H7" s="324"/>
      <c r="I7" s="324"/>
      <c r="J7" s="324"/>
      <c r="K7" s="324"/>
      <c r="L7" s="324"/>
      <c r="M7" s="324"/>
      <c r="N7" s="324"/>
      <c r="O7" s="332"/>
    </row>
    <row r="8" spans="1:23" ht="12.95" customHeight="1" x14ac:dyDescent="0.2">
      <c r="A8" s="326"/>
      <c r="B8" s="331"/>
      <c r="C8" s="328">
        <v>1</v>
      </c>
      <c r="D8" s="329"/>
      <c r="E8" s="329"/>
      <c r="F8" s="329"/>
      <c r="G8" s="329"/>
      <c r="H8" s="329"/>
      <c r="I8" s="329"/>
      <c r="J8" s="329"/>
      <c r="K8" s="329"/>
      <c r="L8" s="329"/>
      <c r="M8" s="329"/>
      <c r="N8" s="329"/>
      <c r="O8" s="330"/>
      <c r="P8" s="52"/>
    </row>
    <row r="9" spans="1:23" ht="12.95" customHeight="1" x14ac:dyDescent="0.2">
      <c r="A9" s="322" t="s">
        <v>106</v>
      </c>
      <c r="B9" s="323"/>
      <c r="C9" s="323"/>
      <c r="D9" s="323"/>
      <c r="E9" s="323"/>
      <c r="F9" s="324"/>
      <c r="G9" s="324"/>
      <c r="H9" s="324"/>
      <c r="I9" s="324"/>
      <c r="J9" s="324"/>
      <c r="K9" s="324"/>
      <c r="L9" s="324"/>
      <c r="M9" s="324"/>
      <c r="N9" s="324"/>
      <c r="O9" s="332"/>
    </row>
    <row r="10" spans="1:23" ht="12.95" customHeight="1" x14ac:dyDescent="0.2">
      <c r="A10" s="326"/>
      <c r="B10" s="331"/>
      <c r="C10" s="328">
        <v>1</v>
      </c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30"/>
      <c r="P10" s="52"/>
    </row>
    <row r="11" spans="1:23" ht="12.95" customHeight="1" x14ac:dyDescent="0.2">
      <c r="A11" s="322" t="s">
        <v>106</v>
      </c>
      <c r="B11" s="323"/>
      <c r="C11" s="323"/>
      <c r="D11" s="323"/>
      <c r="E11" s="323"/>
      <c r="F11" s="324"/>
      <c r="G11" s="324"/>
      <c r="H11" s="324"/>
      <c r="I11" s="324"/>
      <c r="J11" s="324"/>
      <c r="K11" s="324"/>
      <c r="L11" s="324"/>
      <c r="M11" s="324"/>
      <c r="N11" s="324"/>
      <c r="O11" s="332"/>
    </row>
    <row r="12" spans="1:23" ht="12.95" customHeight="1" x14ac:dyDescent="0.2">
      <c r="A12" s="326"/>
      <c r="B12" s="331"/>
      <c r="C12" s="328">
        <v>1</v>
      </c>
      <c r="D12" s="329"/>
      <c r="E12" s="329"/>
      <c r="F12" s="329"/>
      <c r="G12" s="329"/>
      <c r="H12" s="329"/>
      <c r="I12" s="329"/>
      <c r="J12" s="329"/>
      <c r="K12" s="329"/>
      <c r="L12" s="329"/>
      <c r="M12" s="329"/>
      <c r="N12" s="329"/>
      <c r="O12" s="330"/>
      <c r="P12" s="52"/>
    </row>
    <row r="13" spans="1:23" ht="12.95" customHeight="1" x14ac:dyDescent="0.2">
      <c r="A13" s="322" t="s">
        <v>106</v>
      </c>
      <c r="B13" s="323"/>
      <c r="C13" s="323"/>
      <c r="D13" s="323"/>
      <c r="E13" s="323"/>
      <c r="F13" s="324"/>
      <c r="G13" s="324"/>
      <c r="H13" s="324"/>
      <c r="I13" s="324"/>
      <c r="J13" s="324"/>
      <c r="K13" s="324"/>
      <c r="L13" s="324"/>
      <c r="M13" s="324"/>
      <c r="N13" s="324"/>
      <c r="O13" s="332"/>
    </row>
    <row r="14" spans="1:23" ht="12.95" customHeight="1" x14ac:dyDescent="0.2">
      <c r="A14" s="326"/>
      <c r="B14" s="331"/>
      <c r="C14" s="328">
        <v>1</v>
      </c>
      <c r="D14" s="329"/>
      <c r="E14" s="329"/>
      <c r="F14" s="329"/>
      <c r="G14" s="329"/>
      <c r="H14" s="329"/>
      <c r="I14" s="329"/>
      <c r="J14" s="329"/>
      <c r="K14" s="329"/>
      <c r="L14" s="329"/>
      <c r="M14" s="329"/>
      <c r="N14" s="329"/>
      <c r="O14" s="330"/>
      <c r="P14" s="52"/>
    </row>
    <row r="15" spans="1:23" ht="12.95" customHeight="1" x14ac:dyDescent="0.2">
      <c r="A15" s="322" t="s">
        <v>106</v>
      </c>
      <c r="B15" s="323"/>
      <c r="C15" s="323"/>
      <c r="D15" s="323"/>
      <c r="E15" s="323"/>
      <c r="F15" s="324"/>
      <c r="G15" s="324"/>
      <c r="H15" s="324"/>
      <c r="I15" s="324"/>
      <c r="J15" s="324"/>
      <c r="K15" s="324"/>
      <c r="L15" s="324"/>
      <c r="M15" s="324"/>
      <c r="N15" s="324"/>
      <c r="O15" s="332"/>
    </row>
    <row r="16" spans="1:23" x14ac:dyDescent="0.2">
      <c r="A16" s="326"/>
      <c r="B16" s="334"/>
      <c r="C16" s="335">
        <v>1</v>
      </c>
      <c r="D16" s="336"/>
      <c r="E16" s="336"/>
      <c r="F16" s="336"/>
      <c r="G16" s="336"/>
      <c r="H16" s="336"/>
      <c r="I16" s="336"/>
      <c r="J16" s="336"/>
      <c r="K16" s="336"/>
      <c r="L16" s="336"/>
      <c r="M16" s="336"/>
      <c r="N16" s="336"/>
      <c r="O16" s="337"/>
      <c r="P16" s="52"/>
    </row>
    <row r="17" spans="1:15" ht="12" x14ac:dyDescent="0.2">
      <c r="A17" s="270"/>
      <c r="B17" s="271" t="s">
        <v>21</v>
      </c>
      <c r="C17" s="272">
        <f>SUM(D17:O17)</f>
        <v>0</v>
      </c>
      <c r="D17" s="272">
        <f t="shared" ref="D17:O17" si="0">SUMPRODUCT(D7:D16,$C7:$C16)</f>
        <v>0</v>
      </c>
      <c r="E17" s="272">
        <f t="shared" si="0"/>
        <v>0</v>
      </c>
      <c r="F17" s="272">
        <f t="shared" si="0"/>
        <v>0</v>
      </c>
      <c r="G17" s="272">
        <f t="shared" si="0"/>
        <v>0</v>
      </c>
      <c r="H17" s="272">
        <f t="shared" si="0"/>
        <v>0</v>
      </c>
      <c r="I17" s="272">
        <f t="shared" si="0"/>
        <v>0</v>
      </c>
      <c r="J17" s="272">
        <f t="shared" si="0"/>
        <v>0</v>
      </c>
      <c r="K17" s="272">
        <f t="shared" si="0"/>
        <v>0</v>
      </c>
      <c r="L17" s="272">
        <f t="shared" si="0"/>
        <v>0</v>
      </c>
      <c r="M17" s="272">
        <f t="shared" si="0"/>
        <v>0</v>
      </c>
      <c r="N17" s="272">
        <f t="shared" si="0"/>
        <v>0</v>
      </c>
      <c r="O17" s="272">
        <f t="shared" si="0"/>
        <v>0</v>
      </c>
    </row>
    <row r="18" spans="1:15" ht="12.75" thickBot="1" x14ac:dyDescent="0.25">
      <c r="A18" s="274"/>
      <c r="B18" s="200" t="s">
        <v>22</v>
      </c>
      <c r="C18" s="201"/>
      <c r="D18" s="202">
        <v>1</v>
      </c>
      <c r="E18" s="202">
        <v>1</v>
      </c>
      <c r="F18" s="202">
        <v>1</v>
      </c>
      <c r="G18" s="202">
        <v>1</v>
      </c>
      <c r="H18" s="202">
        <v>1</v>
      </c>
      <c r="I18" s="202">
        <v>1</v>
      </c>
      <c r="J18" s="202">
        <v>1</v>
      </c>
      <c r="K18" s="202">
        <v>1</v>
      </c>
      <c r="L18" s="202">
        <v>1</v>
      </c>
      <c r="M18" s="202">
        <v>1</v>
      </c>
      <c r="N18" s="202">
        <v>1</v>
      </c>
      <c r="O18" s="202">
        <v>1</v>
      </c>
    </row>
    <row r="19" spans="1:15" ht="13.5" thickTop="1" thickBot="1" x14ac:dyDescent="0.25">
      <c r="A19" s="115"/>
      <c r="B19" s="115" t="s">
        <v>23</v>
      </c>
      <c r="C19" s="203">
        <f>SUM(D19:O19)</f>
        <v>0</v>
      </c>
      <c r="D19" s="203">
        <f>D18*D17</f>
        <v>0</v>
      </c>
      <c r="E19" s="203">
        <f t="shared" ref="E19:O19" si="1">E18*E17</f>
        <v>0</v>
      </c>
      <c r="F19" s="203">
        <f t="shared" si="1"/>
        <v>0</v>
      </c>
      <c r="G19" s="203">
        <f t="shared" si="1"/>
        <v>0</v>
      </c>
      <c r="H19" s="203">
        <f t="shared" si="1"/>
        <v>0</v>
      </c>
      <c r="I19" s="203">
        <f t="shared" si="1"/>
        <v>0</v>
      </c>
      <c r="J19" s="203">
        <f t="shared" si="1"/>
        <v>0</v>
      </c>
      <c r="K19" s="203">
        <f t="shared" si="1"/>
        <v>0</v>
      </c>
      <c r="L19" s="203">
        <f t="shared" si="1"/>
        <v>0</v>
      </c>
      <c r="M19" s="203">
        <f t="shared" si="1"/>
        <v>0</v>
      </c>
      <c r="N19" s="203">
        <f t="shared" si="1"/>
        <v>0</v>
      </c>
      <c r="O19" s="203">
        <f t="shared" si="1"/>
        <v>0</v>
      </c>
    </row>
    <row r="20" spans="1:15" ht="12.75" thickTop="1" x14ac:dyDescent="0.2">
      <c r="A20" s="145"/>
      <c r="B20" s="276"/>
      <c r="C20" s="277"/>
      <c r="D20" s="278"/>
      <c r="E20" s="278"/>
      <c r="F20" s="278"/>
      <c r="G20" s="278"/>
      <c r="H20" s="278"/>
      <c r="I20" s="278"/>
      <c r="J20" s="278"/>
      <c r="K20" s="143"/>
      <c r="L20" s="143"/>
      <c r="M20" s="143"/>
      <c r="N20" s="143"/>
      <c r="O20" s="143"/>
    </row>
    <row r="21" spans="1:15" ht="12" x14ac:dyDescent="0.2">
      <c r="A21" s="145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</row>
    <row r="33" spans="1:15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</sheetData>
  <mergeCells count="3">
    <mergeCell ref="A4:O4"/>
    <mergeCell ref="A5:B6"/>
    <mergeCell ref="C5:C6"/>
  </mergeCells>
  <printOptions horizontalCentered="1"/>
  <pageMargins left="0.19685039370078741" right="0.19685039370078741" top="0.39370078740157483" bottom="0.39370078740157483" header="0.51181102362204722" footer="0.19685039370078741"/>
  <pageSetup paperSize="9" scale="98" orientation="landscape" r:id="rId1"/>
  <headerFooter alignWithMargins="0">
    <oddFooter>&amp;L&amp;"Arial,Normal"&amp;F  - &amp;A&amp;R&amp;"Arial,Normal"&amp;P / 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43800"/>
    <pageSetUpPr fitToPage="1"/>
  </sheetPr>
  <dimension ref="A1:M28"/>
  <sheetViews>
    <sheetView showGridLines="0" view="pageBreakPreview" zoomScale="130" zoomScaleNormal="100" zoomScaleSheetLayoutView="130" workbookViewId="0">
      <pane ySplit="3" topLeftCell="A4" activePane="bottomLeft" state="frozen"/>
      <selection sqref="A1:XFD3"/>
      <selection pane="bottomLeft" activeCell="I16" sqref="I16"/>
    </sheetView>
  </sheetViews>
  <sheetFormatPr defaultRowHeight="11.25" x14ac:dyDescent="0.2"/>
  <cols>
    <col min="1" max="5" width="8.140625" style="45" customWidth="1"/>
    <col min="6" max="240" width="8.85546875" style="4"/>
    <col min="241" max="241" width="14.5703125" style="4" customWidth="1"/>
    <col min="242" max="242" width="20.7109375" style="4" customWidth="1"/>
    <col min="243" max="243" width="8.85546875" style="4"/>
    <col min="244" max="255" width="8.42578125" style="4" customWidth="1"/>
    <col min="256" max="496" width="8.85546875" style="4"/>
    <col min="497" max="497" width="14.5703125" style="4" customWidth="1"/>
    <col min="498" max="498" width="20.7109375" style="4" customWidth="1"/>
    <col min="499" max="499" width="8.85546875" style="4"/>
    <col min="500" max="511" width="8.42578125" style="4" customWidth="1"/>
    <col min="512" max="752" width="8.85546875" style="4"/>
    <col min="753" max="753" width="14.5703125" style="4" customWidth="1"/>
    <col min="754" max="754" width="20.7109375" style="4" customWidth="1"/>
    <col min="755" max="755" width="8.85546875" style="4"/>
    <col min="756" max="767" width="8.42578125" style="4" customWidth="1"/>
    <col min="768" max="1008" width="8.85546875" style="4"/>
    <col min="1009" max="1009" width="14.5703125" style="4" customWidth="1"/>
    <col min="1010" max="1010" width="20.7109375" style="4" customWidth="1"/>
    <col min="1011" max="1011" width="8.85546875" style="4"/>
    <col min="1012" max="1023" width="8.42578125" style="4" customWidth="1"/>
    <col min="1024" max="1264" width="8.85546875" style="4"/>
    <col min="1265" max="1265" width="14.5703125" style="4" customWidth="1"/>
    <col min="1266" max="1266" width="20.7109375" style="4" customWidth="1"/>
    <col min="1267" max="1267" width="8.85546875" style="4"/>
    <col min="1268" max="1279" width="8.42578125" style="4" customWidth="1"/>
    <col min="1280" max="1520" width="8.85546875" style="4"/>
    <col min="1521" max="1521" width="14.5703125" style="4" customWidth="1"/>
    <col min="1522" max="1522" width="20.7109375" style="4" customWidth="1"/>
    <col min="1523" max="1523" width="8.85546875" style="4"/>
    <col min="1524" max="1535" width="8.42578125" style="4" customWidth="1"/>
    <col min="1536" max="1776" width="8.85546875" style="4"/>
    <col min="1777" max="1777" width="14.5703125" style="4" customWidth="1"/>
    <col min="1778" max="1778" width="20.7109375" style="4" customWidth="1"/>
    <col min="1779" max="1779" width="8.85546875" style="4"/>
    <col min="1780" max="1791" width="8.42578125" style="4" customWidth="1"/>
    <col min="1792" max="2032" width="8.85546875" style="4"/>
    <col min="2033" max="2033" width="14.5703125" style="4" customWidth="1"/>
    <col min="2034" max="2034" width="20.7109375" style="4" customWidth="1"/>
    <col min="2035" max="2035" width="8.85546875" style="4"/>
    <col min="2036" max="2047" width="8.42578125" style="4" customWidth="1"/>
    <col min="2048" max="2288" width="8.85546875" style="4"/>
    <col min="2289" max="2289" width="14.5703125" style="4" customWidth="1"/>
    <col min="2290" max="2290" width="20.7109375" style="4" customWidth="1"/>
    <col min="2291" max="2291" width="8.85546875" style="4"/>
    <col min="2292" max="2303" width="8.42578125" style="4" customWidth="1"/>
    <col min="2304" max="2544" width="8.85546875" style="4"/>
    <col min="2545" max="2545" width="14.5703125" style="4" customWidth="1"/>
    <col min="2546" max="2546" width="20.7109375" style="4" customWidth="1"/>
    <col min="2547" max="2547" width="8.85546875" style="4"/>
    <col min="2548" max="2559" width="8.42578125" style="4" customWidth="1"/>
    <col min="2560" max="2800" width="8.85546875" style="4"/>
    <col min="2801" max="2801" width="14.5703125" style="4" customWidth="1"/>
    <col min="2802" max="2802" width="20.7109375" style="4" customWidth="1"/>
    <col min="2803" max="2803" width="8.85546875" style="4"/>
    <col min="2804" max="2815" width="8.42578125" style="4" customWidth="1"/>
    <col min="2816" max="3056" width="8.85546875" style="4"/>
    <col min="3057" max="3057" width="14.5703125" style="4" customWidth="1"/>
    <col min="3058" max="3058" width="20.7109375" style="4" customWidth="1"/>
    <col min="3059" max="3059" width="8.85546875" style="4"/>
    <col min="3060" max="3071" width="8.42578125" style="4" customWidth="1"/>
    <col min="3072" max="3312" width="8.85546875" style="4"/>
    <col min="3313" max="3313" width="14.5703125" style="4" customWidth="1"/>
    <col min="3314" max="3314" width="20.7109375" style="4" customWidth="1"/>
    <col min="3315" max="3315" width="8.85546875" style="4"/>
    <col min="3316" max="3327" width="8.42578125" style="4" customWidth="1"/>
    <col min="3328" max="3568" width="8.85546875" style="4"/>
    <col min="3569" max="3569" width="14.5703125" style="4" customWidth="1"/>
    <col min="3570" max="3570" width="20.7109375" style="4" customWidth="1"/>
    <col min="3571" max="3571" width="8.85546875" style="4"/>
    <col min="3572" max="3583" width="8.42578125" style="4" customWidth="1"/>
    <col min="3584" max="3824" width="8.85546875" style="4"/>
    <col min="3825" max="3825" width="14.5703125" style="4" customWidth="1"/>
    <col min="3826" max="3826" width="20.7109375" style="4" customWidth="1"/>
    <col min="3827" max="3827" width="8.85546875" style="4"/>
    <col min="3828" max="3839" width="8.42578125" style="4" customWidth="1"/>
    <col min="3840" max="4080" width="8.85546875" style="4"/>
    <col min="4081" max="4081" width="14.5703125" style="4" customWidth="1"/>
    <col min="4082" max="4082" width="20.7109375" style="4" customWidth="1"/>
    <col min="4083" max="4083" width="8.85546875" style="4"/>
    <col min="4084" max="4095" width="8.42578125" style="4" customWidth="1"/>
    <col min="4096" max="4336" width="8.85546875" style="4"/>
    <col min="4337" max="4337" width="14.5703125" style="4" customWidth="1"/>
    <col min="4338" max="4338" width="20.7109375" style="4" customWidth="1"/>
    <col min="4339" max="4339" width="8.85546875" style="4"/>
    <col min="4340" max="4351" width="8.42578125" style="4" customWidth="1"/>
    <col min="4352" max="4592" width="8.85546875" style="4"/>
    <col min="4593" max="4593" width="14.5703125" style="4" customWidth="1"/>
    <col min="4594" max="4594" width="20.7109375" style="4" customWidth="1"/>
    <col min="4595" max="4595" width="8.85546875" style="4"/>
    <col min="4596" max="4607" width="8.42578125" style="4" customWidth="1"/>
    <col min="4608" max="4848" width="8.85546875" style="4"/>
    <col min="4849" max="4849" width="14.5703125" style="4" customWidth="1"/>
    <col min="4850" max="4850" width="20.7109375" style="4" customWidth="1"/>
    <col min="4851" max="4851" width="8.85546875" style="4"/>
    <col min="4852" max="4863" width="8.42578125" style="4" customWidth="1"/>
    <col min="4864" max="5104" width="8.85546875" style="4"/>
    <col min="5105" max="5105" width="14.5703125" style="4" customWidth="1"/>
    <col min="5106" max="5106" width="20.7109375" style="4" customWidth="1"/>
    <col min="5107" max="5107" width="8.85546875" style="4"/>
    <col min="5108" max="5119" width="8.42578125" style="4" customWidth="1"/>
    <col min="5120" max="5360" width="8.85546875" style="4"/>
    <col min="5361" max="5361" width="14.5703125" style="4" customWidth="1"/>
    <col min="5362" max="5362" width="20.7109375" style="4" customWidth="1"/>
    <col min="5363" max="5363" width="8.85546875" style="4"/>
    <col min="5364" max="5375" width="8.42578125" style="4" customWidth="1"/>
    <col min="5376" max="5616" width="8.85546875" style="4"/>
    <col min="5617" max="5617" width="14.5703125" style="4" customWidth="1"/>
    <col min="5618" max="5618" width="20.7109375" style="4" customWidth="1"/>
    <col min="5619" max="5619" width="8.85546875" style="4"/>
    <col min="5620" max="5631" width="8.42578125" style="4" customWidth="1"/>
    <col min="5632" max="5872" width="8.85546875" style="4"/>
    <col min="5873" max="5873" width="14.5703125" style="4" customWidth="1"/>
    <col min="5874" max="5874" width="20.7109375" style="4" customWidth="1"/>
    <col min="5875" max="5875" width="8.85546875" style="4"/>
    <col min="5876" max="5887" width="8.42578125" style="4" customWidth="1"/>
    <col min="5888" max="6128" width="8.85546875" style="4"/>
    <col min="6129" max="6129" width="14.5703125" style="4" customWidth="1"/>
    <col min="6130" max="6130" width="20.7109375" style="4" customWidth="1"/>
    <col min="6131" max="6131" width="8.85546875" style="4"/>
    <col min="6132" max="6143" width="8.42578125" style="4" customWidth="1"/>
    <col min="6144" max="6384" width="8.85546875" style="4"/>
    <col min="6385" max="6385" width="14.5703125" style="4" customWidth="1"/>
    <col min="6386" max="6386" width="20.7109375" style="4" customWidth="1"/>
    <col min="6387" max="6387" width="8.85546875" style="4"/>
    <col min="6388" max="6399" width="8.42578125" style="4" customWidth="1"/>
    <col min="6400" max="6640" width="8.85546875" style="4"/>
    <col min="6641" max="6641" width="14.5703125" style="4" customWidth="1"/>
    <col min="6642" max="6642" width="20.7109375" style="4" customWidth="1"/>
    <col min="6643" max="6643" width="8.85546875" style="4"/>
    <col min="6644" max="6655" width="8.42578125" style="4" customWidth="1"/>
    <col min="6656" max="6896" width="8.85546875" style="4"/>
    <col min="6897" max="6897" width="14.5703125" style="4" customWidth="1"/>
    <col min="6898" max="6898" width="20.7109375" style="4" customWidth="1"/>
    <col min="6899" max="6899" width="8.85546875" style="4"/>
    <col min="6900" max="6911" width="8.42578125" style="4" customWidth="1"/>
    <col min="6912" max="7152" width="8.85546875" style="4"/>
    <col min="7153" max="7153" width="14.5703125" style="4" customWidth="1"/>
    <col min="7154" max="7154" width="20.7109375" style="4" customWidth="1"/>
    <col min="7155" max="7155" width="8.85546875" style="4"/>
    <col min="7156" max="7167" width="8.42578125" style="4" customWidth="1"/>
    <col min="7168" max="7408" width="8.85546875" style="4"/>
    <col min="7409" max="7409" width="14.5703125" style="4" customWidth="1"/>
    <col min="7410" max="7410" width="20.7109375" style="4" customWidth="1"/>
    <col min="7411" max="7411" width="8.85546875" style="4"/>
    <col min="7412" max="7423" width="8.42578125" style="4" customWidth="1"/>
    <col min="7424" max="7664" width="8.85546875" style="4"/>
    <col min="7665" max="7665" width="14.5703125" style="4" customWidth="1"/>
    <col min="7666" max="7666" width="20.7109375" style="4" customWidth="1"/>
    <col min="7667" max="7667" width="8.85546875" style="4"/>
    <col min="7668" max="7679" width="8.42578125" style="4" customWidth="1"/>
    <col min="7680" max="7920" width="8.85546875" style="4"/>
    <col min="7921" max="7921" width="14.5703125" style="4" customWidth="1"/>
    <col min="7922" max="7922" width="20.7109375" style="4" customWidth="1"/>
    <col min="7923" max="7923" width="8.85546875" style="4"/>
    <col min="7924" max="7935" width="8.42578125" style="4" customWidth="1"/>
    <col min="7936" max="8176" width="8.85546875" style="4"/>
    <col min="8177" max="8177" width="14.5703125" style="4" customWidth="1"/>
    <col min="8178" max="8178" width="20.7109375" style="4" customWidth="1"/>
    <col min="8179" max="8179" width="8.85546875" style="4"/>
    <col min="8180" max="8191" width="8.42578125" style="4" customWidth="1"/>
    <col min="8192" max="8432" width="8.85546875" style="4"/>
    <col min="8433" max="8433" width="14.5703125" style="4" customWidth="1"/>
    <col min="8434" max="8434" width="20.7109375" style="4" customWidth="1"/>
    <col min="8435" max="8435" width="8.85546875" style="4"/>
    <col min="8436" max="8447" width="8.42578125" style="4" customWidth="1"/>
    <col min="8448" max="8688" width="8.85546875" style="4"/>
    <col min="8689" max="8689" width="14.5703125" style="4" customWidth="1"/>
    <col min="8690" max="8690" width="20.7109375" style="4" customWidth="1"/>
    <col min="8691" max="8691" width="8.85546875" style="4"/>
    <col min="8692" max="8703" width="8.42578125" style="4" customWidth="1"/>
    <col min="8704" max="8944" width="8.85546875" style="4"/>
    <col min="8945" max="8945" width="14.5703125" style="4" customWidth="1"/>
    <col min="8946" max="8946" width="20.7109375" style="4" customWidth="1"/>
    <col min="8947" max="8947" width="8.85546875" style="4"/>
    <col min="8948" max="8959" width="8.42578125" style="4" customWidth="1"/>
    <col min="8960" max="9200" width="8.85546875" style="4"/>
    <col min="9201" max="9201" width="14.5703125" style="4" customWidth="1"/>
    <col min="9202" max="9202" width="20.7109375" style="4" customWidth="1"/>
    <col min="9203" max="9203" width="8.85546875" style="4"/>
    <col min="9204" max="9215" width="8.42578125" style="4" customWidth="1"/>
    <col min="9216" max="9456" width="8.85546875" style="4"/>
    <col min="9457" max="9457" width="14.5703125" style="4" customWidth="1"/>
    <col min="9458" max="9458" width="20.7109375" style="4" customWidth="1"/>
    <col min="9459" max="9459" width="8.85546875" style="4"/>
    <col min="9460" max="9471" width="8.42578125" style="4" customWidth="1"/>
    <col min="9472" max="9712" width="8.85546875" style="4"/>
    <col min="9713" max="9713" width="14.5703125" style="4" customWidth="1"/>
    <col min="9714" max="9714" width="20.7109375" style="4" customWidth="1"/>
    <col min="9715" max="9715" width="8.85546875" style="4"/>
    <col min="9716" max="9727" width="8.42578125" style="4" customWidth="1"/>
    <col min="9728" max="9968" width="8.85546875" style="4"/>
    <col min="9969" max="9969" width="14.5703125" style="4" customWidth="1"/>
    <col min="9970" max="9970" width="20.7109375" style="4" customWidth="1"/>
    <col min="9971" max="9971" width="8.85546875" style="4"/>
    <col min="9972" max="9983" width="8.42578125" style="4" customWidth="1"/>
    <col min="9984" max="10224" width="8.85546875" style="4"/>
    <col min="10225" max="10225" width="14.5703125" style="4" customWidth="1"/>
    <col min="10226" max="10226" width="20.7109375" style="4" customWidth="1"/>
    <col min="10227" max="10227" width="8.85546875" style="4"/>
    <col min="10228" max="10239" width="8.42578125" style="4" customWidth="1"/>
    <col min="10240" max="10480" width="8.85546875" style="4"/>
    <col min="10481" max="10481" width="14.5703125" style="4" customWidth="1"/>
    <col min="10482" max="10482" width="20.7109375" style="4" customWidth="1"/>
    <col min="10483" max="10483" width="8.85546875" style="4"/>
    <col min="10484" max="10495" width="8.42578125" style="4" customWidth="1"/>
    <col min="10496" max="10736" width="8.85546875" style="4"/>
    <col min="10737" max="10737" width="14.5703125" style="4" customWidth="1"/>
    <col min="10738" max="10738" width="20.7109375" style="4" customWidth="1"/>
    <col min="10739" max="10739" width="8.85546875" style="4"/>
    <col min="10740" max="10751" width="8.42578125" style="4" customWidth="1"/>
    <col min="10752" max="10992" width="8.85546875" style="4"/>
    <col min="10993" max="10993" width="14.5703125" style="4" customWidth="1"/>
    <col min="10994" max="10994" width="20.7109375" style="4" customWidth="1"/>
    <col min="10995" max="10995" width="8.85546875" style="4"/>
    <col min="10996" max="11007" width="8.42578125" style="4" customWidth="1"/>
    <col min="11008" max="11248" width="8.85546875" style="4"/>
    <col min="11249" max="11249" width="14.5703125" style="4" customWidth="1"/>
    <col min="11250" max="11250" width="20.7109375" style="4" customWidth="1"/>
    <col min="11251" max="11251" width="8.85546875" style="4"/>
    <col min="11252" max="11263" width="8.42578125" style="4" customWidth="1"/>
    <col min="11264" max="11504" width="8.85546875" style="4"/>
    <col min="11505" max="11505" width="14.5703125" style="4" customWidth="1"/>
    <col min="11506" max="11506" width="20.7109375" style="4" customWidth="1"/>
    <col min="11507" max="11507" width="8.85546875" style="4"/>
    <col min="11508" max="11519" width="8.42578125" style="4" customWidth="1"/>
    <col min="11520" max="11760" width="8.85546875" style="4"/>
    <col min="11761" max="11761" width="14.5703125" style="4" customWidth="1"/>
    <col min="11762" max="11762" width="20.7109375" style="4" customWidth="1"/>
    <col min="11763" max="11763" width="8.85546875" style="4"/>
    <col min="11764" max="11775" width="8.42578125" style="4" customWidth="1"/>
    <col min="11776" max="12016" width="8.85546875" style="4"/>
    <col min="12017" max="12017" width="14.5703125" style="4" customWidth="1"/>
    <col min="12018" max="12018" width="20.7109375" style="4" customWidth="1"/>
    <col min="12019" max="12019" width="8.85546875" style="4"/>
    <col min="12020" max="12031" width="8.42578125" style="4" customWidth="1"/>
    <col min="12032" max="12272" width="8.85546875" style="4"/>
    <col min="12273" max="12273" width="14.5703125" style="4" customWidth="1"/>
    <col min="12274" max="12274" width="20.7109375" style="4" customWidth="1"/>
    <col min="12275" max="12275" width="8.85546875" style="4"/>
    <col min="12276" max="12287" width="8.42578125" style="4" customWidth="1"/>
    <col min="12288" max="12528" width="8.85546875" style="4"/>
    <col min="12529" max="12529" width="14.5703125" style="4" customWidth="1"/>
    <col min="12530" max="12530" width="20.7109375" style="4" customWidth="1"/>
    <col min="12531" max="12531" width="8.85546875" style="4"/>
    <col min="12532" max="12543" width="8.42578125" style="4" customWidth="1"/>
    <col min="12544" max="12784" width="8.85546875" style="4"/>
    <col min="12785" max="12785" width="14.5703125" style="4" customWidth="1"/>
    <col min="12786" max="12786" width="20.7109375" style="4" customWidth="1"/>
    <col min="12787" max="12787" width="8.85546875" style="4"/>
    <col min="12788" max="12799" width="8.42578125" style="4" customWidth="1"/>
    <col min="12800" max="13040" width="8.85546875" style="4"/>
    <col min="13041" max="13041" width="14.5703125" style="4" customWidth="1"/>
    <col min="13042" max="13042" width="20.7109375" style="4" customWidth="1"/>
    <col min="13043" max="13043" width="8.85546875" style="4"/>
    <col min="13044" max="13055" width="8.42578125" style="4" customWidth="1"/>
    <col min="13056" max="13296" width="8.85546875" style="4"/>
    <col min="13297" max="13297" width="14.5703125" style="4" customWidth="1"/>
    <col min="13298" max="13298" width="20.7109375" style="4" customWidth="1"/>
    <col min="13299" max="13299" width="8.85546875" style="4"/>
    <col min="13300" max="13311" width="8.42578125" style="4" customWidth="1"/>
    <col min="13312" max="13552" width="8.85546875" style="4"/>
    <col min="13553" max="13553" width="14.5703125" style="4" customWidth="1"/>
    <col min="13554" max="13554" width="20.7109375" style="4" customWidth="1"/>
    <col min="13555" max="13555" width="8.85546875" style="4"/>
    <col min="13556" max="13567" width="8.42578125" style="4" customWidth="1"/>
    <col min="13568" max="13808" width="8.85546875" style="4"/>
    <col min="13809" max="13809" width="14.5703125" style="4" customWidth="1"/>
    <col min="13810" max="13810" width="20.7109375" style="4" customWidth="1"/>
    <col min="13811" max="13811" width="8.85546875" style="4"/>
    <col min="13812" max="13823" width="8.42578125" style="4" customWidth="1"/>
    <col min="13824" max="14064" width="8.85546875" style="4"/>
    <col min="14065" max="14065" width="14.5703125" style="4" customWidth="1"/>
    <col min="14066" max="14066" width="20.7109375" style="4" customWidth="1"/>
    <col min="14067" max="14067" width="8.85546875" style="4"/>
    <col min="14068" max="14079" width="8.42578125" style="4" customWidth="1"/>
    <col min="14080" max="14320" width="8.85546875" style="4"/>
    <col min="14321" max="14321" width="14.5703125" style="4" customWidth="1"/>
    <col min="14322" max="14322" width="20.7109375" style="4" customWidth="1"/>
    <col min="14323" max="14323" width="8.85546875" style="4"/>
    <col min="14324" max="14335" width="8.42578125" style="4" customWidth="1"/>
    <col min="14336" max="14576" width="8.85546875" style="4"/>
    <col min="14577" max="14577" width="14.5703125" style="4" customWidth="1"/>
    <col min="14578" max="14578" width="20.7109375" style="4" customWidth="1"/>
    <col min="14579" max="14579" width="8.85546875" style="4"/>
    <col min="14580" max="14591" width="8.42578125" style="4" customWidth="1"/>
    <col min="14592" max="14832" width="8.85546875" style="4"/>
    <col min="14833" max="14833" width="14.5703125" style="4" customWidth="1"/>
    <col min="14834" max="14834" width="20.7109375" style="4" customWidth="1"/>
    <col min="14835" max="14835" width="8.85546875" style="4"/>
    <col min="14836" max="14847" width="8.42578125" style="4" customWidth="1"/>
    <col min="14848" max="15088" width="8.85546875" style="4"/>
    <col min="15089" max="15089" width="14.5703125" style="4" customWidth="1"/>
    <col min="15090" max="15090" width="20.7109375" style="4" customWidth="1"/>
    <col min="15091" max="15091" width="8.85546875" style="4"/>
    <col min="15092" max="15103" width="8.42578125" style="4" customWidth="1"/>
    <col min="15104" max="15344" width="8.85546875" style="4"/>
    <col min="15345" max="15345" width="14.5703125" style="4" customWidth="1"/>
    <col min="15346" max="15346" width="20.7109375" style="4" customWidth="1"/>
    <col min="15347" max="15347" width="8.85546875" style="4"/>
    <col min="15348" max="15359" width="8.42578125" style="4" customWidth="1"/>
    <col min="15360" max="15600" width="8.85546875" style="4"/>
    <col min="15601" max="15601" width="14.5703125" style="4" customWidth="1"/>
    <col min="15602" max="15602" width="20.7109375" style="4" customWidth="1"/>
    <col min="15603" max="15603" width="8.85546875" style="4"/>
    <col min="15604" max="15615" width="8.42578125" style="4" customWidth="1"/>
    <col min="15616" max="15856" width="8.85546875" style="4"/>
    <col min="15857" max="15857" width="14.5703125" style="4" customWidth="1"/>
    <col min="15858" max="15858" width="20.7109375" style="4" customWidth="1"/>
    <col min="15859" max="15859" width="8.85546875" style="4"/>
    <col min="15860" max="15871" width="8.42578125" style="4" customWidth="1"/>
    <col min="15872" max="16112" width="8.85546875" style="4"/>
    <col min="16113" max="16113" width="14.5703125" style="4" customWidth="1"/>
    <col min="16114" max="16114" width="20.7109375" style="4" customWidth="1"/>
    <col min="16115" max="16115" width="8.85546875" style="4"/>
    <col min="16116" max="16127" width="8.42578125" style="4" customWidth="1"/>
    <col min="16128" max="16384" width="8.85546875" style="4"/>
  </cols>
  <sheetData>
    <row r="1" spans="1:13" s="2" customFormat="1" ht="21.6" customHeight="1" thickBot="1" x14ac:dyDescent="0.25">
      <c r="A1" s="1274" t="s">
        <v>24</v>
      </c>
      <c r="B1" s="1274"/>
      <c r="C1" s="1274"/>
      <c r="D1" s="1274"/>
      <c r="E1" s="1274"/>
      <c r="F1" s="1"/>
      <c r="G1" s="1"/>
      <c r="H1" s="1"/>
      <c r="I1" s="1"/>
      <c r="J1" s="1"/>
      <c r="K1" s="1"/>
      <c r="L1" s="1"/>
      <c r="M1" s="1"/>
    </row>
    <row r="2" spans="1:13" s="2" customFormat="1" ht="15" customHeight="1" thickBot="1" x14ac:dyDescent="0.25">
      <c r="A2" s="1281" t="s">
        <v>25</v>
      </c>
      <c r="B2" s="1282"/>
      <c r="C2" s="1283"/>
      <c r="D2" s="1281" t="s">
        <v>26</v>
      </c>
      <c r="E2" s="1283"/>
      <c r="F2" s="1"/>
      <c r="G2" s="1"/>
      <c r="H2" s="1"/>
      <c r="I2" s="1"/>
      <c r="J2" s="1"/>
      <c r="K2" s="1"/>
      <c r="L2" s="1"/>
      <c r="M2" s="1"/>
    </row>
    <row r="3" spans="1:13" s="3" customFormat="1" ht="16.899999999999999" customHeight="1" x14ac:dyDescent="0.2">
      <c r="A3" s="33" t="s">
        <v>27</v>
      </c>
      <c r="B3" s="5" t="s">
        <v>28</v>
      </c>
      <c r="C3" s="38" t="s">
        <v>29</v>
      </c>
      <c r="D3" s="33" t="s">
        <v>27</v>
      </c>
      <c r="E3" s="38" t="s">
        <v>28</v>
      </c>
      <c r="F3" s="1"/>
      <c r="G3" s="1"/>
      <c r="H3" s="1"/>
      <c r="I3" s="1"/>
      <c r="J3" s="1"/>
      <c r="K3" s="1"/>
      <c r="L3" s="1"/>
      <c r="M3" s="1"/>
    </row>
    <row r="4" spans="1:13" s="47" customFormat="1" ht="13.9" customHeight="1" x14ac:dyDescent="0.2">
      <c r="A4" s="34">
        <v>6.3</v>
      </c>
      <c r="B4" s="193">
        <v>0.245</v>
      </c>
      <c r="C4" s="35" t="s">
        <v>30</v>
      </c>
      <c r="D4" s="34">
        <v>3.4</v>
      </c>
      <c r="E4" s="194">
        <v>7.9000000000000001E-2</v>
      </c>
      <c r="F4" s="46"/>
      <c r="G4" s="46"/>
      <c r="H4" s="46"/>
      <c r="I4" s="46"/>
      <c r="J4" s="46"/>
      <c r="K4" s="46"/>
      <c r="L4" s="46"/>
      <c r="M4" s="46"/>
    </row>
    <row r="5" spans="1:13" s="47" customFormat="1" ht="13.9" customHeight="1" x14ac:dyDescent="0.2">
      <c r="A5" s="34">
        <v>8</v>
      </c>
      <c r="B5" s="193">
        <v>0.39500000000000002</v>
      </c>
      <c r="C5" s="35" t="s">
        <v>31</v>
      </c>
      <c r="D5" s="34">
        <v>4.2</v>
      </c>
      <c r="E5" s="194">
        <v>0.109</v>
      </c>
      <c r="F5" s="46"/>
      <c r="G5" s="46"/>
      <c r="H5" s="46"/>
      <c r="I5" s="46"/>
      <c r="J5" s="46"/>
      <c r="K5" s="46"/>
      <c r="L5" s="46"/>
      <c r="M5" s="46"/>
    </row>
    <row r="6" spans="1:13" s="47" customFormat="1" ht="13.9" customHeight="1" x14ac:dyDescent="0.2">
      <c r="A6" s="34">
        <v>10</v>
      </c>
      <c r="B6" s="193">
        <v>0.61699999999999999</v>
      </c>
      <c r="C6" s="35" t="s">
        <v>32</v>
      </c>
      <c r="D6" s="34">
        <v>5</v>
      </c>
      <c r="E6" s="194">
        <v>0.154</v>
      </c>
      <c r="F6" s="46"/>
      <c r="G6" s="46"/>
      <c r="H6" s="46"/>
      <c r="I6" s="46"/>
      <c r="J6" s="46"/>
      <c r="K6" s="46"/>
      <c r="L6" s="46"/>
      <c r="M6" s="46"/>
    </row>
    <row r="7" spans="1:13" s="3" customFormat="1" ht="13.9" customHeight="1" x14ac:dyDescent="0.2">
      <c r="A7" s="34">
        <v>12.5</v>
      </c>
      <c r="B7" s="193">
        <v>0.96299999999999997</v>
      </c>
      <c r="C7" s="35" t="s">
        <v>33</v>
      </c>
      <c r="D7" s="34">
        <v>6</v>
      </c>
      <c r="E7" s="194">
        <v>0.222</v>
      </c>
      <c r="F7" s="1"/>
      <c r="G7" s="1"/>
      <c r="H7" s="1"/>
      <c r="I7" s="1"/>
      <c r="J7" s="1"/>
      <c r="K7" s="1"/>
      <c r="L7" s="1"/>
      <c r="M7" s="1"/>
    </row>
    <row r="8" spans="1:13" s="47" customFormat="1" ht="13.9" customHeight="1" x14ac:dyDescent="0.2">
      <c r="A8" s="34">
        <v>16</v>
      </c>
      <c r="B8" s="193">
        <v>1.5780000000000001</v>
      </c>
      <c r="C8" s="35" t="s">
        <v>34</v>
      </c>
      <c r="D8" s="34">
        <v>7</v>
      </c>
      <c r="E8" s="194">
        <v>0.30199999999999999</v>
      </c>
      <c r="F8" s="46"/>
      <c r="G8" s="46"/>
      <c r="H8" s="46"/>
      <c r="I8" s="46"/>
      <c r="J8" s="46"/>
      <c r="K8" s="46"/>
      <c r="L8" s="46"/>
      <c r="M8" s="46"/>
    </row>
    <row r="9" spans="1:13" s="3" customFormat="1" ht="13.9" customHeight="1" x14ac:dyDescent="0.2">
      <c r="A9" s="34">
        <v>20</v>
      </c>
      <c r="B9" s="193">
        <v>2.4660000000000002</v>
      </c>
      <c r="C9" s="35" t="s">
        <v>35</v>
      </c>
      <c r="D9" s="34">
        <v>8</v>
      </c>
      <c r="E9" s="194">
        <v>0.39500000000000002</v>
      </c>
      <c r="F9" s="1"/>
      <c r="G9" s="1"/>
      <c r="H9" s="1"/>
      <c r="I9" s="1"/>
      <c r="J9" s="1"/>
      <c r="K9" s="1"/>
      <c r="L9" s="1"/>
      <c r="M9" s="1"/>
    </row>
    <row r="10" spans="1:13" s="47" customFormat="1" ht="13.9" customHeight="1" x14ac:dyDescent="0.2">
      <c r="A10" s="34">
        <v>25</v>
      </c>
      <c r="B10" s="193">
        <v>3.8530000000000002</v>
      </c>
      <c r="C10" s="35" t="s">
        <v>36</v>
      </c>
      <c r="D10" s="34">
        <v>9.5</v>
      </c>
      <c r="E10" s="194">
        <v>0.55800000000000005</v>
      </c>
      <c r="F10" s="46"/>
      <c r="G10" s="46"/>
      <c r="H10" s="46"/>
      <c r="I10" s="46"/>
      <c r="J10" s="46"/>
      <c r="K10" s="46"/>
      <c r="L10" s="46"/>
      <c r="M10" s="46"/>
    </row>
    <row r="11" spans="1:13" s="3" customFormat="1" ht="13.9" customHeight="1" x14ac:dyDescent="0.2">
      <c r="A11" s="34">
        <v>32</v>
      </c>
      <c r="B11" s="193">
        <v>6.3129999999999997</v>
      </c>
      <c r="C11" s="35" t="s">
        <v>37</v>
      </c>
      <c r="D11" s="34">
        <v>0</v>
      </c>
      <c r="E11" s="194"/>
      <c r="F11" s="1"/>
      <c r="G11" s="1"/>
      <c r="H11" s="1"/>
      <c r="I11" s="1"/>
      <c r="J11" s="1"/>
      <c r="K11" s="1"/>
      <c r="L11" s="1"/>
      <c r="M11" s="1"/>
    </row>
    <row r="12" spans="1:13" s="47" customFormat="1" ht="13.9" customHeight="1" thickBot="1" x14ac:dyDescent="0.25">
      <c r="A12" s="36">
        <v>40</v>
      </c>
      <c r="B12" s="195">
        <v>9.8650000000000002</v>
      </c>
      <c r="C12" s="37" t="s">
        <v>38</v>
      </c>
      <c r="D12" s="36">
        <v>0</v>
      </c>
      <c r="E12" s="196"/>
      <c r="F12" s="46"/>
      <c r="G12" s="46"/>
      <c r="H12" s="46"/>
      <c r="I12" s="46"/>
      <c r="J12" s="46"/>
      <c r="K12" s="46"/>
      <c r="L12" s="46"/>
      <c r="M12" s="46"/>
    </row>
    <row r="13" spans="1:13" s="52" customFormat="1" ht="13.9" customHeight="1" x14ac:dyDescent="0.2">
      <c r="A13" s="198"/>
      <c r="B13" s="198"/>
      <c r="C13" s="199"/>
      <c r="D13" s="198"/>
      <c r="E13" s="198"/>
      <c r="F13" s="1"/>
      <c r="G13" s="1"/>
      <c r="H13" s="1"/>
      <c r="I13" s="1"/>
      <c r="J13" s="1"/>
      <c r="K13" s="1"/>
      <c r="L13" s="1"/>
      <c r="M13" s="1"/>
    </row>
    <row r="14" spans="1:13" s="52" customFormat="1" ht="13.9" customHeight="1" x14ac:dyDescent="0.2">
      <c r="A14" s="198"/>
      <c r="B14" s="199"/>
      <c r="C14" s="198"/>
      <c r="D14" s="198"/>
      <c r="E14" s="198"/>
      <c r="F14" s="1"/>
      <c r="G14" s="1"/>
      <c r="H14" s="1"/>
      <c r="I14" s="1"/>
      <c r="J14" s="1"/>
      <c r="K14" s="1"/>
      <c r="L14" s="1"/>
      <c r="M14" s="1"/>
    </row>
    <row r="15" spans="1:13" s="143" customFormat="1" ht="13.9" customHeight="1" x14ac:dyDescent="0.2">
      <c r="A15" s="273"/>
      <c r="B15" s="273"/>
      <c r="C15" s="273"/>
      <c r="D15" s="273"/>
      <c r="E15" s="273"/>
      <c r="F15" s="166"/>
      <c r="G15" s="166"/>
      <c r="H15" s="166"/>
      <c r="I15" s="166"/>
      <c r="J15" s="166"/>
      <c r="K15" s="166"/>
      <c r="L15" s="166"/>
      <c r="M15" s="166"/>
    </row>
    <row r="16" spans="1:13" s="143" customFormat="1" ht="13.9" customHeight="1" x14ac:dyDescent="0.2">
      <c r="A16" s="273"/>
      <c r="B16" s="273"/>
      <c r="C16" s="273"/>
      <c r="D16" s="273"/>
      <c r="E16" s="273"/>
      <c r="F16" s="166"/>
      <c r="G16" s="166"/>
      <c r="H16" s="166"/>
      <c r="I16" s="166"/>
      <c r="J16" s="166"/>
      <c r="K16" s="166"/>
      <c r="L16" s="166"/>
      <c r="M16" s="166"/>
    </row>
    <row r="17" spans="1:13" s="143" customFormat="1" ht="13.9" customHeight="1" x14ac:dyDescent="0.2">
      <c r="A17" s="275"/>
      <c r="B17" s="275"/>
      <c r="C17" s="275"/>
      <c r="D17" s="275"/>
      <c r="E17" s="275"/>
      <c r="F17" s="166"/>
      <c r="G17" s="166"/>
      <c r="H17" s="166"/>
      <c r="I17" s="166"/>
      <c r="J17" s="166"/>
      <c r="K17" s="166"/>
      <c r="L17" s="166"/>
      <c r="M17" s="166"/>
    </row>
    <row r="18" spans="1:13" s="143" customFormat="1" ht="13.9" customHeight="1" x14ac:dyDescent="0.2">
      <c r="A18" s="275"/>
      <c r="B18" s="275"/>
      <c r="C18" s="275"/>
      <c r="D18" s="275"/>
      <c r="E18" s="275"/>
      <c r="F18" s="166"/>
      <c r="G18" s="166"/>
      <c r="H18" s="166"/>
      <c r="I18" s="166"/>
      <c r="J18" s="166"/>
      <c r="K18" s="166"/>
      <c r="L18" s="166"/>
      <c r="M18" s="166"/>
    </row>
    <row r="19" spans="1:13" s="143" customFormat="1" ht="13.9" customHeight="1" x14ac:dyDescent="0.2">
      <c r="A19" s="275"/>
      <c r="B19" s="275"/>
      <c r="C19" s="275"/>
      <c r="D19" s="275"/>
      <c r="E19" s="275"/>
      <c r="F19" s="166"/>
      <c r="G19" s="166"/>
      <c r="H19" s="166"/>
      <c r="I19" s="166"/>
      <c r="J19" s="166"/>
      <c r="K19" s="166"/>
      <c r="L19" s="166"/>
      <c r="M19" s="166"/>
    </row>
    <row r="20" spans="1:13" ht="13.9" customHeight="1" x14ac:dyDescent="0.2"/>
    <row r="21" spans="1:13" s="143" customFormat="1" ht="13.9" customHeight="1" x14ac:dyDescent="0.2">
      <c r="A21" s="275"/>
      <c r="B21" s="275"/>
      <c r="C21" s="275"/>
      <c r="D21" s="275"/>
      <c r="E21" s="275"/>
      <c r="F21" s="166"/>
      <c r="G21" s="166"/>
      <c r="H21" s="166"/>
      <c r="I21" s="166"/>
      <c r="J21" s="166"/>
      <c r="K21" s="166"/>
      <c r="L21" s="166"/>
      <c r="M21" s="166"/>
    </row>
    <row r="22" spans="1:13" ht="13.9" customHeight="1" x14ac:dyDescent="0.2"/>
    <row r="23" spans="1:13" ht="12.95" customHeight="1" x14ac:dyDescent="0.2"/>
    <row r="24" spans="1:13" ht="12.95" customHeight="1" x14ac:dyDescent="0.2"/>
    <row r="25" spans="1:13" ht="12.95" customHeight="1" x14ac:dyDescent="0.2"/>
    <row r="26" spans="1:13" ht="12.95" customHeight="1" x14ac:dyDescent="0.2"/>
    <row r="27" spans="1:13" ht="12.95" customHeight="1" x14ac:dyDescent="0.2"/>
    <row r="28" spans="1:13" ht="12.95" customHeight="1" x14ac:dyDescent="0.2"/>
  </sheetData>
  <mergeCells count="3">
    <mergeCell ref="A1:E1"/>
    <mergeCell ref="A2:C2"/>
    <mergeCell ref="D2:E2"/>
  </mergeCells>
  <printOptions horizontalCentered="1"/>
  <pageMargins left="0.19685039370078741" right="0.19685039370078741" top="0.39370078740157483" bottom="0.39370078740157483" header="0.51181102362204722" footer="0.19685039370078741"/>
  <pageSetup paperSize="9" orientation="landscape" r:id="rId1"/>
  <headerFooter alignWithMargins="0">
    <oddFooter>&amp;L&amp;"Arial,Normal"&amp;F  - &amp;A&amp;R&amp;"Arial,Normal"&amp;P / 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5">
    <tabColor rgb="FFF43800"/>
    <pageSetUpPr fitToPage="1"/>
  </sheetPr>
  <dimension ref="A1:X75"/>
  <sheetViews>
    <sheetView showGridLines="0" view="pageBreakPreview" topLeftCell="E1" zoomScale="115" zoomScaleNormal="100" zoomScaleSheetLayoutView="115" workbookViewId="0">
      <pane ySplit="7" topLeftCell="A53" activePane="bottomLeft" state="frozen"/>
      <selection activeCell="B18" sqref="B18:E18"/>
      <selection pane="bottomLeft" activeCell="K69" sqref="K69"/>
    </sheetView>
  </sheetViews>
  <sheetFormatPr defaultRowHeight="11.25" x14ac:dyDescent="0.2"/>
  <cols>
    <col min="1" max="1" width="28.85546875" style="4" customWidth="1"/>
    <col min="2" max="2" width="9.85546875" style="4" bestFit="1" customWidth="1"/>
    <col min="3" max="3" width="8.28515625" style="4" customWidth="1"/>
    <col min="4" max="4" width="8.42578125" style="4" customWidth="1"/>
    <col min="5" max="6" width="7.42578125" style="4" customWidth="1"/>
    <col min="7" max="7" width="6.7109375" style="4" customWidth="1"/>
    <col min="8" max="8" width="9" style="4" customWidth="1"/>
    <col min="9" max="10" width="6.85546875" style="4" customWidth="1"/>
    <col min="11" max="11" width="8.85546875" style="4" customWidth="1"/>
    <col min="12" max="12" width="6.85546875" style="4" customWidth="1"/>
    <col min="13" max="13" width="5.42578125" style="4" customWidth="1"/>
    <col min="14" max="14" width="8.28515625" style="4" customWidth="1"/>
    <col min="15" max="15" width="11.28515625" style="4" customWidth="1"/>
    <col min="16" max="16" width="8.28515625" style="4" customWidth="1"/>
    <col min="17" max="17" width="10.140625" style="4" customWidth="1"/>
    <col min="18" max="20" width="8.28515625" style="4" customWidth="1"/>
    <col min="21" max="21" width="4.28515625" style="4" customWidth="1"/>
    <col min="22" max="256" width="9.140625" style="4"/>
    <col min="257" max="257" width="31.42578125" style="4" customWidth="1"/>
    <col min="258" max="258" width="18.28515625" style="4" customWidth="1"/>
    <col min="259" max="264" width="6.7109375" style="4" customWidth="1"/>
    <col min="265" max="267" width="7.5703125" style="4" customWidth="1"/>
    <col min="268" max="268" width="7.85546875" style="4" customWidth="1"/>
    <col min="269" max="270" width="8.28515625" style="4" customWidth="1"/>
    <col min="271" max="271" width="5.42578125" style="4" customWidth="1"/>
    <col min="272" max="272" width="7.5703125" style="4" customWidth="1"/>
    <col min="273" max="273" width="7.85546875" style="4" customWidth="1"/>
    <col min="274" max="274" width="12.5703125" style="4" customWidth="1"/>
    <col min="275" max="276" width="9.28515625" style="4" customWidth="1"/>
    <col min="277" max="512" width="9.140625" style="4"/>
    <col min="513" max="513" width="31.42578125" style="4" customWidth="1"/>
    <col min="514" max="514" width="18.28515625" style="4" customWidth="1"/>
    <col min="515" max="520" width="6.7109375" style="4" customWidth="1"/>
    <col min="521" max="523" width="7.5703125" style="4" customWidth="1"/>
    <col min="524" max="524" width="7.85546875" style="4" customWidth="1"/>
    <col min="525" max="526" width="8.28515625" style="4" customWidth="1"/>
    <col min="527" max="527" width="5.42578125" style="4" customWidth="1"/>
    <col min="528" max="528" width="7.5703125" style="4" customWidth="1"/>
    <col min="529" max="529" width="7.85546875" style="4" customWidth="1"/>
    <col min="530" max="530" width="12.5703125" style="4" customWidth="1"/>
    <col min="531" max="532" width="9.28515625" style="4" customWidth="1"/>
    <col min="533" max="768" width="9.140625" style="4"/>
    <col min="769" max="769" width="31.42578125" style="4" customWidth="1"/>
    <col min="770" max="770" width="18.28515625" style="4" customWidth="1"/>
    <col min="771" max="776" width="6.7109375" style="4" customWidth="1"/>
    <col min="777" max="779" width="7.5703125" style="4" customWidth="1"/>
    <col min="780" max="780" width="7.85546875" style="4" customWidth="1"/>
    <col min="781" max="782" width="8.28515625" style="4" customWidth="1"/>
    <col min="783" max="783" width="5.42578125" style="4" customWidth="1"/>
    <col min="784" max="784" width="7.5703125" style="4" customWidth="1"/>
    <col min="785" max="785" width="7.85546875" style="4" customWidth="1"/>
    <col min="786" max="786" width="12.5703125" style="4" customWidth="1"/>
    <col min="787" max="788" width="9.28515625" style="4" customWidth="1"/>
    <col min="789" max="1024" width="9.140625" style="4"/>
    <col min="1025" max="1025" width="31.42578125" style="4" customWidth="1"/>
    <col min="1026" max="1026" width="18.28515625" style="4" customWidth="1"/>
    <col min="1027" max="1032" width="6.7109375" style="4" customWidth="1"/>
    <col min="1033" max="1035" width="7.5703125" style="4" customWidth="1"/>
    <col min="1036" max="1036" width="7.85546875" style="4" customWidth="1"/>
    <col min="1037" max="1038" width="8.28515625" style="4" customWidth="1"/>
    <col min="1039" max="1039" width="5.42578125" style="4" customWidth="1"/>
    <col min="1040" max="1040" width="7.5703125" style="4" customWidth="1"/>
    <col min="1041" max="1041" width="7.85546875" style="4" customWidth="1"/>
    <col min="1042" max="1042" width="12.5703125" style="4" customWidth="1"/>
    <col min="1043" max="1044" width="9.28515625" style="4" customWidth="1"/>
    <col min="1045" max="1280" width="9.140625" style="4"/>
    <col min="1281" max="1281" width="31.42578125" style="4" customWidth="1"/>
    <col min="1282" max="1282" width="18.28515625" style="4" customWidth="1"/>
    <col min="1283" max="1288" width="6.7109375" style="4" customWidth="1"/>
    <col min="1289" max="1291" width="7.5703125" style="4" customWidth="1"/>
    <col min="1292" max="1292" width="7.85546875" style="4" customWidth="1"/>
    <col min="1293" max="1294" width="8.28515625" style="4" customWidth="1"/>
    <col min="1295" max="1295" width="5.42578125" style="4" customWidth="1"/>
    <col min="1296" max="1296" width="7.5703125" style="4" customWidth="1"/>
    <col min="1297" max="1297" width="7.85546875" style="4" customWidth="1"/>
    <col min="1298" max="1298" width="12.5703125" style="4" customWidth="1"/>
    <col min="1299" max="1300" width="9.28515625" style="4" customWidth="1"/>
    <col min="1301" max="1536" width="9.140625" style="4"/>
    <col min="1537" max="1537" width="31.42578125" style="4" customWidth="1"/>
    <col min="1538" max="1538" width="18.28515625" style="4" customWidth="1"/>
    <col min="1539" max="1544" width="6.7109375" style="4" customWidth="1"/>
    <col min="1545" max="1547" width="7.5703125" style="4" customWidth="1"/>
    <col min="1548" max="1548" width="7.85546875" style="4" customWidth="1"/>
    <col min="1549" max="1550" width="8.28515625" style="4" customWidth="1"/>
    <col min="1551" max="1551" width="5.42578125" style="4" customWidth="1"/>
    <col min="1552" max="1552" width="7.5703125" style="4" customWidth="1"/>
    <col min="1553" max="1553" width="7.85546875" style="4" customWidth="1"/>
    <col min="1554" max="1554" width="12.5703125" style="4" customWidth="1"/>
    <col min="1555" max="1556" width="9.28515625" style="4" customWidth="1"/>
    <col min="1557" max="1792" width="9.140625" style="4"/>
    <col min="1793" max="1793" width="31.42578125" style="4" customWidth="1"/>
    <col min="1794" max="1794" width="18.28515625" style="4" customWidth="1"/>
    <col min="1795" max="1800" width="6.7109375" style="4" customWidth="1"/>
    <col min="1801" max="1803" width="7.5703125" style="4" customWidth="1"/>
    <col min="1804" max="1804" width="7.85546875" style="4" customWidth="1"/>
    <col min="1805" max="1806" width="8.28515625" style="4" customWidth="1"/>
    <col min="1807" max="1807" width="5.42578125" style="4" customWidth="1"/>
    <col min="1808" max="1808" width="7.5703125" style="4" customWidth="1"/>
    <col min="1809" max="1809" width="7.85546875" style="4" customWidth="1"/>
    <col min="1810" max="1810" width="12.5703125" style="4" customWidth="1"/>
    <col min="1811" max="1812" width="9.28515625" style="4" customWidth="1"/>
    <col min="1813" max="2048" width="9.140625" style="4"/>
    <col min="2049" max="2049" width="31.42578125" style="4" customWidth="1"/>
    <col min="2050" max="2050" width="18.28515625" style="4" customWidth="1"/>
    <col min="2051" max="2056" width="6.7109375" style="4" customWidth="1"/>
    <col min="2057" max="2059" width="7.5703125" style="4" customWidth="1"/>
    <col min="2060" max="2060" width="7.85546875" style="4" customWidth="1"/>
    <col min="2061" max="2062" width="8.28515625" style="4" customWidth="1"/>
    <col min="2063" max="2063" width="5.42578125" style="4" customWidth="1"/>
    <col min="2064" max="2064" width="7.5703125" style="4" customWidth="1"/>
    <col min="2065" max="2065" width="7.85546875" style="4" customWidth="1"/>
    <col min="2066" max="2066" width="12.5703125" style="4" customWidth="1"/>
    <col min="2067" max="2068" width="9.28515625" style="4" customWidth="1"/>
    <col min="2069" max="2304" width="9.140625" style="4"/>
    <col min="2305" max="2305" width="31.42578125" style="4" customWidth="1"/>
    <col min="2306" max="2306" width="18.28515625" style="4" customWidth="1"/>
    <col min="2307" max="2312" width="6.7109375" style="4" customWidth="1"/>
    <col min="2313" max="2315" width="7.5703125" style="4" customWidth="1"/>
    <col min="2316" max="2316" width="7.85546875" style="4" customWidth="1"/>
    <col min="2317" max="2318" width="8.28515625" style="4" customWidth="1"/>
    <col min="2319" max="2319" width="5.42578125" style="4" customWidth="1"/>
    <col min="2320" max="2320" width="7.5703125" style="4" customWidth="1"/>
    <col min="2321" max="2321" width="7.85546875" style="4" customWidth="1"/>
    <col min="2322" max="2322" width="12.5703125" style="4" customWidth="1"/>
    <col min="2323" max="2324" width="9.28515625" style="4" customWidth="1"/>
    <col min="2325" max="2560" width="9.140625" style="4"/>
    <col min="2561" max="2561" width="31.42578125" style="4" customWidth="1"/>
    <col min="2562" max="2562" width="18.28515625" style="4" customWidth="1"/>
    <col min="2563" max="2568" width="6.7109375" style="4" customWidth="1"/>
    <col min="2569" max="2571" width="7.5703125" style="4" customWidth="1"/>
    <col min="2572" max="2572" width="7.85546875" style="4" customWidth="1"/>
    <col min="2573" max="2574" width="8.28515625" style="4" customWidth="1"/>
    <col min="2575" max="2575" width="5.42578125" style="4" customWidth="1"/>
    <col min="2576" max="2576" width="7.5703125" style="4" customWidth="1"/>
    <col min="2577" max="2577" width="7.85546875" style="4" customWidth="1"/>
    <col min="2578" max="2578" width="12.5703125" style="4" customWidth="1"/>
    <col min="2579" max="2580" width="9.28515625" style="4" customWidth="1"/>
    <col min="2581" max="2816" width="9.140625" style="4"/>
    <col min="2817" max="2817" width="31.42578125" style="4" customWidth="1"/>
    <col min="2818" max="2818" width="18.28515625" style="4" customWidth="1"/>
    <col min="2819" max="2824" width="6.7109375" style="4" customWidth="1"/>
    <col min="2825" max="2827" width="7.5703125" style="4" customWidth="1"/>
    <col min="2828" max="2828" width="7.85546875" style="4" customWidth="1"/>
    <col min="2829" max="2830" width="8.28515625" style="4" customWidth="1"/>
    <col min="2831" max="2831" width="5.42578125" style="4" customWidth="1"/>
    <col min="2832" max="2832" width="7.5703125" style="4" customWidth="1"/>
    <col min="2833" max="2833" width="7.85546875" style="4" customWidth="1"/>
    <col min="2834" max="2834" width="12.5703125" style="4" customWidth="1"/>
    <col min="2835" max="2836" width="9.28515625" style="4" customWidth="1"/>
    <col min="2837" max="3072" width="9.140625" style="4"/>
    <col min="3073" max="3073" width="31.42578125" style="4" customWidth="1"/>
    <col min="3074" max="3074" width="18.28515625" style="4" customWidth="1"/>
    <col min="3075" max="3080" width="6.7109375" style="4" customWidth="1"/>
    <col min="3081" max="3083" width="7.5703125" style="4" customWidth="1"/>
    <col min="3084" max="3084" width="7.85546875" style="4" customWidth="1"/>
    <col min="3085" max="3086" width="8.28515625" style="4" customWidth="1"/>
    <col min="3087" max="3087" width="5.42578125" style="4" customWidth="1"/>
    <col min="3088" max="3088" width="7.5703125" style="4" customWidth="1"/>
    <col min="3089" max="3089" width="7.85546875" style="4" customWidth="1"/>
    <col min="3090" max="3090" width="12.5703125" style="4" customWidth="1"/>
    <col min="3091" max="3092" width="9.28515625" style="4" customWidth="1"/>
    <col min="3093" max="3328" width="9.140625" style="4"/>
    <col min="3329" max="3329" width="31.42578125" style="4" customWidth="1"/>
    <col min="3330" max="3330" width="18.28515625" style="4" customWidth="1"/>
    <col min="3331" max="3336" width="6.7109375" style="4" customWidth="1"/>
    <col min="3337" max="3339" width="7.5703125" style="4" customWidth="1"/>
    <col min="3340" max="3340" width="7.85546875" style="4" customWidth="1"/>
    <col min="3341" max="3342" width="8.28515625" style="4" customWidth="1"/>
    <col min="3343" max="3343" width="5.42578125" style="4" customWidth="1"/>
    <col min="3344" max="3344" width="7.5703125" style="4" customWidth="1"/>
    <col min="3345" max="3345" width="7.85546875" style="4" customWidth="1"/>
    <col min="3346" max="3346" width="12.5703125" style="4" customWidth="1"/>
    <col min="3347" max="3348" width="9.28515625" style="4" customWidth="1"/>
    <col min="3349" max="3584" width="9.140625" style="4"/>
    <col min="3585" max="3585" width="31.42578125" style="4" customWidth="1"/>
    <col min="3586" max="3586" width="18.28515625" style="4" customWidth="1"/>
    <col min="3587" max="3592" width="6.7109375" style="4" customWidth="1"/>
    <col min="3593" max="3595" width="7.5703125" style="4" customWidth="1"/>
    <col min="3596" max="3596" width="7.85546875" style="4" customWidth="1"/>
    <col min="3597" max="3598" width="8.28515625" style="4" customWidth="1"/>
    <col min="3599" max="3599" width="5.42578125" style="4" customWidth="1"/>
    <col min="3600" max="3600" width="7.5703125" style="4" customWidth="1"/>
    <col min="3601" max="3601" width="7.85546875" style="4" customWidth="1"/>
    <col min="3602" max="3602" width="12.5703125" style="4" customWidth="1"/>
    <col min="3603" max="3604" width="9.28515625" style="4" customWidth="1"/>
    <col min="3605" max="3840" width="9.140625" style="4"/>
    <col min="3841" max="3841" width="31.42578125" style="4" customWidth="1"/>
    <col min="3842" max="3842" width="18.28515625" style="4" customWidth="1"/>
    <col min="3843" max="3848" width="6.7109375" style="4" customWidth="1"/>
    <col min="3849" max="3851" width="7.5703125" style="4" customWidth="1"/>
    <col min="3852" max="3852" width="7.85546875" style="4" customWidth="1"/>
    <col min="3853" max="3854" width="8.28515625" style="4" customWidth="1"/>
    <col min="3855" max="3855" width="5.42578125" style="4" customWidth="1"/>
    <col min="3856" max="3856" width="7.5703125" style="4" customWidth="1"/>
    <col min="3857" max="3857" width="7.85546875" style="4" customWidth="1"/>
    <col min="3858" max="3858" width="12.5703125" style="4" customWidth="1"/>
    <col min="3859" max="3860" width="9.28515625" style="4" customWidth="1"/>
    <col min="3861" max="4096" width="9.140625" style="4"/>
    <col min="4097" max="4097" width="31.42578125" style="4" customWidth="1"/>
    <col min="4098" max="4098" width="18.28515625" style="4" customWidth="1"/>
    <col min="4099" max="4104" width="6.7109375" style="4" customWidth="1"/>
    <col min="4105" max="4107" width="7.5703125" style="4" customWidth="1"/>
    <col min="4108" max="4108" width="7.85546875" style="4" customWidth="1"/>
    <col min="4109" max="4110" width="8.28515625" style="4" customWidth="1"/>
    <col min="4111" max="4111" width="5.42578125" style="4" customWidth="1"/>
    <col min="4112" max="4112" width="7.5703125" style="4" customWidth="1"/>
    <col min="4113" max="4113" width="7.85546875" style="4" customWidth="1"/>
    <col min="4114" max="4114" width="12.5703125" style="4" customWidth="1"/>
    <col min="4115" max="4116" width="9.28515625" style="4" customWidth="1"/>
    <col min="4117" max="4352" width="9.140625" style="4"/>
    <col min="4353" max="4353" width="31.42578125" style="4" customWidth="1"/>
    <col min="4354" max="4354" width="18.28515625" style="4" customWidth="1"/>
    <col min="4355" max="4360" width="6.7109375" style="4" customWidth="1"/>
    <col min="4361" max="4363" width="7.5703125" style="4" customWidth="1"/>
    <col min="4364" max="4364" width="7.85546875" style="4" customWidth="1"/>
    <col min="4365" max="4366" width="8.28515625" style="4" customWidth="1"/>
    <col min="4367" max="4367" width="5.42578125" style="4" customWidth="1"/>
    <col min="4368" max="4368" width="7.5703125" style="4" customWidth="1"/>
    <col min="4369" max="4369" width="7.85546875" style="4" customWidth="1"/>
    <col min="4370" max="4370" width="12.5703125" style="4" customWidth="1"/>
    <col min="4371" max="4372" width="9.28515625" style="4" customWidth="1"/>
    <col min="4373" max="4608" width="9.140625" style="4"/>
    <col min="4609" max="4609" width="31.42578125" style="4" customWidth="1"/>
    <col min="4610" max="4610" width="18.28515625" style="4" customWidth="1"/>
    <col min="4611" max="4616" width="6.7109375" style="4" customWidth="1"/>
    <col min="4617" max="4619" width="7.5703125" style="4" customWidth="1"/>
    <col min="4620" max="4620" width="7.85546875" style="4" customWidth="1"/>
    <col min="4621" max="4622" width="8.28515625" style="4" customWidth="1"/>
    <col min="4623" max="4623" width="5.42578125" style="4" customWidth="1"/>
    <col min="4624" max="4624" width="7.5703125" style="4" customWidth="1"/>
    <col min="4625" max="4625" width="7.85546875" style="4" customWidth="1"/>
    <col min="4626" max="4626" width="12.5703125" style="4" customWidth="1"/>
    <col min="4627" max="4628" width="9.28515625" style="4" customWidth="1"/>
    <col min="4629" max="4864" width="9.140625" style="4"/>
    <col min="4865" max="4865" width="31.42578125" style="4" customWidth="1"/>
    <col min="4866" max="4866" width="18.28515625" style="4" customWidth="1"/>
    <col min="4867" max="4872" width="6.7109375" style="4" customWidth="1"/>
    <col min="4873" max="4875" width="7.5703125" style="4" customWidth="1"/>
    <col min="4876" max="4876" width="7.85546875" style="4" customWidth="1"/>
    <col min="4877" max="4878" width="8.28515625" style="4" customWidth="1"/>
    <col min="4879" max="4879" width="5.42578125" style="4" customWidth="1"/>
    <col min="4880" max="4880" width="7.5703125" style="4" customWidth="1"/>
    <col min="4881" max="4881" width="7.85546875" style="4" customWidth="1"/>
    <col min="4882" max="4882" width="12.5703125" style="4" customWidth="1"/>
    <col min="4883" max="4884" width="9.28515625" style="4" customWidth="1"/>
    <col min="4885" max="5120" width="9.140625" style="4"/>
    <col min="5121" max="5121" width="31.42578125" style="4" customWidth="1"/>
    <col min="5122" max="5122" width="18.28515625" style="4" customWidth="1"/>
    <col min="5123" max="5128" width="6.7109375" style="4" customWidth="1"/>
    <col min="5129" max="5131" width="7.5703125" style="4" customWidth="1"/>
    <col min="5132" max="5132" width="7.85546875" style="4" customWidth="1"/>
    <col min="5133" max="5134" width="8.28515625" style="4" customWidth="1"/>
    <col min="5135" max="5135" width="5.42578125" style="4" customWidth="1"/>
    <col min="5136" max="5136" width="7.5703125" style="4" customWidth="1"/>
    <col min="5137" max="5137" width="7.85546875" style="4" customWidth="1"/>
    <col min="5138" max="5138" width="12.5703125" style="4" customWidth="1"/>
    <col min="5139" max="5140" width="9.28515625" style="4" customWidth="1"/>
    <col min="5141" max="5376" width="9.140625" style="4"/>
    <col min="5377" max="5377" width="31.42578125" style="4" customWidth="1"/>
    <col min="5378" max="5378" width="18.28515625" style="4" customWidth="1"/>
    <col min="5379" max="5384" width="6.7109375" style="4" customWidth="1"/>
    <col min="5385" max="5387" width="7.5703125" style="4" customWidth="1"/>
    <col min="5388" max="5388" width="7.85546875" style="4" customWidth="1"/>
    <col min="5389" max="5390" width="8.28515625" style="4" customWidth="1"/>
    <col min="5391" max="5391" width="5.42578125" style="4" customWidth="1"/>
    <col min="5392" max="5392" width="7.5703125" style="4" customWidth="1"/>
    <col min="5393" max="5393" width="7.85546875" style="4" customWidth="1"/>
    <col min="5394" max="5394" width="12.5703125" style="4" customWidth="1"/>
    <col min="5395" max="5396" width="9.28515625" style="4" customWidth="1"/>
    <col min="5397" max="5632" width="9.140625" style="4"/>
    <col min="5633" max="5633" width="31.42578125" style="4" customWidth="1"/>
    <col min="5634" max="5634" width="18.28515625" style="4" customWidth="1"/>
    <col min="5635" max="5640" width="6.7109375" style="4" customWidth="1"/>
    <col min="5641" max="5643" width="7.5703125" style="4" customWidth="1"/>
    <col min="5644" max="5644" width="7.85546875" style="4" customWidth="1"/>
    <col min="5645" max="5646" width="8.28515625" style="4" customWidth="1"/>
    <col min="5647" max="5647" width="5.42578125" style="4" customWidth="1"/>
    <col min="5648" max="5648" width="7.5703125" style="4" customWidth="1"/>
    <col min="5649" max="5649" width="7.85546875" style="4" customWidth="1"/>
    <col min="5650" max="5650" width="12.5703125" style="4" customWidth="1"/>
    <col min="5651" max="5652" width="9.28515625" style="4" customWidth="1"/>
    <col min="5653" max="5888" width="9.140625" style="4"/>
    <col min="5889" max="5889" width="31.42578125" style="4" customWidth="1"/>
    <col min="5890" max="5890" width="18.28515625" style="4" customWidth="1"/>
    <col min="5891" max="5896" width="6.7109375" style="4" customWidth="1"/>
    <col min="5897" max="5899" width="7.5703125" style="4" customWidth="1"/>
    <col min="5900" max="5900" width="7.85546875" style="4" customWidth="1"/>
    <col min="5901" max="5902" width="8.28515625" style="4" customWidth="1"/>
    <col min="5903" max="5903" width="5.42578125" style="4" customWidth="1"/>
    <col min="5904" max="5904" width="7.5703125" style="4" customWidth="1"/>
    <col min="5905" max="5905" width="7.85546875" style="4" customWidth="1"/>
    <col min="5906" max="5906" width="12.5703125" style="4" customWidth="1"/>
    <col min="5907" max="5908" width="9.28515625" style="4" customWidth="1"/>
    <col min="5909" max="6144" width="9.140625" style="4"/>
    <col min="6145" max="6145" width="31.42578125" style="4" customWidth="1"/>
    <col min="6146" max="6146" width="18.28515625" style="4" customWidth="1"/>
    <col min="6147" max="6152" width="6.7109375" style="4" customWidth="1"/>
    <col min="6153" max="6155" width="7.5703125" style="4" customWidth="1"/>
    <col min="6156" max="6156" width="7.85546875" style="4" customWidth="1"/>
    <col min="6157" max="6158" width="8.28515625" style="4" customWidth="1"/>
    <col min="6159" max="6159" width="5.42578125" style="4" customWidth="1"/>
    <col min="6160" max="6160" width="7.5703125" style="4" customWidth="1"/>
    <col min="6161" max="6161" width="7.85546875" style="4" customWidth="1"/>
    <col min="6162" max="6162" width="12.5703125" style="4" customWidth="1"/>
    <col min="6163" max="6164" width="9.28515625" style="4" customWidth="1"/>
    <col min="6165" max="6400" width="9.140625" style="4"/>
    <col min="6401" max="6401" width="31.42578125" style="4" customWidth="1"/>
    <col min="6402" max="6402" width="18.28515625" style="4" customWidth="1"/>
    <col min="6403" max="6408" width="6.7109375" style="4" customWidth="1"/>
    <col min="6409" max="6411" width="7.5703125" style="4" customWidth="1"/>
    <col min="6412" max="6412" width="7.85546875" style="4" customWidth="1"/>
    <col min="6413" max="6414" width="8.28515625" style="4" customWidth="1"/>
    <col min="6415" max="6415" width="5.42578125" style="4" customWidth="1"/>
    <col min="6416" max="6416" width="7.5703125" style="4" customWidth="1"/>
    <col min="6417" max="6417" width="7.85546875" style="4" customWidth="1"/>
    <col min="6418" max="6418" width="12.5703125" style="4" customWidth="1"/>
    <col min="6419" max="6420" width="9.28515625" style="4" customWidth="1"/>
    <col min="6421" max="6656" width="9.140625" style="4"/>
    <col min="6657" max="6657" width="31.42578125" style="4" customWidth="1"/>
    <col min="6658" max="6658" width="18.28515625" style="4" customWidth="1"/>
    <col min="6659" max="6664" width="6.7109375" style="4" customWidth="1"/>
    <col min="6665" max="6667" width="7.5703125" style="4" customWidth="1"/>
    <col min="6668" max="6668" width="7.85546875" style="4" customWidth="1"/>
    <col min="6669" max="6670" width="8.28515625" style="4" customWidth="1"/>
    <col min="6671" max="6671" width="5.42578125" style="4" customWidth="1"/>
    <col min="6672" max="6672" width="7.5703125" style="4" customWidth="1"/>
    <col min="6673" max="6673" width="7.85546875" style="4" customWidth="1"/>
    <col min="6674" max="6674" width="12.5703125" style="4" customWidth="1"/>
    <col min="6675" max="6676" width="9.28515625" style="4" customWidth="1"/>
    <col min="6677" max="6912" width="9.140625" style="4"/>
    <col min="6913" max="6913" width="31.42578125" style="4" customWidth="1"/>
    <col min="6914" max="6914" width="18.28515625" style="4" customWidth="1"/>
    <col min="6915" max="6920" width="6.7109375" style="4" customWidth="1"/>
    <col min="6921" max="6923" width="7.5703125" style="4" customWidth="1"/>
    <col min="6924" max="6924" width="7.85546875" style="4" customWidth="1"/>
    <col min="6925" max="6926" width="8.28515625" style="4" customWidth="1"/>
    <col min="6927" max="6927" width="5.42578125" style="4" customWidth="1"/>
    <col min="6928" max="6928" width="7.5703125" style="4" customWidth="1"/>
    <col min="6929" max="6929" width="7.85546875" style="4" customWidth="1"/>
    <col min="6930" max="6930" width="12.5703125" style="4" customWidth="1"/>
    <col min="6931" max="6932" width="9.28515625" style="4" customWidth="1"/>
    <col min="6933" max="7168" width="9.140625" style="4"/>
    <col min="7169" max="7169" width="31.42578125" style="4" customWidth="1"/>
    <col min="7170" max="7170" width="18.28515625" style="4" customWidth="1"/>
    <col min="7171" max="7176" width="6.7109375" style="4" customWidth="1"/>
    <col min="7177" max="7179" width="7.5703125" style="4" customWidth="1"/>
    <col min="7180" max="7180" width="7.85546875" style="4" customWidth="1"/>
    <col min="7181" max="7182" width="8.28515625" style="4" customWidth="1"/>
    <col min="7183" max="7183" width="5.42578125" style="4" customWidth="1"/>
    <col min="7184" max="7184" width="7.5703125" style="4" customWidth="1"/>
    <col min="7185" max="7185" width="7.85546875" style="4" customWidth="1"/>
    <col min="7186" max="7186" width="12.5703125" style="4" customWidth="1"/>
    <col min="7187" max="7188" width="9.28515625" style="4" customWidth="1"/>
    <col min="7189" max="7424" width="9.140625" style="4"/>
    <col min="7425" max="7425" width="31.42578125" style="4" customWidth="1"/>
    <col min="7426" max="7426" width="18.28515625" style="4" customWidth="1"/>
    <col min="7427" max="7432" width="6.7109375" style="4" customWidth="1"/>
    <col min="7433" max="7435" width="7.5703125" style="4" customWidth="1"/>
    <col min="7436" max="7436" width="7.85546875" style="4" customWidth="1"/>
    <col min="7437" max="7438" width="8.28515625" style="4" customWidth="1"/>
    <col min="7439" max="7439" width="5.42578125" style="4" customWidth="1"/>
    <col min="7440" max="7440" width="7.5703125" style="4" customWidth="1"/>
    <col min="7441" max="7441" width="7.85546875" style="4" customWidth="1"/>
    <col min="7442" max="7442" width="12.5703125" style="4" customWidth="1"/>
    <col min="7443" max="7444" width="9.28515625" style="4" customWidth="1"/>
    <col min="7445" max="7680" width="9.140625" style="4"/>
    <col min="7681" max="7681" width="31.42578125" style="4" customWidth="1"/>
    <col min="7682" max="7682" width="18.28515625" style="4" customWidth="1"/>
    <col min="7683" max="7688" width="6.7109375" style="4" customWidth="1"/>
    <col min="7689" max="7691" width="7.5703125" style="4" customWidth="1"/>
    <col min="7692" max="7692" width="7.85546875" style="4" customWidth="1"/>
    <col min="7693" max="7694" width="8.28515625" style="4" customWidth="1"/>
    <col min="7695" max="7695" width="5.42578125" style="4" customWidth="1"/>
    <col min="7696" max="7696" width="7.5703125" style="4" customWidth="1"/>
    <col min="7697" max="7697" width="7.85546875" style="4" customWidth="1"/>
    <col min="7698" max="7698" width="12.5703125" style="4" customWidth="1"/>
    <col min="7699" max="7700" width="9.28515625" style="4" customWidth="1"/>
    <col min="7701" max="7936" width="9.140625" style="4"/>
    <col min="7937" max="7937" width="31.42578125" style="4" customWidth="1"/>
    <col min="7938" max="7938" width="18.28515625" style="4" customWidth="1"/>
    <col min="7939" max="7944" width="6.7109375" style="4" customWidth="1"/>
    <col min="7945" max="7947" width="7.5703125" style="4" customWidth="1"/>
    <col min="7948" max="7948" width="7.85546875" style="4" customWidth="1"/>
    <col min="7949" max="7950" width="8.28515625" style="4" customWidth="1"/>
    <col min="7951" max="7951" width="5.42578125" style="4" customWidth="1"/>
    <col min="7952" max="7952" width="7.5703125" style="4" customWidth="1"/>
    <col min="7953" max="7953" width="7.85546875" style="4" customWidth="1"/>
    <col min="7954" max="7954" width="12.5703125" style="4" customWidth="1"/>
    <col min="7955" max="7956" width="9.28515625" style="4" customWidth="1"/>
    <col min="7957" max="8192" width="9.140625" style="4"/>
    <col min="8193" max="8193" width="31.42578125" style="4" customWidth="1"/>
    <col min="8194" max="8194" width="18.28515625" style="4" customWidth="1"/>
    <col min="8195" max="8200" width="6.7109375" style="4" customWidth="1"/>
    <col min="8201" max="8203" width="7.5703125" style="4" customWidth="1"/>
    <col min="8204" max="8204" width="7.85546875" style="4" customWidth="1"/>
    <col min="8205" max="8206" width="8.28515625" style="4" customWidth="1"/>
    <col min="8207" max="8207" width="5.42578125" style="4" customWidth="1"/>
    <col min="8208" max="8208" width="7.5703125" style="4" customWidth="1"/>
    <col min="8209" max="8209" width="7.85546875" style="4" customWidth="1"/>
    <col min="8210" max="8210" width="12.5703125" style="4" customWidth="1"/>
    <col min="8211" max="8212" width="9.28515625" style="4" customWidth="1"/>
    <col min="8213" max="8448" width="9.140625" style="4"/>
    <col min="8449" max="8449" width="31.42578125" style="4" customWidth="1"/>
    <col min="8450" max="8450" width="18.28515625" style="4" customWidth="1"/>
    <col min="8451" max="8456" width="6.7109375" style="4" customWidth="1"/>
    <col min="8457" max="8459" width="7.5703125" style="4" customWidth="1"/>
    <col min="8460" max="8460" width="7.85546875" style="4" customWidth="1"/>
    <col min="8461" max="8462" width="8.28515625" style="4" customWidth="1"/>
    <col min="8463" max="8463" width="5.42578125" style="4" customWidth="1"/>
    <col min="8464" max="8464" width="7.5703125" style="4" customWidth="1"/>
    <col min="8465" max="8465" width="7.85546875" style="4" customWidth="1"/>
    <col min="8466" max="8466" width="12.5703125" style="4" customWidth="1"/>
    <col min="8467" max="8468" width="9.28515625" style="4" customWidth="1"/>
    <col min="8469" max="8704" width="9.140625" style="4"/>
    <col min="8705" max="8705" width="31.42578125" style="4" customWidth="1"/>
    <col min="8706" max="8706" width="18.28515625" style="4" customWidth="1"/>
    <col min="8707" max="8712" width="6.7109375" style="4" customWidth="1"/>
    <col min="8713" max="8715" width="7.5703125" style="4" customWidth="1"/>
    <col min="8716" max="8716" width="7.85546875" style="4" customWidth="1"/>
    <col min="8717" max="8718" width="8.28515625" style="4" customWidth="1"/>
    <col min="8719" max="8719" width="5.42578125" style="4" customWidth="1"/>
    <col min="8720" max="8720" width="7.5703125" style="4" customWidth="1"/>
    <col min="8721" max="8721" width="7.85546875" style="4" customWidth="1"/>
    <col min="8722" max="8722" width="12.5703125" style="4" customWidth="1"/>
    <col min="8723" max="8724" width="9.28515625" style="4" customWidth="1"/>
    <col min="8725" max="8960" width="9.140625" style="4"/>
    <col min="8961" max="8961" width="31.42578125" style="4" customWidth="1"/>
    <col min="8962" max="8962" width="18.28515625" style="4" customWidth="1"/>
    <col min="8963" max="8968" width="6.7109375" style="4" customWidth="1"/>
    <col min="8969" max="8971" width="7.5703125" style="4" customWidth="1"/>
    <col min="8972" max="8972" width="7.85546875" style="4" customWidth="1"/>
    <col min="8973" max="8974" width="8.28515625" style="4" customWidth="1"/>
    <col min="8975" max="8975" width="5.42578125" style="4" customWidth="1"/>
    <col min="8976" max="8976" width="7.5703125" style="4" customWidth="1"/>
    <col min="8977" max="8977" width="7.85546875" style="4" customWidth="1"/>
    <col min="8978" max="8978" width="12.5703125" style="4" customWidth="1"/>
    <col min="8979" max="8980" width="9.28515625" style="4" customWidth="1"/>
    <col min="8981" max="9216" width="9.140625" style="4"/>
    <col min="9217" max="9217" width="31.42578125" style="4" customWidth="1"/>
    <col min="9218" max="9218" width="18.28515625" style="4" customWidth="1"/>
    <col min="9219" max="9224" width="6.7109375" style="4" customWidth="1"/>
    <col min="9225" max="9227" width="7.5703125" style="4" customWidth="1"/>
    <col min="9228" max="9228" width="7.85546875" style="4" customWidth="1"/>
    <col min="9229" max="9230" width="8.28515625" style="4" customWidth="1"/>
    <col min="9231" max="9231" width="5.42578125" style="4" customWidth="1"/>
    <col min="9232" max="9232" width="7.5703125" style="4" customWidth="1"/>
    <col min="9233" max="9233" width="7.85546875" style="4" customWidth="1"/>
    <col min="9234" max="9234" width="12.5703125" style="4" customWidth="1"/>
    <col min="9235" max="9236" width="9.28515625" style="4" customWidth="1"/>
    <col min="9237" max="9472" width="9.140625" style="4"/>
    <col min="9473" max="9473" width="31.42578125" style="4" customWidth="1"/>
    <col min="9474" max="9474" width="18.28515625" style="4" customWidth="1"/>
    <col min="9475" max="9480" width="6.7109375" style="4" customWidth="1"/>
    <col min="9481" max="9483" width="7.5703125" style="4" customWidth="1"/>
    <col min="9484" max="9484" width="7.85546875" style="4" customWidth="1"/>
    <col min="9485" max="9486" width="8.28515625" style="4" customWidth="1"/>
    <col min="9487" max="9487" width="5.42578125" style="4" customWidth="1"/>
    <col min="9488" max="9488" width="7.5703125" style="4" customWidth="1"/>
    <col min="9489" max="9489" width="7.85546875" style="4" customWidth="1"/>
    <col min="9490" max="9490" width="12.5703125" style="4" customWidth="1"/>
    <col min="9491" max="9492" width="9.28515625" style="4" customWidth="1"/>
    <col min="9493" max="9728" width="9.140625" style="4"/>
    <col min="9729" max="9729" width="31.42578125" style="4" customWidth="1"/>
    <col min="9730" max="9730" width="18.28515625" style="4" customWidth="1"/>
    <col min="9731" max="9736" width="6.7109375" style="4" customWidth="1"/>
    <col min="9737" max="9739" width="7.5703125" style="4" customWidth="1"/>
    <col min="9740" max="9740" width="7.85546875" style="4" customWidth="1"/>
    <col min="9741" max="9742" width="8.28515625" style="4" customWidth="1"/>
    <col min="9743" max="9743" width="5.42578125" style="4" customWidth="1"/>
    <col min="9744" max="9744" width="7.5703125" style="4" customWidth="1"/>
    <col min="9745" max="9745" width="7.85546875" style="4" customWidth="1"/>
    <col min="9746" max="9746" width="12.5703125" style="4" customWidth="1"/>
    <col min="9747" max="9748" width="9.28515625" style="4" customWidth="1"/>
    <col min="9749" max="9984" width="9.140625" style="4"/>
    <col min="9985" max="9985" width="31.42578125" style="4" customWidth="1"/>
    <col min="9986" max="9986" width="18.28515625" style="4" customWidth="1"/>
    <col min="9987" max="9992" width="6.7109375" style="4" customWidth="1"/>
    <col min="9993" max="9995" width="7.5703125" style="4" customWidth="1"/>
    <col min="9996" max="9996" width="7.85546875" style="4" customWidth="1"/>
    <col min="9997" max="9998" width="8.28515625" style="4" customWidth="1"/>
    <col min="9999" max="9999" width="5.42578125" style="4" customWidth="1"/>
    <col min="10000" max="10000" width="7.5703125" style="4" customWidth="1"/>
    <col min="10001" max="10001" width="7.85546875" style="4" customWidth="1"/>
    <col min="10002" max="10002" width="12.5703125" style="4" customWidth="1"/>
    <col min="10003" max="10004" width="9.28515625" style="4" customWidth="1"/>
    <col min="10005" max="10240" width="9.140625" style="4"/>
    <col min="10241" max="10241" width="31.42578125" style="4" customWidth="1"/>
    <col min="10242" max="10242" width="18.28515625" style="4" customWidth="1"/>
    <col min="10243" max="10248" width="6.7109375" style="4" customWidth="1"/>
    <col min="10249" max="10251" width="7.5703125" style="4" customWidth="1"/>
    <col min="10252" max="10252" width="7.85546875" style="4" customWidth="1"/>
    <col min="10253" max="10254" width="8.28515625" style="4" customWidth="1"/>
    <col min="10255" max="10255" width="5.42578125" style="4" customWidth="1"/>
    <col min="10256" max="10256" width="7.5703125" style="4" customWidth="1"/>
    <col min="10257" max="10257" width="7.85546875" style="4" customWidth="1"/>
    <col min="10258" max="10258" width="12.5703125" style="4" customWidth="1"/>
    <col min="10259" max="10260" width="9.28515625" style="4" customWidth="1"/>
    <col min="10261" max="10496" width="9.140625" style="4"/>
    <col min="10497" max="10497" width="31.42578125" style="4" customWidth="1"/>
    <col min="10498" max="10498" width="18.28515625" style="4" customWidth="1"/>
    <col min="10499" max="10504" width="6.7109375" style="4" customWidth="1"/>
    <col min="10505" max="10507" width="7.5703125" style="4" customWidth="1"/>
    <col min="10508" max="10508" width="7.85546875" style="4" customWidth="1"/>
    <col min="10509" max="10510" width="8.28515625" style="4" customWidth="1"/>
    <col min="10511" max="10511" width="5.42578125" style="4" customWidth="1"/>
    <col min="10512" max="10512" width="7.5703125" style="4" customWidth="1"/>
    <col min="10513" max="10513" width="7.85546875" style="4" customWidth="1"/>
    <col min="10514" max="10514" width="12.5703125" style="4" customWidth="1"/>
    <col min="10515" max="10516" width="9.28515625" style="4" customWidth="1"/>
    <col min="10517" max="10752" width="9.140625" style="4"/>
    <col min="10753" max="10753" width="31.42578125" style="4" customWidth="1"/>
    <col min="10754" max="10754" width="18.28515625" style="4" customWidth="1"/>
    <col min="10755" max="10760" width="6.7109375" style="4" customWidth="1"/>
    <col min="10761" max="10763" width="7.5703125" style="4" customWidth="1"/>
    <col min="10764" max="10764" width="7.85546875" style="4" customWidth="1"/>
    <col min="10765" max="10766" width="8.28515625" style="4" customWidth="1"/>
    <col min="10767" max="10767" width="5.42578125" style="4" customWidth="1"/>
    <col min="10768" max="10768" width="7.5703125" style="4" customWidth="1"/>
    <col min="10769" max="10769" width="7.85546875" style="4" customWidth="1"/>
    <col min="10770" max="10770" width="12.5703125" style="4" customWidth="1"/>
    <col min="10771" max="10772" width="9.28515625" style="4" customWidth="1"/>
    <col min="10773" max="11008" width="9.140625" style="4"/>
    <col min="11009" max="11009" width="31.42578125" style="4" customWidth="1"/>
    <col min="11010" max="11010" width="18.28515625" style="4" customWidth="1"/>
    <col min="11011" max="11016" width="6.7109375" style="4" customWidth="1"/>
    <col min="11017" max="11019" width="7.5703125" style="4" customWidth="1"/>
    <col min="11020" max="11020" width="7.85546875" style="4" customWidth="1"/>
    <col min="11021" max="11022" width="8.28515625" style="4" customWidth="1"/>
    <col min="11023" max="11023" width="5.42578125" style="4" customWidth="1"/>
    <col min="11024" max="11024" width="7.5703125" style="4" customWidth="1"/>
    <col min="11025" max="11025" width="7.85546875" style="4" customWidth="1"/>
    <col min="11026" max="11026" width="12.5703125" style="4" customWidth="1"/>
    <col min="11027" max="11028" width="9.28515625" style="4" customWidth="1"/>
    <col min="11029" max="11264" width="9.140625" style="4"/>
    <col min="11265" max="11265" width="31.42578125" style="4" customWidth="1"/>
    <col min="11266" max="11266" width="18.28515625" style="4" customWidth="1"/>
    <col min="11267" max="11272" width="6.7109375" style="4" customWidth="1"/>
    <col min="11273" max="11275" width="7.5703125" style="4" customWidth="1"/>
    <col min="11276" max="11276" width="7.85546875" style="4" customWidth="1"/>
    <col min="11277" max="11278" width="8.28515625" style="4" customWidth="1"/>
    <col min="11279" max="11279" width="5.42578125" style="4" customWidth="1"/>
    <col min="11280" max="11280" width="7.5703125" style="4" customWidth="1"/>
    <col min="11281" max="11281" width="7.85546875" style="4" customWidth="1"/>
    <col min="11282" max="11282" width="12.5703125" style="4" customWidth="1"/>
    <col min="11283" max="11284" width="9.28515625" style="4" customWidth="1"/>
    <col min="11285" max="11520" width="9.140625" style="4"/>
    <col min="11521" max="11521" width="31.42578125" style="4" customWidth="1"/>
    <col min="11522" max="11522" width="18.28515625" style="4" customWidth="1"/>
    <col min="11523" max="11528" width="6.7109375" style="4" customWidth="1"/>
    <col min="11529" max="11531" width="7.5703125" style="4" customWidth="1"/>
    <col min="11532" max="11532" width="7.85546875" style="4" customWidth="1"/>
    <col min="11533" max="11534" width="8.28515625" style="4" customWidth="1"/>
    <col min="11535" max="11535" width="5.42578125" style="4" customWidth="1"/>
    <col min="11536" max="11536" width="7.5703125" style="4" customWidth="1"/>
    <col min="11537" max="11537" width="7.85546875" style="4" customWidth="1"/>
    <col min="11538" max="11538" width="12.5703125" style="4" customWidth="1"/>
    <col min="11539" max="11540" width="9.28515625" style="4" customWidth="1"/>
    <col min="11541" max="11776" width="9.140625" style="4"/>
    <col min="11777" max="11777" width="31.42578125" style="4" customWidth="1"/>
    <col min="11778" max="11778" width="18.28515625" style="4" customWidth="1"/>
    <col min="11779" max="11784" width="6.7109375" style="4" customWidth="1"/>
    <col min="11785" max="11787" width="7.5703125" style="4" customWidth="1"/>
    <col min="11788" max="11788" width="7.85546875" style="4" customWidth="1"/>
    <col min="11789" max="11790" width="8.28515625" style="4" customWidth="1"/>
    <col min="11791" max="11791" width="5.42578125" style="4" customWidth="1"/>
    <col min="11792" max="11792" width="7.5703125" style="4" customWidth="1"/>
    <col min="11793" max="11793" width="7.85546875" style="4" customWidth="1"/>
    <col min="11794" max="11794" width="12.5703125" style="4" customWidth="1"/>
    <col min="11795" max="11796" width="9.28515625" style="4" customWidth="1"/>
    <col min="11797" max="12032" width="9.140625" style="4"/>
    <col min="12033" max="12033" width="31.42578125" style="4" customWidth="1"/>
    <col min="12034" max="12034" width="18.28515625" style="4" customWidth="1"/>
    <col min="12035" max="12040" width="6.7109375" style="4" customWidth="1"/>
    <col min="12041" max="12043" width="7.5703125" style="4" customWidth="1"/>
    <col min="12044" max="12044" width="7.85546875" style="4" customWidth="1"/>
    <col min="12045" max="12046" width="8.28515625" style="4" customWidth="1"/>
    <col min="12047" max="12047" width="5.42578125" style="4" customWidth="1"/>
    <col min="12048" max="12048" width="7.5703125" style="4" customWidth="1"/>
    <col min="12049" max="12049" width="7.85546875" style="4" customWidth="1"/>
    <col min="12050" max="12050" width="12.5703125" style="4" customWidth="1"/>
    <col min="12051" max="12052" width="9.28515625" style="4" customWidth="1"/>
    <col min="12053" max="12288" width="9.140625" style="4"/>
    <col min="12289" max="12289" width="31.42578125" style="4" customWidth="1"/>
    <col min="12290" max="12290" width="18.28515625" style="4" customWidth="1"/>
    <col min="12291" max="12296" width="6.7109375" style="4" customWidth="1"/>
    <col min="12297" max="12299" width="7.5703125" style="4" customWidth="1"/>
    <col min="12300" max="12300" width="7.85546875" style="4" customWidth="1"/>
    <col min="12301" max="12302" width="8.28515625" style="4" customWidth="1"/>
    <col min="12303" max="12303" width="5.42578125" style="4" customWidth="1"/>
    <col min="12304" max="12304" width="7.5703125" style="4" customWidth="1"/>
    <col min="12305" max="12305" width="7.85546875" style="4" customWidth="1"/>
    <col min="12306" max="12306" width="12.5703125" style="4" customWidth="1"/>
    <col min="12307" max="12308" width="9.28515625" style="4" customWidth="1"/>
    <col min="12309" max="12544" width="9.140625" style="4"/>
    <col min="12545" max="12545" width="31.42578125" style="4" customWidth="1"/>
    <col min="12546" max="12546" width="18.28515625" style="4" customWidth="1"/>
    <col min="12547" max="12552" width="6.7109375" style="4" customWidth="1"/>
    <col min="12553" max="12555" width="7.5703125" style="4" customWidth="1"/>
    <col min="12556" max="12556" width="7.85546875" style="4" customWidth="1"/>
    <col min="12557" max="12558" width="8.28515625" style="4" customWidth="1"/>
    <col min="12559" max="12559" width="5.42578125" style="4" customWidth="1"/>
    <col min="12560" max="12560" width="7.5703125" style="4" customWidth="1"/>
    <col min="12561" max="12561" width="7.85546875" style="4" customWidth="1"/>
    <col min="12562" max="12562" width="12.5703125" style="4" customWidth="1"/>
    <col min="12563" max="12564" width="9.28515625" style="4" customWidth="1"/>
    <col min="12565" max="12800" width="9.140625" style="4"/>
    <col min="12801" max="12801" width="31.42578125" style="4" customWidth="1"/>
    <col min="12802" max="12802" width="18.28515625" style="4" customWidth="1"/>
    <col min="12803" max="12808" width="6.7109375" style="4" customWidth="1"/>
    <col min="12809" max="12811" width="7.5703125" style="4" customWidth="1"/>
    <col min="12812" max="12812" width="7.85546875" style="4" customWidth="1"/>
    <col min="12813" max="12814" width="8.28515625" style="4" customWidth="1"/>
    <col min="12815" max="12815" width="5.42578125" style="4" customWidth="1"/>
    <col min="12816" max="12816" width="7.5703125" style="4" customWidth="1"/>
    <col min="12817" max="12817" width="7.85546875" style="4" customWidth="1"/>
    <col min="12818" max="12818" width="12.5703125" style="4" customWidth="1"/>
    <col min="12819" max="12820" width="9.28515625" style="4" customWidth="1"/>
    <col min="12821" max="13056" width="9.140625" style="4"/>
    <col min="13057" max="13057" width="31.42578125" style="4" customWidth="1"/>
    <col min="13058" max="13058" width="18.28515625" style="4" customWidth="1"/>
    <col min="13059" max="13064" width="6.7109375" style="4" customWidth="1"/>
    <col min="13065" max="13067" width="7.5703125" style="4" customWidth="1"/>
    <col min="13068" max="13068" width="7.85546875" style="4" customWidth="1"/>
    <col min="13069" max="13070" width="8.28515625" style="4" customWidth="1"/>
    <col min="13071" max="13071" width="5.42578125" style="4" customWidth="1"/>
    <col min="13072" max="13072" width="7.5703125" style="4" customWidth="1"/>
    <col min="13073" max="13073" width="7.85546875" style="4" customWidth="1"/>
    <col min="13074" max="13074" width="12.5703125" style="4" customWidth="1"/>
    <col min="13075" max="13076" width="9.28515625" style="4" customWidth="1"/>
    <col min="13077" max="13312" width="9.140625" style="4"/>
    <col min="13313" max="13313" width="31.42578125" style="4" customWidth="1"/>
    <col min="13314" max="13314" width="18.28515625" style="4" customWidth="1"/>
    <col min="13315" max="13320" width="6.7109375" style="4" customWidth="1"/>
    <col min="13321" max="13323" width="7.5703125" style="4" customWidth="1"/>
    <col min="13324" max="13324" width="7.85546875" style="4" customWidth="1"/>
    <col min="13325" max="13326" width="8.28515625" style="4" customWidth="1"/>
    <col min="13327" max="13327" width="5.42578125" style="4" customWidth="1"/>
    <col min="13328" max="13328" width="7.5703125" style="4" customWidth="1"/>
    <col min="13329" max="13329" width="7.85546875" style="4" customWidth="1"/>
    <col min="13330" max="13330" width="12.5703125" style="4" customWidth="1"/>
    <col min="13331" max="13332" width="9.28515625" style="4" customWidth="1"/>
    <col min="13333" max="13568" width="9.140625" style="4"/>
    <col min="13569" max="13569" width="31.42578125" style="4" customWidth="1"/>
    <col min="13570" max="13570" width="18.28515625" style="4" customWidth="1"/>
    <col min="13571" max="13576" width="6.7109375" style="4" customWidth="1"/>
    <col min="13577" max="13579" width="7.5703125" style="4" customWidth="1"/>
    <col min="13580" max="13580" width="7.85546875" style="4" customWidth="1"/>
    <col min="13581" max="13582" width="8.28515625" style="4" customWidth="1"/>
    <col min="13583" max="13583" width="5.42578125" style="4" customWidth="1"/>
    <col min="13584" max="13584" width="7.5703125" style="4" customWidth="1"/>
    <col min="13585" max="13585" width="7.85546875" style="4" customWidth="1"/>
    <col min="13586" max="13586" width="12.5703125" style="4" customWidth="1"/>
    <col min="13587" max="13588" width="9.28515625" style="4" customWidth="1"/>
    <col min="13589" max="13824" width="9.140625" style="4"/>
    <col min="13825" max="13825" width="31.42578125" style="4" customWidth="1"/>
    <col min="13826" max="13826" width="18.28515625" style="4" customWidth="1"/>
    <col min="13827" max="13832" width="6.7109375" style="4" customWidth="1"/>
    <col min="13833" max="13835" width="7.5703125" style="4" customWidth="1"/>
    <col min="13836" max="13836" width="7.85546875" style="4" customWidth="1"/>
    <col min="13837" max="13838" width="8.28515625" style="4" customWidth="1"/>
    <col min="13839" max="13839" width="5.42578125" style="4" customWidth="1"/>
    <col min="13840" max="13840" width="7.5703125" style="4" customWidth="1"/>
    <col min="13841" max="13841" width="7.85546875" style="4" customWidth="1"/>
    <col min="13842" max="13842" width="12.5703125" style="4" customWidth="1"/>
    <col min="13843" max="13844" width="9.28515625" style="4" customWidth="1"/>
    <col min="13845" max="14080" width="9.140625" style="4"/>
    <col min="14081" max="14081" width="31.42578125" style="4" customWidth="1"/>
    <col min="14082" max="14082" width="18.28515625" style="4" customWidth="1"/>
    <col min="14083" max="14088" width="6.7109375" style="4" customWidth="1"/>
    <col min="14089" max="14091" width="7.5703125" style="4" customWidth="1"/>
    <col min="14092" max="14092" width="7.85546875" style="4" customWidth="1"/>
    <col min="14093" max="14094" width="8.28515625" style="4" customWidth="1"/>
    <col min="14095" max="14095" width="5.42578125" style="4" customWidth="1"/>
    <col min="14096" max="14096" width="7.5703125" style="4" customWidth="1"/>
    <col min="14097" max="14097" width="7.85546875" style="4" customWidth="1"/>
    <col min="14098" max="14098" width="12.5703125" style="4" customWidth="1"/>
    <col min="14099" max="14100" width="9.28515625" style="4" customWidth="1"/>
    <col min="14101" max="14336" width="9.140625" style="4"/>
    <col min="14337" max="14337" width="31.42578125" style="4" customWidth="1"/>
    <col min="14338" max="14338" width="18.28515625" style="4" customWidth="1"/>
    <col min="14339" max="14344" width="6.7109375" style="4" customWidth="1"/>
    <col min="14345" max="14347" width="7.5703125" style="4" customWidth="1"/>
    <col min="14348" max="14348" width="7.85546875" style="4" customWidth="1"/>
    <col min="14349" max="14350" width="8.28515625" style="4" customWidth="1"/>
    <col min="14351" max="14351" width="5.42578125" style="4" customWidth="1"/>
    <col min="14352" max="14352" width="7.5703125" style="4" customWidth="1"/>
    <col min="14353" max="14353" width="7.85546875" style="4" customWidth="1"/>
    <col min="14354" max="14354" width="12.5703125" style="4" customWidth="1"/>
    <col min="14355" max="14356" width="9.28515625" style="4" customWidth="1"/>
    <col min="14357" max="14592" width="9.140625" style="4"/>
    <col min="14593" max="14593" width="31.42578125" style="4" customWidth="1"/>
    <col min="14594" max="14594" width="18.28515625" style="4" customWidth="1"/>
    <col min="14595" max="14600" width="6.7109375" style="4" customWidth="1"/>
    <col min="14601" max="14603" width="7.5703125" style="4" customWidth="1"/>
    <col min="14604" max="14604" width="7.85546875" style="4" customWidth="1"/>
    <col min="14605" max="14606" width="8.28515625" style="4" customWidth="1"/>
    <col min="14607" max="14607" width="5.42578125" style="4" customWidth="1"/>
    <col min="14608" max="14608" width="7.5703125" style="4" customWidth="1"/>
    <col min="14609" max="14609" width="7.85546875" style="4" customWidth="1"/>
    <col min="14610" max="14610" width="12.5703125" style="4" customWidth="1"/>
    <col min="14611" max="14612" width="9.28515625" style="4" customWidth="1"/>
    <col min="14613" max="14848" width="9.140625" style="4"/>
    <col min="14849" max="14849" width="31.42578125" style="4" customWidth="1"/>
    <col min="14850" max="14850" width="18.28515625" style="4" customWidth="1"/>
    <col min="14851" max="14856" width="6.7109375" style="4" customWidth="1"/>
    <col min="14857" max="14859" width="7.5703125" style="4" customWidth="1"/>
    <col min="14860" max="14860" width="7.85546875" style="4" customWidth="1"/>
    <col min="14861" max="14862" width="8.28515625" style="4" customWidth="1"/>
    <col min="14863" max="14863" width="5.42578125" style="4" customWidth="1"/>
    <col min="14864" max="14864" width="7.5703125" style="4" customWidth="1"/>
    <col min="14865" max="14865" width="7.85546875" style="4" customWidth="1"/>
    <col min="14866" max="14866" width="12.5703125" style="4" customWidth="1"/>
    <col min="14867" max="14868" width="9.28515625" style="4" customWidth="1"/>
    <col min="14869" max="15104" width="9.140625" style="4"/>
    <col min="15105" max="15105" width="31.42578125" style="4" customWidth="1"/>
    <col min="15106" max="15106" width="18.28515625" style="4" customWidth="1"/>
    <col min="15107" max="15112" width="6.7109375" style="4" customWidth="1"/>
    <col min="15113" max="15115" width="7.5703125" style="4" customWidth="1"/>
    <col min="15116" max="15116" width="7.85546875" style="4" customWidth="1"/>
    <col min="15117" max="15118" width="8.28515625" style="4" customWidth="1"/>
    <col min="15119" max="15119" width="5.42578125" style="4" customWidth="1"/>
    <col min="15120" max="15120" width="7.5703125" style="4" customWidth="1"/>
    <col min="15121" max="15121" width="7.85546875" style="4" customWidth="1"/>
    <col min="15122" max="15122" width="12.5703125" style="4" customWidth="1"/>
    <col min="15123" max="15124" width="9.28515625" style="4" customWidth="1"/>
    <col min="15125" max="15360" width="9.140625" style="4"/>
    <col min="15361" max="15361" width="31.42578125" style="4" customWidth="1"/>
    <col min="15362" max="15362" width="18.28515625" style="4" customWidth="1"/>
    <col min="15363" max="15368" width="6.7109375" style="4" customWidth="1"/>
    <col min="15369" max="15371" width="7.5703125" style="4" customWidth="1"/>
    <col min="15372" max="15372" width="7.85546875" style="4" customWidth="1"/>
    <col min="15373" max="15374" width="8.28515625" style="4" customWidth="1"/>
    <col min="15375" max="15375" width="5.42578125" style="4" customWidth="1"/>
    <col min="15376" max="15376" width="7.5703125" style="4" customWidth="1"/>
    <col min="15377" max="15377" width="7.85546875" style="4" customWidth="1"/>
    <col min="15378" max="15378" width="12.5703125" style="4" customWidth="1"/>
    <col min="15379" max="15380" width="9.28515625" style="4" customWidth="1"/>
    <col min="15381" max="15616" width="9.140625" style="4"/>
    <col min="15617" max="15617" width="31.42578125" style="4" customWidth="1"/>
    <col min="15618" max="15618" width="18.28515625" style="4" customWidth="1"/>
    <col min="15619" max="15624" width="6.7109375" style="4" customWidth="1"/>
    <col min="15625" max="15627" width="7.5703125" style="4" customWidth="1"/>
    <col min="15628" max="15628" width="7.85546875" style="4" customWidth="1"/>
    <col min="15629" max="15630" width="8.28515625" style="4" customWidth="1"/>
    <col min="15631" max="15631" width="5.42578125" style="4" customWidth="1"/>
    <col min="15632" max="15632" width="7.5703125" style="4" customWidth="1"/>
    <col min="15633" max="15633" width="7.85546875" style="4" customWidth="1"/>
    <col min="15634" max="15634" width="12.5703125" style="4" customWidth="1"/>
    <col min="15635" max="15636" width="9.28515625" style="4" customWidth="1"/>
    <col min="15637" max="15872" width="9.140625" style="4"/>
    <col min="15873" max="15873" width="31.42578125" style="4" customWidth="1"/>
    <col min="15874" max="15874" width="18.28515625" style="4" customWidth="1"/>
    <col min="15875" max="15880" width="6.7109375" style="4" customWidth="1"/>
    <col min="15881" max="15883" width="7.5703125" style="4" customWidth="1"/>
    <col min="15884" max="15884" width="7.85546875" style="4" customWidth="1"/>
    <col min="15885" max="15886" width="8.28515625" style="4" customWidth="1"/>
    <col min="15887" max="15887" width="5.42578125" style="4" customWidth="1"/>
    <col min="15888" max="15888" width="7.5703125" style="4" customWidth="1"/>
    <col min="15889" max="15889" width="7.85546875" style="4" customWidth="1"/>
    <col min="15890" max="15890" width="12.5703125" style="4" customWidth="1"/>
    <col min="15891" max="15892" width="9.28515625" style="4" customWidth="1"/>
    <col min="15893" max="16128" width="9.140625" style="4"/>
    <col min="16129" max="16129" width="31.42578125" style="4" customWidth="1"/>
    <col min="16130" max="16130" width="18.28515625" style="4" customWidth="1"/>
    <col min="16131" max="16136" width="6.7109375" style="4" customWidth="1"/>
    <col min="16137" max="16139" width="7.5703125" style="4" customWidth="1"/>
    <col min="16140" max="16140" width="7.85546875" style="4" customWidth="1"/>
    <col min="16141" max="16142" width="8.28515625" style="4" customWidth="1"/>
    <col min="16143" max="16143" width="5.42578125" style="4" customWidth="1"/>
    <col min="16144" max="16144" width="7.5703125" style="4" customWidth="1"/>
    <col min="16145" max="16145" width="7.85546875" style="4" customWidth="1"/>
    <col min="16146" max="16146" width="12.5703125" style="4" customWidth="1"/>
    <col min="16147" max="16148" width="9.28515625" style="4" customWidth="1"/>
    <col min="16149" max="16384" width="9.140625" style="4"/>
  </cols>
  <sheetData>
    <row r="1" spans="1:23" s="53" customFormat="1" ht="15" customHeight="1" x14ac:dyDescent="0.2">
      <c r="A1" s="343"/>
      <c r="B1" s="362" t="s">
        <v>199</v>
      </c>
      <c r="C1" s="339" t="str">
        <f>ORÇAMENTO!I4</f>
        <v>SENSE106</v>
      </c>
      <c r="D1" s="338"/>
      <c r="E1" s="338"/>
      <c r="F1" s="338"/>
      <c r="G1" s="338"/>
      <c r="H1" s="338"/>
      <c r="I1" s="338"/>
      <c r="J1" s="338"/>
      <c r="K1" s="338"/>
      <c r="L1" s="339"/>
      <c r="M1" s="339"/>
      <c r="N1" s="353"/>
      <c r="O1" s="353"/>
      <c r="P1" s="353"/>
      <c r="Q1" s="353"/>
      <c r="R1" s="358"/>
      <c r="S1" s="345"/>
      <c r="T1" s="346"/>
    </row>
    <row r="2" spans="1:23" s="215" customFormat="1" ht="15" customHeight="1" x14ac:dyDescent="0.2">
      <c r="A2" s="397"/>
      <c r="B2" s="362" t="s">
        <v>173</v>
      </c>
      <c r="C2" s="363" t="str">
        <f>ORÇAMENTO!I5</f>
        <v>HOLZE EMPREENDIMENTOS</v>
      </c>
      <c r="D2" s="339"/>
      <c r="E2" s="339"/>
      <c r="F2" s="339"/>
      <c r="G2" s="339"/>
      <c r="H2" s="339"/>
      <c r="I2" s="339"/>
      <c r="J2" s="339"/>
      <c r="K2" s="339"/>
      <c r="L2" s="399"/>
      <c r="M2" s="399"/>
      <c r="N2" s="399"/>
      <c r="O2" s="399"/>
      <c r="P2" s="399"/>
      <c r="Q2" s="399"/>
      <c r="R2" s="398"/>
      <c r="S2" s="347"/>
      <c r="T2" s="348"/>
    </row>
    <row r="3" spans="1:23" s="215" customFormat="1" ht="15" customHeight="1" x14ac:dyDescent="0.2">
      <c r="A3" s="344"/>
      <c r="B3" s="362" t="s">
        <v>174</v>
      </c>
      <c r="C3" s="339" t="s">
        <v>314</v>
      </c>
      <c r="E3" s="339"/>
      <c r="F3" s="339"/>
      <c r="G3" s="339"/>
      <c r="H3" s="339"/>
      <c r="I3" s="339"/>
      <c r="J3" s="339"/>
      <c r="K3" s="341"/>
      <c r="L3" s="399"/>
      <c r="M3" s="399"/>
      <c r="N3" s="399"/>
      <c r="O3" s="399"/>
      <c r="P3" s="399"/>
      <c r="Q3" s="399"/>
      <c r="R3" s="398"/>
      <c r="S3" s="349"/>
      <c r="T3" s="350"/>
    </row>
    <row r="4" spans="1:23" s="59" customFormat="1" ht="20.45" customHeight="1" x14ac:dyDescent="0.2">
      <c r="A4" s="1272" t="s">
        <v>205</v>
      </c>
      <c r="B4" s="1272"/>
      <c r="C4" s="1272"/>
      <c r="D4" s="1272"/>
      <c r="E4" s="1272"/>
      <c r="F4" s="1272"/>
      <c r="G4" s="1272"/>
      <c r="H4" s="1272"/>
      <c r="I4" s="1272"/>
      <c r="J4" s="1272"/>
      <c r="K4" s="1272"/>
      <c r="L4" s="1272"/>
      <c r="M4" s="1272"/>
      <c r="N4" s="1272"/>
      <c r="O4" s="1272"/>
      <c r="P4" s="1272"/>
      <c r="Q4" s="1272"/>
      <c r="R4" s="1272"/>
      <c r="S4" s="1272"/>
      <c r="T4" s="1272"/>
    </row>
    <row r="5" spans="1:23" s="142" customFormat="1" ht="16.5" customHeight="1" x14ac:dyDescent="0.2">
      <c r="A5" s="1315" t="s">
        <v>6</v>
      </c>
      <c r="B5" s="1311" t="s">
        <v>74</v>
      </c>
      <c r="C5" s="1319"/>
      <c r="D5" s="1312"/>
      <c r="E5" s="1311" t="s">
        <v>42</v>
      </c>
      <c r="F5" s="1312"/>
      <c r="G5" s="299"/>
      <c r="H5" s="1301" t="s">
        <v>41</v>
      </c>
      <c r="I5" s="1301" t="s">
        <v>43</v>
      </c>
      <c r="J5" s="1301" t="s">
        <v>44</v>
      </c>
      <c r="K5" s="1317" t="s">
        <v>45</v>
      </c>
      <c r="L5" s="300" t="s">
        <v>46</v>
      </c>
      <c r="M5" s="1318" t="s">
        <v>47</v>
      </c>
      <c r="N5" s="1315"/>
      <c r="O5" s="1304" t="s">
        <v>201</v>
      </c>
      <c r="P5" s="1325" t="s">
        <v>95</v>
      </c>
      <c r="Q5" s="1304" t="s">
        <v>202</v>
      </c>
      <c r="R5" s="453"/>
      <c r="S5" s="1320" t="s">
        <v>48</v>
      </c>
      <c r="T5" s="1313" t="s">
        <v>49</v>
      </c>
      <c r="V5" s="1311" t="s">
        <v>97</v>
      </c>
      <c r="W5" s="1312"/>
    </row>
    <row r="6" spans="1:23" s="142" customFormat="1" ht="15" customHeight="1" x14ac:dyDescent="0.2">
      <c r="A6" s="1316"/>
      <c r="B6" s="298" t="s">
        <v>57</v>
      </c>
      <c r="C6" s="300" t="s">
        <v>60</v>
      </c>
      <c r="D6" s="300" t="s">
        <v>59</v>
      </c>
      <c r="E6" s="302" t="s">
        <v>57</v>
      </c>
      <c r="F6" s="302" t="s">
        <v>59</v>
      </c>
      <c r="G6" s="302" t="s">
        <v>18</v>
      </c>
      <c r="H6" s="1269"/>
      <c r="I6" s="1269"/>
      <c r="J6" s="1269"/>
      <c r="K6" s="1270"/>
      <c r="L6" s="303" t="s">
        <v>4</v>
      </c>
      <c r="M6" s="1265"/>
      <c r="N6" s="1267"/>
      <c r="O6" s="1305"/>
      <c r="P6" s="1262"/>
      <c r="Q6" s="1305"/>
      <c r="R6" s="454"/>
      <c r="S6" s="1321"/>
      <c r="T6" s="1314"/>
      <c r="V6" s="1322" t="s">
        <v>4</v>
      </c>
      <c r="W6" s="1301" t="s">
        <v>10</v>
      </c>
    </row>
    <row r="7" spans="1:23" s="142" customFormat="1" ht="14.1" customHeight="1" x14ac:dyDescent="0.2">
      <c r="A7" s="1316"/>
      <c r="B7" s="301" t="s">
        <v>50</v>
      </c>
      <c r="C7" s="302" t="s">
        <v>52</v>
      </c>
      <c r="D7" s="302" t="s">
        <v>51</v>
      </c>
      <c r="E7" s="302" t="s">
        <v>3</v>
      </c>
      <c r="F7" s="302" t="s">
        <v>3</v>
      </c>
      <c r="G7" s="302"/>
      <c r="H7" s="302" t="s">
        <v>4</v>
      </c>
      <c r="I7" s="302" t="s">
        <v>1</v>
      </c>
      <c r="J7" s="302" t="s">
        <v>4</v>
      </c>
      <c r="K7" s="302" t="s">
        <v>4</v>
      </c>
      <c r="L7" s="302">
        <v>0.05</v>
      </c>
      <c r="M7" s="302" t="s">
        <v>53</v>
      </c>
      <c r="N7" s="302" t="s">
        <v>1</v>
      </c>
      <c r="O7" s="302"/>
      <c r="P7" s="302" t="s">
        <v>4</v>
      </c>
      <c r="Q7" s="302"/>
      <c r="R7" s="302" t="s">
        <v>10</v>
      </c>
      <c r="S7" s="359"/>
      <c r="T7" s="360" t="s">
        <v>1</v>
      </c>
      <c r="V7" s="1323"/>
      <c r="W7" s="1269"/>
    </row>
    <row r="8" spans="1:23" s="142" customFormat="1" ht="15" customHeight="1" x14ac:dyDescent="0.2">
      <c r="A8" s="455" t="s">
        <v>326</v>
      </c>
      <c r="B8" s="456"/>
      <c r="C8" s="456"/>
      <c r="D8" s="456"/>
      <c r="E8" s="456"/>
      <c r="F8" s="457"/>
      <c r="G8" s="457"/>
      <c r="H8" s="457"/>
      <c r="I8" s="457"/>
      <c r="J8" s="457"/>
      <c r="K8" s="457"/>
      <c r="L8" s="457"/>
      <c r="M8" s="457"/>
      <c r="N8" s="457"/>
      <c r="O8" s="457"/>
      <c r="P8" s="457"/>
      <c r="Q8" s="457"/>
      <c r="R8" s="456"/>
      <c r="S8" s="458"/>
      <c r="T8" s="459"/>
      <c r="V8" s="146">
        <f>SUMIF($R$8:$R$68,$W8,$P$8:$P$68)</f>
        <v>0</v>
      </c>
      <c r="W8" s="160" t="s">
        <v>126</v>
      </c>
    </row>
    <row r="9" spans="1:23" s="142" customFormat="1" ht="15" customHeight="1" x14ac:dyDescent="0.2">
      <c r="A9" s="247" t="s">
        <v>1276</v>
      </c>
      <c r="B9" s="242">
        <v>0.2</v>
      </c>
      <c r="C9" s="243">
        <v>5.14</v>
      </c>
      <c r="D9" s="242">
        <v>0.6</v>
      </c>
      <c r="E9" s="238">
        <f t="shared" ref="E9:E66" si="0">IF(D9&lt;=1,0.6,1.2)</f>
        <v>0.6</v>
      </c>
      <c r="F9" s="238"/>
      <c r="G9" s="244">
        <v>1</v>
      </c>
      <c r="H9" s="238">
        <f>((B9+E9)*(D9+F9)*C9)*G9</f>
        <v>2.4671999999999996</v>
      </c>
      <c r="I9" s="238">
        <f>(B9)*(C9)*G9</f>
        <v>1.028</v>
      </c>
      <c r="J9" s="238">
        <f>H9-P9</f>
        <v>1.8503999999999996</v>
      </c>
      <c r="K9" s="238">
        <f>(H9-J9)*1.3</f>
        <v>0.80184</v>
      </c>
      <c r="L9" s="238">
        <f>I9*$L$7</f>
        <v>5.1400000000000001E-2</v>
      </c>
      <c r="M9" s="245">
        <v>2</v>
      </c>
      <c r="N9" s="238">
        <f>((C9*D9*M9))*G9</f>
        <v>6.1679999999999993</v>
      </c>
      <c r="O9" s="483">
        <v>39.049999999999997</v>
      </c>
      <c r="P9" s="238">
        <f>B9*D9*C9*G9</f>
        <v>0.6167999999999999</v>
      </c>
      <c r="Q9" s="484">
        <v>3.59</v>
      </c>
      <c r="R9" s="246" t="s">
        <v>98</v>
      </c>
      <c r="S9" s="295">
        <f>P9*$S$7</f>
        <v>0</v>
      </c>
      <c r="T9" s="460">
        <f>C9*B9+2*C9*D9</f>
        <v>7.1959999999999997</v>
      </c>
      <c r="V9" s="146">
        <f>SUMIF($R$8:$R$68,$W9,$P$8:$P$68)</f>
        <v>0</v>
      </c>
      <c r="W9" s="160" t="s">
        <v>125</v>
      </c>
    </row>
    <row r="10" spans="1:23" s="142" customFormat="1" ht="15" customHeight="1" x14ac:dyDescent="0.2">
      <c r="A10" s="247" t="s">
        <v>1277</v>
      </c>
      <c r="B10" s="242">
        <v>0.2</v>
      </c>
      <c r="C10" s="243">
        <v>9.52</v>
      </c>
      <c r="D10" s="242">
        <v>0.6</v>
      </c>
      <c r="E10" s="238">
        <f t="shared" si="0"/>
        <v>0.6</v>
      </c>
      <c r="F10" s="238"/>
      <c r="G10" s="244">
        <v>1</v>
      </c>
      <c r="H10" s="238">
        <f>((B10+E10)*(D10+F10)*C10)*G10</f>
        <v>4.5695999999999994</v>
      </c>
      <c r="I10" s="238">
        <f>(B10)*(C10)*G10</f>
        <v>1.9039999999999999</v>
      </c>
      <c r="J10" s="238">
        <f>H10-P10</f>
        <v>3.4271999999999996</v>
      </c>
      <c r="K10" s="238">
        <f>(H10-J10)*1.3</f>
        <v>1.4851199999999998</v>
      </c>
      <c r="L10" s="238">
        <f>I10*$L$7</f>
        <v>9.5200000000000007E-2</v>
      </c>
      <c r="M10" s="245">
        <v>2</v>
      </c>
      <c r="N10" s="238">
        <f>((C10*D10*M10))*G10</f>
        <v>11.423999999999999</v>
      </c>
      <c r="O10" s="483"/>
      <c r="P10" s="238">
        <f>B10*D10*C10*G10</f>
        <v>1.1423999999999999</v>
      </c>
      <c r="Q10" s="484"/>
      <c r="R10" s="246" t="s">
        <v>98</v>
      </c>
      <c r="S10" s="295">
        <f>P10*$S$7</f>
        <v>0</v>
      </c>
      <c r="T10" s="460">
        <f t="shared" ref="T10:T65" si="1">C10*B10+2*C10*D10</f>
        <v>13.327999999999999</v>
      </c>
      <c r="V10" s="146">
        <f>SUMIF($R$8:$R$68,$W10,$P$8:$P$68)</f>
        <v>0</v>
      </c>
      <c r="W10" s="160" t="s">
        <v>123</v>
      </c>
    </row>
    <row r="11" spans="1:23" s="142" customFormat="1" ht="15" customHeight="1" x14ac:dyDescent="0.2">
      <c r="A11" s="247" t="s">
        <v>1278</v>
      </c>
      <c r="B11" s="242">
        <v>0.2</v>
      </c>
      <c r="C11" s="243">
        <v>12</v>
      </c>
      <c r="D11" s="242">
        <v>0.6</v>
      </c>
      <c r="E11" s="238">
        <f>IF(D11&lt;=1,0.6,1.2)</f>
        <v>0.6</v>
      </c>
      <c r="F11" s="238"/>
      <c r="G11" s="244">
        <v>1</v>
      </c>
      <c r="H11" s="238">
        <f>((B11+E11)*(D11+F11)*C11)*G11</f>
        <v>5.76</v>
      </c>
      <c r="I11" s="238">
        <f>(B11)*(C11)*G11</f>
        <v>2.4000000000000004</v>
      </c>
      <c r="J11" s="238">
        <f>H11-P11</f>
        <v>4.32</v>
      </c>
      <c r="K11" s="238">
        <f>(H11-J11)*1.3</f>
        <v>1.8719999999999994</v>
      </c>
      <c r="L11" s="238">
        <f>I11*$L$7</f>
        <v>0.12000000000000002</v>
      </c>
      <c r="M11" s="245">
        <v>2</v>
      </c>
      <c r="N11" s="238">
        <f>((C11*D11*M11))*G11</f>
        <v>14.399999999999999</v>
      </c>
      <c r="O11" s="483"/>
      <c r="P11" s="238">
        <f>B11*D11*C11*G11</f>
        <v>1.44</v>
      </c>
      <c r="Q11" s="484"/>
      <c r="R11" s="246" t="s">
        <v>98</v>
      </c>
      <c r="S11" s="295">
        <f>P11*$S$7</f>
        <v>0</v>
      </c>
      <c r="T11" s="460">
        <f t="shared" si="1"/>
        <v>16.799999999999997</v>
      </c>
      <c r="V11" s="146">
        <f>SUMIF($R$8:$R$68,$W11,$P$8:$P$68)</f>
        <v>0</v>
      </c>
      <c r="W11" s="160" t="s">
        <v>124</v>
      </c>
    </row>
    <row r="12" spans="1:23" s="142" customFormat="1" ht="15" customHeight="1" x14ac:dyDescent="0.2">
      <c r="A12" s="247" t="s">
        <v>1279</v>
      </c>
      <c r="B12" s="242">
        <v>0.15</v>
      </c>
      <c r="C12" s="243">
        <v>3.5</v>
      </c>
      <c r="D12" s="242">
        <v>0.6</v>
      </c>
      <c r="E12" s="238">
        <f t="shared" si="0"/>
        <v>0.6</v>
      </c>
      <c r="F12" s="238"/>
      <c r="G12" s="244">
        <v>1</v>
      </c>
      <c r="H12" s="238">
        <f t="shared" ref="H12:H43" si="2">((B12+E12)*(D12+F12)*C12)*G12</f>
        <v>1.5749999999999997</v>
      </c>
      <c r="I12" s="238">
        <f t="shared" ref="I12:I43" si="3">(B12)*(C12)*G12</f>
        <v>0.52500000000000002</v>
      </c>
      <c r="J12" s="238">
        <f t="shared" ref="J12:J43" si="4">H12-P12</f>
        <v>1.2599999999999998</v>
      </c>
      <c r="K12" s="238">
        <f t="shared" ref="K12:K43" si="5">(H12-J12)*1.3</f>
        <v>0.40949999999999992</v>
      </c>
      <c r="L12" s="238">
        <f t="shared" ref="L12:L43" si="6">I12*$L$7</f>
        <v>2.6250000000000002E-2</v>
      </c>
      <c r="M12" s="245">
        <v>2</v>
      </c>
      <c r="N12" s="238">
        <f t="shared" ref="N12:N43" si="7">((C12*D12*M12))*G12</f>
        <v>4.2</v>
      </c>
      <c r="O12" s="483"/>
      <c r="P12" s="238">
        <f t="shared" ref="P12:P43" si="8">B12*D12*C12*G12</f>
        <v>0.315</v>
      </c>
      <c r="Q12" s="484"/>
      <c r="R12" s="246" t="s">
        <v>98</v>
      </c>
      <c r="S12" s="295">
        <f t="shared" ref="S12:S43" si="9">P12*$S$7</f>
        <v>0</v>
      </c>
      <c r="T12" s="460">
        <f t="shared" si="1"/>
        <v>4.7250000000000005</v>
      </c>
      <c r="V12" s="146">
        <f>SUMIF($R$8:$R$68,$W12,$P$8:$P$68)</f>
        <v>54.568100000000008</v>
      </c>
      <c r="W12" s="160" t="s">
        <v>98</v>
      </c>
    </row>
    <row r="13" spans="1:23" s="142" customFormat="1" ht="15" customHeight="1" x14ac:dyDescent="0.2">
      <c r="A13" s="247" t="s">
        <v>1280</v>
      </c>
      <c r="B13" s="242">
        <v>0.15</v>
      </c>
      <c r="C13" s="243">
        <v>4.16</v>
      </c>
      <c r="D13" s="242">
        <v>0.6</v>
      </c>
      <c r="E13" s="238">
        <f t="shared" si="0"/>
        <v>0.6</v>
      </c>
      <c r="F13" s="238"/>
      <c r="G13" s="244">
        <v>1</v>
      </c>
      <c r="H13" s="238">
        <f t="shared" si="2"/>
        <v>1.8719999999999999</v>
      </c>
      <c r="I13" s="238">
        <f t="shared" si="3"/>
        <v>0.624</v>
      </c>
      <c r="J13" s="238">
        <f t="shared" si="4"/>
        <v>1.4975999999999998</v>
      </c>
      <c r="K13" s="238">
        <f t="shared" si="5"/>
        <v>0.4867200000000001</v>
      </c>
      <c r="L13" s="238">
        <f t="shared" si="6"/>
        <v>3.1200000000000002E-2</v>
      </c>
      <c r="M13" s="245">
        <v>2</v>
      </c>
      <c r="N13" s="238">
        <f t="shared" si="7"/>
        <v>4.992</v>
      </c>
      <c r="O13" s="483"/>
      <c r="P13" s="238">
        <f t="shared" si="8"/>
        <v>0.37440000000000001</v>
      </c>
      <c r="Q13" s="484"/>
      <c r="R13" s="246" t="s">
        <v>98</v>
      </c>
      <c r="S13" s="295">
        <f t="shared" si="9"/>
        <v>0</v>
      </c>
      <c r="T13" s="460">
        <f t="shared" si="1"/>
        <v>5.6159999999999997</v>
      </c>
      <c r="V13" s="146"/>
      <c r="W13" s="160"/>
    </row>
    <row r="14" spans="1:23" s="142" customFormat="1" ht="15" customHeight="1" x14ac:dyDescent="0.2">
      <c r="A14" s="247" t="s">
        <v>1281</v>
      </c>
      <c r="B14" s="242">
        <v>0.15</v>
      </c>
      <c r="C14" s="243">
        <v>4.4000000000000004</v>
      </c>
      <c r="D14" s="242">
        <v>0.6</v>
      </c>
      <c r="E14" s="238">
        <f t="shared" si="0"/>
        <v>0.6</v>
      </c>
      <c r="F14" s="238"/>
      <c r="G14" s="244">
        <v>1</v>
      </c>
      <c r="H14" s="238">
        <f t="shared" si="2"/>
        <v>1.98</v>
      </c>
      <c r="I14" s="238">
        <f t="shared" si="3"/>
        <v>0.66</v>
      </c>
      <c r="J14" s="238">
        <f t="shared" si="4"/>
        <v>1.5840000000000001</v>
      </c>
      <c r="K14" s="238">
        <f t="shared" si="5"/>
        <v>0.51479999999999992</v>
      </c>
      <c r="L14" s="238">
        <f t="shared" si="6"/>
        <v>3.3000000000000002E-2</v>
      </c>
      <c r="M14" s="245">
        <v>2</v>
      </c>
      <c r="N14" s="238">
        <f t="shared" si="7"/>
        <v>5.28</v>
      </c>
      <c r="O14" s="483">
        <v>19.010000000000002</v>
      </c>
      <c r="P14" s="238">
        <f t="shared" si="8"/>
        <v>0.39600000000000002</v>
      </c>
      <c r="Q14" s="484">
        <v>2.72</v>
      </c>
      <c r="R14" s="246" t="s">
        <v>98</v>
      </c>
      <c r="S14" s="295">
        <f t="shared" si="9"/>
        <v>0</v>
      </c>
      <c r="T14" s="460">
        <f t="shared" si="1"/>
        <v>5.94</v>
      </c>
      <c r="V14" s="296"/>
      <c r="W14" s="297"/>
    </row>
    <row r="15" spans="1:23" s="142" customFormat="1" ht="15" customHeight="1" x14ac:dyDescent="0.2">
      <c r="A15" s="247" t="s">
        <v>1282</v>
      </c>
      <c r="B15" s="242">
        <v>0.5</v>
      </c>
      <c r="C15" s="243">
        <v>4.54</v>
      </c>
      <c r="D15" s="242">
        <v>0.6</v>
      </c>
      <c r="E15" s="238">
        <f t="shared" si="0"/>
        <v>0.6</v>
      </c>
      <c r="F15" s="238"/>
      <c r="G15" s="244">
        <v>1</v>
      </c>
      <c r="H15" s="238">
        <f t="shared" si="2"/>
        <v>2.9964</v>
      </c>
      <c r="I15" s="238">
        <f t="shared" si="3"/>
        <v>2.27</v>
      </c>
      <c r="J15" s="238">
        <f t="shared" si="4"/>
        <v>1.6344000000000001</v>
      </c>
      <c r="K15" s="238">
        <f t="shared" si="5"/>
        <v>1.7706</v>
      </c>
      <c r="L15" s="238">
        <f t="shared" si="6"/>
        <v>0.1135</v>
      </c>
      <c r="M15" s="245">
        <v>2</v>
      </c>
      <c r="N15" s="238">
        <f t="shared" si="7"/>
        <v>5.4479999999999995</v>
      </c>
      <c r="O15" s="483"/>
      <c r="P15" s="238">
        <f t="shared" si="8"/>
        <v>1.3619999999999999</v>
      </c>
      <c r="Q15" s="484"/>
      <c r="R15" s="246" t="s">
        <v>98</v>
      </c>
      <c r="S15" s="295">
        <f t="shared" si="9"/>
        <v>0</v>
      </c>
      <c r="T15" s="460">
        <f t="shared" si="1"/>
        <v>7.718</v>
      </c>
    </row>
    <row r="16" spans="1:23" s="142" customFormat="1" ht="15" customHeight="1" x14ac:dyDescent="0.2">
      <c r="A16" s="247" t="s">
        <v>1283</v>
      </c>
      <c r="B16" s="242">
        <v>0.3</v>
      </c>
      <c r="C16" s="243">
        <v>5.56</v>
      </c>
      <c r="D16" s="242">
        <v>0.6</v>
      </c>
      <c r="E16" s="238">
        <f t="shared" si="0"/>
        <v>0.6</v>
      </c>
      <c r="F16" s="238"/>
      <c r="G16" s="244">
        <v>1</v>
      </c>
      <c r="H16" s="238">
        <f t="shared" si="2"/>
        <v>3.0023999999999993</v>
      </c>
      <c r="I16" s="238">
        <f t="shared" si="3"/>
        <v>1.6679999999999999</v>
      </c>
      <c r="J16" s="238">
        <f t="shared" si="4"/>
        <v>2.0015999999999994</v>
      </c>
      <c r="K16" s="238">
        <f t="shared" si="5"/>
        <v>1.30104</v>
      </c>
      <c r="L16" s="238">
        <f t="shared" si="6"/>
        <v>8.3400000000000002E-2</v>
      </c>
      <c r="M16" s="245">
        <v>2</v>
      </c>
      <c r="N16" s="238">
        <f t="shared" si="7"/>
        <v>6.6719999999999997</v>
      </c>
      <c r="O16" s="483"/>
      <c r="P16" s="238">
        <f t="shared" si="8"/>
        <v>1.0007999999999999</v>
      </c>
      <c r="Q16" s="484"/>
      <c r="R16" s="246" t="s">
        <v>98</v>
      </c>
      <c r="S16" s="295">
        <f t="shared" si="9"/>
        <v>0</v>
      </c>
      <c r="T16" s="460">
        <f t="shared" si="1"/>
        <v>8.34</v>
      </c>
    </row>
    <row r="17" spans="1:23" s="142" customFormat="1" ht="15" customHeight="1" x14ac:dyDescent="0.2">
      <c r="A17" s="247" t="s">
        <v>1284</v>
      </c>
      <c r="B17" s="242">
        <v>0.2</v>
      </c>
      <c r="C17" s="243">
        <v>4.2</v>
      </c>
      <c r="D17" s="242">
        <v>0.6</v>
      </c>
      <c r="E17" s="238">
        <f t="shared" si="0"/>
        <v>0.6</v>
      </c>
      <c r="F17" s="238"/>
      <c r="G17" s="244">
        <v>1</v>
      </c>
      <c r="H17" s="238">
        <f t="shared" si="2"/>
        <v>2.016</v>
      </c>
      <c r="I17" s="238">
        <f t="shared" si="3"/>
        <v>0.84000000000000008</v>
      </c>
      <c r="J17" s="238">
        <f t="shared" si="4"/>
        <v>1.512</v>
      </c>
      <c r="K17" s="238">
        <f t="shared" si="5"/>
        <v>0.6552</v>
      </c>
      <c r="L17" s="238">
        <f t="shared" si="6"/>
        <v>4.200000000000001E-2</v>
      </c>
      <c r="M17" s="245">
        <v>2</v>
      </c>
      <c r="N17" s="238">
        <f t="shared" si="7"/>
        <v>5.04</v>
      </c>
      <c r="O17" s="483"/>
      <c r="P17" s="238">
        <f t="shared" si="8"/>
        <v>0.504</v>
      </c>
      <c r="Q17" s="484"/>
      <c r="R17" s="246" t="s">
        <v>98</v>
      </c>
      <c r="S17" s="295">
        <f t="shared" si="9"/>
        <v>0</v>
      </c>
      <c r="T17" s="460">
        <f t="shared" si="1"/>
        <v>5.88</v>
      </c>
      <c r="V17" s="4"/>
      <c r="W17" s="4"/>
    </row>
    <row r="18" spans="1:23" s="142" customFormat="1" ht="15" customHeight="1" x14ac:dyDescent="0.2">
      <c r="A18" s="247" t="s">
        <v>1285</v>
      </c>
      <c r="B18" s="242">
        <v>0.5</v>
      </c>
      <c r="C18" s="243">
        <v>6.15</v>
      </c>
      <c r="D18" s="242">
        <v>0.6</v>
      </c>
      <c r="E18" s="238">
        <f t="shared" si="0"/>
        <v>0.6</v>
      </c>
      <c r="F18" s="238"/>
      <c r="G18" s="244">
        <v>1</v>
      </c>
      <c r="H18" s="238">
        <f t="shared" si="2"/>
        <v>4.0590000000000002</v>
      </c>
      <c r="I18" s="238">
        <f t="shared" si="3"/>
        <v>3.0750000000000002</v>
      </c>
      <c r="J18" s="238">
        <f t="shared" si="4"/>
        <v>2.2140000000000004</v>
      </c>
      <c r="K18" s="238">
        <f t="shared" si="5"/>
        <v>2.3984999999999999</v>
      </c>
      <c r="L18" s="238">
        <f t="shared" si="6"/>
        <v>0.15375000000000003</v>
      </c>
      <c r="M18" s="245">
        <v>2</v>
      </c>
      <c r="N18" s="238">
        <f t="shared" si="7"/>
        <v>7.38</v>
      </c>
      <c r="O18" s="483">
        <v>21.81</v>
      </c>
      <c r="P18" s="238">
        <f t="shared" si="8"/>
        <v>1.845</v>
      </c>
      <c r="Q18" s="484">
        <v>3.78</v>
      </c>
      <c r="R18" s="246" t="s">
        <v>98</v>
      </c>
      <c r="S18" s="295">
        <f t="shared" si="9"/>
        <v>0</v>
      </c>
      <c r="T18" s="460">
        <f t="shared" si="1"/>
        <v>10.455</v>
      </c>
      <c r="V18" s="4"/>
      <c r="W18" s="4"/>
    </row>
    <row r="19" spans="1:23" s="142" customFormat="1" ht="15" customHeight="1" x14ac:dyDescent="0.2">
      <c r="A19" s="247" t="s">
        <v>1286</v>
      </c>
      <c r="B19" s="242">
        <v>0.14000000000000001</v>
      </c>
      <c r="C19" s="243">
        <v>6.1</v>
      </c>
      <c r="D19" s="242">
        <v>0.5</v>
      </c>
      <c r="E19" s="238">
        <f t="shared" si="0"/>
        <v>0.6</v>
      </c>
      <c r="F19" s="238"/>
      <c r="G19" s="244">
        <v>1</v>
      </c>
      <c r="H19" s="238">
        <f t="shared" si="2"/>
        <v>2.2569999999999997</v>
      </c>
      <c r="I19" s="238">
        <f t="shared" si="3"/>
        <v>0.85399999999999998</v>
      </c>
      <c r="J19" s="238">
        <f t="shared" si="4"/>
        <v>1.8299999999999996</v>
      </c>
      <c r="K19" s="238">
        <f t="shared" si="5"/>
        <v>0.55510000000000004</v>
      </c>
      <c r="L19" s="238">
        <f t="shared" si="6"/>
        <v>4.2700000000000002E-2</v>
      </c>
      <c r="M19" s="245">
        <v>2</v>
      </c>
      <c r="N19" s="238">
        <f t="shared" si="7"/>
        <v>6.1</v>
      </c>
      <c r="O19" s="483"/>
      <c r="P19" s="238">
        <f t="shared" si="8"/>
        <v>0.42699999999999999</v>
      </c>
      <c r="Q19" s="484"/>
      <c r="R19" s="246" t="s">
        <v>98</v>
      </c>
      <c r="S19" s="295">
        <f t="shared" si="9"/>
        <v>0</v>
      </c>
      <c r="T19" s="460">
        <f t="shared" si="1"/>
        <v>6.9539999999999997</v>
      </c>
      <c r="V19" s="4"/>
      <c r="W19" s="4"/>
    </row>
    <row r="20" spans="1:23" s="142" customFormat="1" ht="15" customHeight="1" x14ac:dyDescent="0.2">
      <c r="A20" s="247" t="s">
        <v>1287</v>
      </c>
      <c r="B20" s="242">
        <v>0.5</v>
      </c>
      <c r="C20" s="243">
        <v>6.15</v>
      </c>
      <c r="D20" s="242">
        <v>0.6</v>
      </c>
      <c r="E20" s="238">
        <f t="shared" si="0"/>
        <v>0.6</v>
      </c>
      <c r="F20" s="238"/>
      <c r="G20" s="244">
        <v>1</v>
      </c>
      <c r="H20" s="238">
        <f t="shared" ref="H20:H25" si="10">((B20+E20)*(D20+F20)*C20)*G20</f>
        <v>4.0590000000000002</v>
      </c>
      <c r="I20" s="238">
        <f t="shared" ref="I20:I25" si="11">(B20)*(C20)*G20</f>
        <v>3.0750000000000002</v>
      </c>
      <c r="J20" s="238">
        <f t="shared" ref="J20:J25" si="12">H20-P20</f>
        <v>2.2140000000000004</v>
      </c>
      <c r="K20" s="238">
        <f t="shared" ref="K20:K25" si="13">(H20-J20)*1.3</f>
        <v>2.3984999999999999</v>
      </c>
      <c r="L20" s="238">
        <f t="shared" ref="L20:L25" si="14">I20*$L$7</f>
        <v>0.15375000000000003</v>
      </c>
      <c r="M20" s="245">
        <v>2</v>
      </c>
      <c r="N20" s="238">
        <f t="shared" ref="N20:N25" si="15">((C20*D20*M20))*G20</f>
        <v>7.38</v>
      </c>
      <c r="O20" s="483"/>
      <c r="P20" s="238">
        <f t="shared" ref="P20:P25" si="16">B20*D20*C20*G20</f>
        <v>1.845</v>
      </c>
      <c r="Q20" s="484"/>
      <c r="R20" s="246" t="s">
        <v>98</v>
      </c>
      <c r="S20" s="295">
        <f t="shared" ref="S20:S25" si="17">P20*$S$7</f>
        <v>0</v>
      </c>
      <c r="T20" s="460">
        <f t="shared" si="1"/>
        <v>10.455</v>
      </c>
      <c r="V20" s="296"/>
      <c r="W20" s="297"/>
    </row>
    <row r="21" spans="1:23" s="142" customFormat="1" ht="15" customHeight="1" x14ac:dyDescent="0.2">
      <c r="A21" s="247" t="s">
        <v>1288</v>
      </c>
      <c r="B21" s="242">
        <v>0.5</v>
      </c>
      <c r="C21" s="243">
        <v>4.54</v>
      </c>
      <c r="D21" s="242">
        <v>0.6</v>
      </c>
      <c r="E21" s="238">
        <f t="shared" si="0"/>
        <v>0.6</v>
      </c>
      <c r="F21" s="238"/>
      <c r="G21" s="244">
        <v>1</v>
      </c>
      <c r="H21" s="238">
        <f t="shared" si="10"/>
        <v>2.9964</v>
      </c>
      <c r="I21" s="238">
        <f t="shared" si="11"/>
        <v>2.27</v>
      </c>
      <c r="J21" s="238">
        <f t="shared" si="12"/>
        <v>1.6344000000000001</v>
      </c>
      <c r="K21" s="238">
        <f t="shared" si="13"/>
        <v>1.7706</v>
      </c>
      <c r="L21" s="238">
        <f t="shared" si="14"/>
        <v>0.1135</v>
      </c>
      <c r="M21" s="245">
        <v>2</v>
      </c>
      <c r="N21" s="238">
        <f t="shared" si="15"/>
        <v>5.4479999999999995</v>
      </c>
      <c r="O21" s="483">
        <v>24.83</v>
      </c>
      <c r="P21" s="238">
        <f t="shared" si="16"/>
        <v>1.3619999999999999</v>
      </c>
      <c r="Q21" s="484">
        <v>2.38</v>
      </c>
      <c r="R21" s="246" t="s">
        <v>98</v>
      </c>
      <c r="S21" s="295">
        <f t="shared" si="17"/>
        <v>0</v>
      </c>
      <c r="T21" s="460">
        <f t="shared" si="1"/>
        <v>7.718</v>
      </c>
    </row>
    <row r="22" spans="1:23" s="142" customFormat="1" ht="15" customHeight="1" x14ac:dyDescent="0.2">
      <c r="A22" s="247" t="s">
        <v>1289</v>
      </c>
      <c r="B22" s="242">
        <v>0.14000000000000001</v>
      </c>
      <c r="C22" s="243">
        <v>2.25</v>
      </c>
      <c r="D22" s="242">
        <v>1.9</v>
      </c>
      <c r="E22" s="238">
        <f t="shared" si="0"/>
        <v>1.2</v>
      </c>
      <c r="F22" s="238"/>
      <c r="G22" s="244">
        <v>1</v>
      </c>
      <c r="H22" s="238">
        <f t="shared" si="10"/>
        <v>5.7284999999999995</v>
      </c>
      <c r="I22" s="238">
        <f t="shared" si="11"/>
        <v>0.31500000000000006</v>
      </c>
      <c r="J22" s="238">
        <f t="shared" si="12"/>
        <v>5.129999999999999</v>
      </c>
      <c r="K22" s="238">
        <f t="shared" si="13"/>
        <v>0.77805000000000069</v>
      </c>
      <c r="L22" s="238">
        <f t="shared" si="14"/>
        <v>1.5750000000000004E-2</v>
      </c>
      <c r="M22" s="245">
        <v>2</v>
      </c>
      <c r="N22" s="238">
        <f t="shared" si="15"/>
        <v>8.5499999999999989</v>
      </c>
      <c r="O22" s="483"/>
      <c r="P22" s="238">
        <f t="shared" si="16"/>
        <v>0.59850000000000003</v>
      </c>
      <c r="Q22" s="484"/>
      <c r="R22" s="246" t="s">
        <v>98</v>
      </c>
      <c r="S22" s="295">
        <f t="shared" si="17"/>
        <v>0</v>
      </c>
      <c r="T22" s="460">
        <f t="shared" si="1"/>
        <v>8.8649999999999984</v>
      </c>
    </row>
    <row r="23" spans="1:23" s="142" customFormat="1" ht="15" customHeight="1" x14ac:dyDescent="0.2">
      <c r="A23" s="247" t="s">
        <v>1290</v>
      </c>
      <c r="B23" s="242">
        <v>0.14000000000000001</v>
      </c>
      <c r="C23" s="243">
        <v>2.34</v>
      </c>
      <c r="D23" s="242">
        <v>0.5</v>
      </c>
      <c r="E23" s="238">
        <f t="shared" si="0"/>
        <v>0.6</v>
      </c>
      <c r="F23" s="238"/>
      <c r="G23" s="244">
        <v>1</v>
      </c>
      <c r="H23" s="238">
        <f t="shared" si="10"/>
        <v>0.8657999999999999</v>
      </c>
      <c r="I23" s="238">
        <f t="shared" si="11"/>
        <v>0.3276</v>
      </c>
      <c r="J23" s="238">
        <f t="shared" si="12"/>
        <v>0.70199999999999996</v>
      </c>
      <c r="K23" s="238">
        <f t="shared" si="13"/>
        <v>0.21293999999999993</v>
      </c>
      <c r="L23" s="238">
        <f t="shared" si="14"/>
        <v>1.6380000000000002E-2</v>
      </c>
      <c r="M23" s="245">
        <v>2</v>
      </c>
      <c r="N23" s="238">
        <f t="shared" si="15"/>
        <v>2.34</v>
      </c>
      <c r="O23" s="483"/>
      <c r="P23" s="238">
        <f t="shared" si="16"/>
        <v>0.1638</v>
      </c>
      <c r="Q23" s="484"/>
      <c r="R23" s="246" t="s">
        <v>98</v>
      </c>
      <c r="S23" s="295">
        <f t="shared" si="17"/>
        <v>0</v>
      </c>
      <c r="T23" s="460">
        <f t="shared" si="1"/>
        <v>2.6675999999999997</v>
      </c>
      <c r="V23" s="4"/>
      <c r="W23" s="4"/>
    </row>
    <row r="24" spans="1:23" s="142" customFormat="1" ht="15" customHeight="1" x14ac:dyDescent="0.2">
      <c r="A24" s="247" t="s">
        <v>1291</v>
      </c>
      <c r="B24" s="242">
        <v>0.14000000000000001</v>
      </c>
      <c r="C24" s="243">
        <v>4</v>
      </c>
      <c r="D24" s="242">
        <v>0.5</v>
      </c>
      <c r="E24" s="238">
        <f t="shared" si="0"/>
        <v>0.6</v>
      </c>
      <c r="F24" s="238"/>
      <c r="G24" s="244">
        <v>1</v>
      </c>
      <c r="H24" s="238">
        <f t="shared" si="10"/>
        <v>1.48</v>
      </c>
      <c r="I24" s="238">
        <f t="shared" si="11"/>
        <v>0.56000000000000005</v>
      </c>
      <c r="J24" s="238">
        <f t="shared" si="12"/>
        <v>1.2</v>
      </c>
      <c r="K24" s="238">
        <f t="shared" si="13"/>
        <v>0.36400000000000005</v>
      </c>
      <c r="L24" s="238">
        <f t="shared" si="14"/>
        <v>2.8000000000000004E-2</v>
      </c>
      <c r="M24" s="245">
        <v>2</v>
      </c>
      <c r="N24" s="238">
        <f t="shared" si="15"/>
        <v>4</v>
      </c>
      <c r="O24" s="483"/>
      <c r="P24" s="238">
        <f t="shared" si="16"/>
        <v>0.28000000000000003</v>
      </c>
      <c r="Q24" s="484"/>
      <c r="R24" s="246" t="s">
        <v>98</v>
      </c>
      <c r="S24" s="295">
        <f t="shared" si="17"/>
        <v>0</v>
      </c>
      <c r="T24" s="460">
        <f t="shared" si="1"/>
        <v>4.5600000000000005</v>
      </c>
      <c r="V24" s="4"/>
      <c r="W24" s="4"/>
    </row>
    <row r="25" spans="1:23" s="142" customFormat="1" ht="15" customHeight="1" x14ac:dyDescent="0.2">
      <c r="A25" s="247" t="s">
        <v>1292</v>
      </c>
      <c r="B25" s="242">
        <v>0.14000000000000001</v>
      </c>
      <c r="C25" s="243">
        <v>2.25</v>
      </c>
      <c r="D25" s="242">
        <v>1.9</v>
      </c>
      <c r="E25" s="238">
        <f t="shared" si="0"/>
        <v>1.2</v>
      </c>
      <c r="F25" s="238"/>
      <c r="G25" s="244">
        <v>1</v>
      </c>
      <c r="H25" s="238">
        <f t="shared" si="10"/>
        <v>5.7284999999999995</v>
      </c>
      <c r="I25" s="238">
        <f t="shared" si="11"/>
        <v>0.31500000000000006</v>
      </c>
      <c r="J25" s="238">
        <f t="shared" si="12"/>
        <v>5.129999999999999</v>
      </c>
      <c r="K25" s="238">
        <f t="shared" si="13"/>
        <v>0.77805000000000069</v>
      </c>
      <c r="L25" s="238">
        <f t="shared" si="14"/>
        <v>1.5750000000000004E-2</v>
      </c>
      <c r="M25" s="245">
        <v>2</v>
      </c>
      <c r="N25" s="238">
        <f t="shared" si="15"/>
        <v>8.5499999999999989</v>
      </c>
      <c r="O25" s="483"/>
      <c r="P25" s="238">
        <f t="shared" si="16"/>
        <v>0.59850000000000003</v>
      </c>
      <c r="Q25" s="484"/>
      <c r="R25" s="246" t="s">
        <v>98</v>
      </c>
      <c r="S25" s="295">
        <f t="shared" si="17"/>
        <v>0</v>
      </c>
      <c r="T25" s="460">
        <f t="shared" si="1"/>
        <v>8.8649999999999984</v>
      </c>
      <c r="V25" s="4"/>
      <c r="W25" s="4"/>
    </row>
    <row r="26" spans="1:23" s="142" customFormat="1" ht="15" customHeight="1" x14ac:dyDescent="0.2">
      <c r="A26" s="247" t="s">
        <v>1293</v>
      </c>
      <c r="B26" s="242">
        <v>0.15</v>
      </c>
      <c r="C26" s="243">
        <v>3.71</v>
      </c>
      <c r="D26" s="242">
        <v>0.6</v>
      </c>
      <c r="E26" s="238">
        <f t="shared" si="0"/>
        <v>0.6</v>
      </c>
      <c r="F26" s="238"/>
      <c r="G26" s="244">
        <v>1</v>
      </c>
      <c r="H26" s="238">
        <f t="shared" si="2"/>
        <v>1.6694999999999998</v>
      </c>
      <c r="I26" s="238">
        <f t="shared" si="3"/>
        <v>0.55649999999999999</v>
      </c>
      <c r="J26" s="238">
        <f t="shared" si="4"/>
        <v>1.3355999999999999</v>
      </c>
      <c r="K26" s="238">
        <f t="shared" si="5"/>
        <v>0.43406999999999984</v>
      </c>
      <c r="L26" s="238">
        <f t="shared" si="6"/>
        <v>2.7825000000000003E-2</v>
      </c>
      <c r="M26" s="245">
        <v>2</v>
      </c>
      <c r="N26" s="238">
        <f t="shared" si="7"/>
        <v>4.452</v>
      </c>
      <c r="O26" s="483">
        <v>17.440000000000001</v>
      </c>
      <c r="P26" s="238">
        <f t="shared" si="8"/>
        <v>0.33389999999999997</v>
      </c>
      <c r="Q26" s="484">
        <v>3.11</v>
      </c>
      <c r="R26" s="246" t="s">
        <v>98</v>
      </c>
      <c r="S26" s="295">
        <f t="shared" si="9"/>
        <v>0</v>
      </c>
      <c r="T26" s="460">
        <f t="shared" si="1"/>
        <v>5.0084999999999997</v>
      </c>
      <c r="V26" s="296"/>
      <c r="W26" s="297"/>
    </row>
    <row r="27" spans="1:23" s="142" customFormat="1" ht="15" customHeight="1" x14ac:dyDescent="0.2">
      <c r="A27" s="247" t="s">
        <v>1294</v>
      </c>
      <c r="B27" s="242">
        <v>0.5</v>
      </c>
      <c r="C27" s="243">
        <v>6.5</v>
      </c>
      <c r="D27" s="242">
        <v>0.6</v>
      </c>
      <c r="E27" s="238">
        <f t="shared" si="0"/>
        <v>0.6</v>
      </c>
      <c r="F27" s="238"/>
      <c r="G27" s="244">
        <v>1</v>
      </c>
      <c r="H27" s="238">
        <f t="shared" si="2"/>
        <v>4.29</v>
      </c>
      <c r="I27" s="238">
        <f t="shared" si="3"/>
        <v>3.25</v>
      </c>
      <c r="J27" s="238">
        <f t="shared" si="4"/>
        <v>2.34</v>
      </c>
      <c r="K27" s="238">
        <f t="shared" si="5"/>
        <v>2.5350000000000001</v>
      </c>
      <c r="L27" s="238">
        <f t="shared" si="6"/>
        <v>0.16250000000000001</v>
      </c>
      <c r="M27" s="245">
        <v>2</v>
      </c>
      <c r="N27" s="238">
        <f t="shared" si="7"/>
        <v>7.8</v>
      </c>
      <c r="O27" s="483"/>
      <c r="P27" s="238">
        <f t="shared" si="8"/>
        <v>1.95</v>
      </c>
      <c r="Q27" s="484"/>
      <c r="R27" s="246" t="s">
        <v>98</v>
      </c>
      <c r="S27" s="295">
        <f t="shared" si="9"/>
        <v>0</v>
      </c>
      <c r="T27" s="460">
        <f t="shared" si="1"/>
        <v>11.05</v>
      </c>
    </row>
    <row r="28" spans="1:23" s="142" customFormat="1" ht="15" customHeight="1" x14ac:dyDescent="0.2">
      <c r="A28" s="247" t="s">
        <v>1295</v>
      </c>
      <c r="B28" s="242">
        <v>0.5</v>
      </c>
      <c r="C28" s="243">
        <v>4.54</v>
      </c>
      <c r="D28" s="242">
        <v>0.6</v>
      </c>
      <c r="E28" s="238">
        <f t="shared" si="0"/>
        <v>0.6</v>
      </c>
      <c r="F28" s="238"/>
      <c r="G28" s="244">
        <v>1</v>
      </c>
      <c r="H28" s="238">
        <f t="shared" si="2"/>
        <v>2.9964</v>
      </c>
      <c r="I28" s="238">
        <f t="shared" si="3"/>
        <v>2.27</v>
      </c>
      <c r="J28" s="238">
        <f t="shared" si="4"/>
        <v>1.6344000000000001</v>
      </c>
      <c r="K28" s="238">
        <f t="shared" si="5"/>
        <v>1.7706</v>
      </c>
      <c r="L28" s="238">
        <f t="shared" si="6"/>
        <v>0.1135</v>
      </c>
      <c r="M28" s="245">
        <v>2</v>
      </c>
      <c r="N28" s="238">
        <f t="shared" si="7"/>
        <v>5.4479999999999995</v>
      </c>
      <c r="O28" s="483"/>
      <c r="P28" s="238">
        <f t="shared" si="8"/>
        <v>1.3619999999999999</v>
      </c>
      <c r="Q28" s="484"/>
      <c r="R28" s="246" t="s">
        <v>98</v>
      </c>
      <c r="S28" s="295">
        <f t="shared" si="9"/>
        <v>0</v>
      </c>
      <c r="T28" s="460">
        <f t="shared" si="1"/>
        <v>7.718</v>
      </c>
    </row>
    <row r="29" spans="1:23" s="142" customFormat="1" ht="15" customHeight="1" x14ac:dyDescent="0.2">
      <c r="A29" s="247" t="s">
        <v>1296</v>
      </c>
      <c r="B29" s="242">
        <v>0.5</v>
      </c>
      <c r="C29" s="243">
        <v>5.1349999999999998</v>
      </c>
      <c r="D29" s="242">
        <v>0.6</v>
      </c>
      <c r="E29" s="238">
        <f t="shared" si="0"/>
        <v>0.6</v>
      </c>
      <c r="F29" s="238"/>
      <c r="G29" s="244">
        <v>1</v>
      </c>
      <c r="H29" s="238">
        <f t="shared" si="2"/>
        <v>3.3891</v>
      </c>
      <c r="I29" s="238">
        <f t="shared" si="3"/>
        <v>2.5674999999999999</v>
      </c>
      <c r="J29" s="238">
        <f t="shared" si="4"/>
        <v>1.8486</v>
      </c>
      <c r="K29" s="238">
        <f t="shared" si="5"/>
        <v>2.00265</v>
      </c>
      <c r="L29" s="238">
        <f t="shared" si="6"/>
        <v>0.12837499999999999</v>
      </c>
      <c r="M29" s="245">
        <v>2</v>
      </c>
      <c r="N29" s="238">
        <f t="shared" si="7"/>
        <v>6.1619999999999999</v>
      </c>
      <c r="O29" s="483">
        <v>27.62</v>
      </c>
      <c r="P29" s="238">
        <f t="shared" si="8"/>
        <v>1.5405</v>
      </c>
      <c r="Q29" s="484">
        <v>4.28</v>
      </c>
      <c r="R29" s="246" t="s">
        <v>98</v>
      </c>
      <c r="S29" s="295">
        <f t="shared" si="9"/>
        <v>0</v>
      </c>
      <c r="T29" s="460">
        <f t="shared" si="1"/>
        <v>8.7294999999999998</v>
      </c>
      <c r="V29" s="4"/>
      <c r="W29" s="4"/>
    </row>
    <row r="30" spans="1:23" s="142" customFormat="1" ht="15" customHeight="1" x14ac:dyDescent="0.2">
      <c r="A30" s="247" t="s">
        <v>1297</v>
      </c>
      <c r="B30" s="242">
        <v>0.2</v>
      </c>
      <c r="C30" s="243">
        <v>15.725</v>
      </c>
      <c r="D30" s="242">
        <v>0.5</v>
      </c>
      <c r="E30" s="238">
        <f t="shared" si="0"/>
        <v>0.6</v>
      </c>
      <c r="F30" s="238"/>
      <c r="G30" s="244">
        <v>1</v>
      </c>
      <c r="H30" s="238">
        <f t="shared" si="2"/>
        <v>6.29</v>
      </c>
      <c r="I30" s="238">
        <f t="shared" si="3"/>
        <v>3.145</v>
      </c>
      <c r="J30" s="238">
        <f t="shared" si="4"/>
        <v>4.7175000000000002</v>
      </c>
      <c r="K30" s="238">
        <f t="shared" si="5"/>
        <v>2.0442499999999999</v>
      </c>
      <c r="L30" s="238">
        <f t="shared" si="6"/>
        <v>0.15725</v>
      </c>
      <c r="M30" s="245">
        <v>2</v>
      </c>
      <c r="N30" s="238">
        <f t="shared" si="7"/>
        <v>15.725</v>
      </c>
      <c r="O30" s="483"/>
      <c r="P30" s="238">
        <f t="shared" si="8"/>
        <v>1.5725</v>
      </c>
      <c r="Q30" s="484"/>
      <c r="R30" s="246" t="s">
        <v>98</v>
      </c>
      <c r="S30" s="295">
        <f t="shared" si="9"/>
        <v>0</v>
      </c>
      <c r="T30" s="460">
        <f t="shared" si="1"/>
        <v>18.87</v>
      </c>
      <c r="V30" s="4"/>
      <c r="W30" s="4"/>
    </row>
    <row r="31" spans="1:23" s="142" customFormat="1" ht="15" customHeight="1" x14ac:dyDescent="0.2">
      <c r="A31" s="247" t="s">
        <v>1298</v>
      </c>
      <c r="B31" s="242">
        <v>0.5</v>
      </c>
      <c r="C31" s="243">
        <v>5.4</v>
      </c>
      <c r="D31" s="242">
        <v>0.6</v>
      </c>
      <c r="E31" s="238">
        <f t="shared" si="0"/>
        <v>0.6</v>
      </c>
      <c r="F31" s="238"/>
      <c r="G31" s="244">
        <v>1</v>
      </c>
      <c r="H31" s="238">
        <f t="shared" si="2"/>
        <v>3.5640000000000005</v>
      </c>
      <c r="I31" s="238">
        <f t="shared" si="3"/>
        <v>2.7</v>
      </c>
      <c r="J31" s="238">
        <f t="shared" si="4"/>
        <v>1.9440000000000004</v>
      </c>
      <c r="K31" s="238">
        <f t="shared" si="5"/>
        <v>2.1060000000000003</v>
      </c>
      <c r="L31" s="238">
        <f t="shared" si="6"/>
        <v>0.13500000000000001</v>
      </c>
      <c r="M31" s="245">
        <v>2</v>
      </c>
      <c r="N31" s="238">
        <f t="shared" si="7"/>
        <v>6.48</v>
      </c>
      <c r="O31" s="483"/>
      <c r="P31" s="238">
        <f t="shared" si="8"/>
        <v>1.62</v>
      </c>
      <c r="Q31" s="484"/>
      <c r="R31" s="246" t="s">
        <v>98</v>
      </c>
      <c r="S31" s="295">
        <f t="shared" si="9"/>
        <v>0</v>
      </c>
      <c r="T31" s="460">
        <f t="shared" si="1"/>
        <v>9.18</v>
      </c>
      <c r="V31" s="4"/>
      <c r="W31" s="4"/>
    </row>
    <row r="32" spans="1:23" s="142" customFormat="1" ht="15" customHeight="1" x14ac:dyDescent="0.2">
      <c r="A32" s="247" t="s">
        <v>1299</v>
      </c>
      <c r="B32" s="242">
        <v>0.5</v>
      </c>
      <c r="C32" s="243">
        <v>5.1349999999999998</v>
      </c>
      <c r="D32" s="242">
        <v>0.6</v>
      </c>
      <c r="E32" s="238">
        <f t="shared" si="0"/>
        <v>0.6</v>
      </c>
      <c r="F32" s="238"/>
      <c r="G32" s="244">
        <v>1</v>
      </c>
      <c r="H32" s="238">
        <f t="shared" ref="H32:H37" si="18">((B32+E32)*(D32+F32)*C32)*G32</f>
        <v>3.3891</v>
      </c>
      <c r="I32" s="238">
        <f t="shared" ref="I32:I37" si="19">(B32)*(C32)*G32</f>
        <v>2.5674999999999999</v>
      </c>
      <c r="J32" s="238">
        <f t="shared" ref="J32:J37" si="20">H32-P32</f>
        <v>1.8486</v>
      </c>
      <c r="K32" s="238">
        <f t="shared" ref="K32:K37" si="21">(H32-J32)*1.3</f>
        <v>2.00265</v>
      </c>
      <c r="L32" s="238">
        <f t="shared" ref="L32:L37" si="22">I32*$L$7</f>
        <v>0.12837499999999999</v>
      </c>
      <c r="M32" s="245">
        <v>2</v>
      </c>
      <c r="N32" s="238">
        <f t="shared" ref="N32:N37" si="23">((C32*D32*M32))*G32</f>
        <v>6.1619999999999999</v>
      </c>
      <c r="O32" s="483">
        <v>30.18</v>
      </c>
      <c r="P32" s="238">
        <f t="shared" ref="P32:P37" si="24">B32*D32*C32*G32</f>
        <v>1.5405</v>
      </c>
      <c r="Q32" s="484">
        <v>4.28</v>
      </c>
      <c r="R32" s="246" t="s">
        <v>98</v>
      </c>
      <c r="S32" s="295">
        <f t="shared" ref="S32:S37" si="25">P32*$S$7</f>
        <v>0</v>
      </c>
      <c r="T32" s="460">
        <f t="shared" si="1"/>
        <v>8.7294999999999998</v>
      </c>
      <c r="V32" s="296"/>
      <c r="W32" s="297"/>
    </row>
    <row r="33" spans="1:23" s="142" customFormat="1" ht="15" customHeight="1" x14ac:dyDescent="0.2">
      <c r="A33" s="247" t="s">
        <v>1300</v>
      </c>
      <c r="B33" s="242">
        <v>0.2</v>
      </c>
      <c r="C33" s="243">
        <v>15.725</v>
      </c>
      <c r="D33" s="242">
        <v>0.5</v>
      </c>
      <c r="E33" s="238">
        <f t="shared" si="0"/>
        <v>0.6</v>
      </c>
      <c r="F33" s="238"/>
      <c r="G33" s="244">
        <v>1</v>
      </c>
      <c r="H33" s="238">
        <f t="shared" si="18"/>
        <v>6.29</v>
      </c>
      <c r="I33" s="238">
        <f t="shared" si="19"/>
        <v>3.145</v>
      </c>
      <c r="J33" s="238">
        <f t="shared" si="20"/>
        <v>4.7175000000000002</v>
      </c>
      <c r="K33" s="238">
        <f t="shared" si="21"/>
        <v>2.0442499999999999</v>
      </c>
      <c r="L33" s="238">
        <f t="shared" si="22"/>
        <v>0.15725</v>
      </c>
      <c r="M33" s="245">
        <v>2</v>
      </c>
      <c r="N33" s="238">
        <f t="shared" si="23"/>
        <v>15.725</v>
      </c>
      <c r="O33" s="483"/>
      <c r="P33" s="238">
        <f t="shared" si="24"/>
        <v>1.5725</v>
      </c>
      <c r="Q33" s="484"/>
      <c r="R33" s="246" t="s">
        <v>98</v>
      </c>
      <c r="S33" s="295">
        <f t="shared" si="25"/>
        <v>0</v>
      </c>
      <c r="T33" s="460">
        <f t="shared" si="1"/>
        <v>18.87</v>
      </c>
    </row>
    <row r="34" spans="1:23" s="142" customFormat="1" ht="15" customHeight="1" x14ac:dyDescent="0.2">
      <c r="A34" s="247" t="s">
        <v>1301</v>
      </c>
      <c r="B34" s="242">
        <v>0.5</v>
      </c>
      <c r="C34" s="243">
        <v>5.4</v>
      </c>
      <c r="D34" s="242">
        <v>0.6</v>
      </c>
      <c r="E34" s="238">
        <f t="shared" si="0"/>
        <v>0.6</v>
      </c>
      <c r="F34" s="238"/>
      <c r="G34" s="244">
        <v>1</v>
      </c>
      <c r="H34" s="238">
        <f t="shared" si="18"/>
        <v>3.5640000000000005</v>
      </c>
      <c r="I34" s="238">
        <f t="shared" si="19"/>
        <v>2.7</v>
      </c>
      <c r="J34" s="238">
        <f t="shared" si="20"/>
        <v>1.9440000000000004</v>
      </c>
      <c r="K34" s="238">
        <f t="shared" si="21"/>
        <v>2.1060000000000003</v>
      </c>
      <c r="L34" s="238">
        <f t="shared" si="22"/>
        <v>0.13500000000000001</v>
      </c>
      <c r="M34" s="245">
        <v>2</v>
      </c>
      <c r="N34" s="238">
        <f t="shared" si="23"/>
        <v>6.48</v>
      </c>
      <c r="O34" s="483"/>
      <c r="P34" s="238">
        <f t="shared" si="24"/>
        <v>1.62</v>
      </c>
      <c r="Q34" s="484"/>
      <c r="R34" s="246" t="s">
        <v>98</v>
      </c>
      <c r="S34" s="295">
        <f t="shared" si="25"/>
        <v>0</v>
      </c>
      <c r="T34" s="460">
        <f t="shared" si="1"/>
        <v>9.18</v>
      </c>
    </row>
    <row r="35" spans="1:23" s="142" customFormat="1" ht="15" customHeight="1" x14ac:dyDescent="0.2">
      <c r="A35" s="247" t="s">
        <v>1302</v>
      </c>
      <c r="B35" s="242">
        <v>0.2</v>
      </c>
      <c r="C35" s="243">
        <v>3.6</v>
      </c>
      <c r="D35" s="242">
        <v>0.6</v>
      </c>
      <c r="E35" s="238">
        <f t="shared" si="0"/>
        <v>0.6</v>
      </c>
      <c r="F35" s="238"/>
      <c r="G35" s="244">
        <v>1</v>
      </c>
      <c r="H35" s="238">
        <f t="shared" si="18"/>
        <v>1.728</v>
      </c>
      <c r="I35" s="238">
        <f t="shared" si="19"/>
        <v>0.72000000000000008</v>
      </c>
      <c r="J35" s="238">
        <f t="shared" si="20"/>
        <v>1.296</v>
      </c>
      <c r="K35" s="238">
        <f t="shared" si="21"/>
        <v>0.56159999999999999</v>
      </c>
      <c r="L35" s="238">
        <f t="shared" si="22"/>
        <v>3.6000000000000004E-2</v>
      </c>
      <c r="M35" s="245">
        <v>2</v>
      </c>
      <c r="N35" s="238">
        <f t="shared" si="23"/>
        <v>4.32</v>
      </c>
      <c r="O35" s="483">
        <v>44.87</v>
      </c>
      <c r="P35" s="238">
        <f t="shared" si="24"/>
        <v>0.432</v>
      </c>
      <c r="Q35" s="484">
        <v>3.89</v>
      </c>
      <c r="R35" s="246" t="s">
        <v>98</v>
      </c>
      <c r="S35" s="295">
        <f t="shared" si="25"/>
        <v>0</v>
      </c>
      <c r="T35" s="460">
        <f t="shared" si="1"/>
        <v>5.04</v>
      </c>
      <c r="V35" s="4"/>
      <c r="W35" s="4"/>
    </row>
    <row r="36" spans="1:23" s="142" customFormat="1" ht="15" customHeight="1" x14ac:dyDescent="0.2">
      <c r="A36" s="247" t="s">
        <v>1303</v>
      </c>
      <c r="B36" s="242">
        <v>0.2</v>
      </c>
      <c r="C36" s="243">
        <v>10.95</v>
      </c>
      <c r="D36" s="242">
        <v>0.6</v>
      </c>
      <c r="E36" s="238">
        <f t="shared" si="0"/>
        <v>0.6</v>
      </c>
      <c r="F36" s="238"/>
      <c r="G36" s="244">
        <v>1</v>
      </c>
      <c r="H36" s="238">
        <f t="shared" si="18"/>
        <v>5.2559999999999993</v>
      </c>
      <c r="I36" s="238">
        <f t="shared" si="19"/>
        <v>2.19</v>
      </c>
      <c r="J36" s="238">
        <f t="shared" si="20"/>
        <v>3.9419999999999993</v>
      </c>
      <c r="K36" s="238">
        <f t="shared" si="21"/>
        <v>1.7082000000000002</v>
      </c>
      <c r="L36" s="238">
        <f t="shared" si="22"/>
        <v>0.1095</v>
      </c>
      <c r="M36" s="245">
        <v>2</v>
      </c>
      <c r="N36" s="238">
        <f t="shared" si="23"/>
        <v>13.139999999999999</v>
      </c>
      <c r="O36" s="483"/>
      <c r="P36" s="238">
        <f t="shared" si="24"/>
        <v>1.3139999999999998</v>
      </c>
      <c r="Q36" s="484"/>
      <c r="R36" s="246" t="s">
        <v>98</v>
      </c>
      <c r="S36" s="295">
        <f t="shared" si="25"/>
        <v>0</v>
      </c>
      <c r="T36" s="460">
        <f t="shared" si="1"/>
        <v>15.329999999999998</v>
      </c>
      <c r="V36" s="4"/>
      <c r="W36" s="4"/>
    </row>
    <row r="37" spans="1:23" s="142" customFormat="1" ht="15" customHeight="1" x14ac:dyDescent="0.2">
      <c r="A37" s="247" t="s">
        <v>1304</v>
      </c>
      <c r="B37" s="242">
        <v>0.2</v>
      </c>
      <c r="C37" s="243">
        <v>10.4</v>
      </c>
      <c r="D37" s="242">
        <v>0.6</v>
      </c>
      <c r="E37" s="238">
        <f t="shared" si="0"/>
        <v>0.6</v>
      </c>
      <c r="F37" s="238"/>
      <c r="G37" s="244">
        <v>1</v>
      </c>
      <c r="H37" s="238">
        <f t="shared" si="18"/>
        <v>4.992</v>
      </c>
      <c r="I37" s="238">
        <f t="shared" si="19"/>
        <v>2.08</v>
      </c>
      <c r="J37" s="238">
        <f t="shared" si="20"/>
        <v>3.7439999999999998</v>
      </c>
      <c r="K37" s="238">
        <f t="shared" si="21"/>
        <v>1.6224000000000003</v>
      </c>
      <c r="L37" s="238">
        <f t="shared" si="22"/>
        <v>0.10400000000000001</v>
      </c>
      <c r="M37" s="245">
        <v>2</v>
      </c>
      <c r="N37" s="238">
        <f t="shared" si="23"/>
        <v>12.48</v>
      </c>
      <c r="O37" s="483"/>
      <c r="P37" s="238">
        <f t="shared" si="24"/>
        <v>1.248</v>
      </c>
      <c r="Q37" s="484"/>
      <c r="R37" s="246" t="s">
        <v>98</v>
      </c>
      <c r="S37" s="295">
        <f t="shared" si="25"/>
        <v>0</v>
      </c>
      <c r="T37" s="460">
        <f t="shared" si="1"/>
        <v>14.56</v>
      </c>
      <c r="V37" s="4"/>
      <c r="W37" s="4"/>
    </row>
    <row r="38" spans="1:23" s="142" customFormat="1" ht="15" customHeight="1" x14ac:dyDescent="0.2">
      <c r="A38" s="247" t="s">
        <v>1305</v>
      </c>
      <c r="B38" s="242">
        <v>0.15</v>
      </c>
      <c r="C38" s="243">
        <v>3.6</v>
      </c>
      <c r="D38" s="242">
        <v>0.6</v>
      </c>
      <c r="E38" s="238">
        <f t="shared" si="0"/>
        <v>0.6</v>
      </c>
      <c r="F38" s="238"/>
      <c r="G38" s="244">
        <v>1</v>
      </c>
      <c r="H38" s="238">
        <f t="shared" si="2"/>
        <v>1.6199999999999999</v>
      </c>
      <c r="I38" s="238">
        <f t="shared" si="3"/>
        <v>0.54</v>
      </c>
      <c r="J38" s="238">
        <f t="shared" si="4"/>
        <v>1.2959999999999998</v>
      </c>
      <c r="K38" s="238">
        <f t="shared" si="5"/>
        <v>0.42120000000000007</v>
      </c>
      <c r="L38" s="238">
        <f t="shared" si="6"/>
        <v>2.7000000000000003E-2</v>
      </c>
      <c r="M38" s="245">
        <v>2</v>
      </c>
      <c r="N38" s="238">
        <f t="shared" si="7"/>
        <v>4.32</v>
      </c>
      <c r="O38" s="483"/>
      <c r="P38" s="238">
        <f t="shared" si="8"/>
        <v>0.32400000000000001</v>
      </c>
      <c r="Q38" s="484"/>
      <c r="R38" s="246" t="s">
        <v>98</v>
      </c>
      <c r="S38" s="295">
        <f t="shared" si="9"/>
        <v>0</v>
      </c>
      <c r="T38" s="460">
        <f t="shared" si="1"/>
        <v>4.8600000000000003</v>
      </c>
      <c r="V38" s="296"/>
      <c r="W38" s="297"/>
    </row>
    <row r="39" spans="1:23" s="142" customFormat="1" ht="15" customHeight="1" x14ac:dyDescent="0.2">
      <c r="A39" s="247" t="s">
        <v>1306</v>
      </c>
      <c r="B39" s="242">
        <v>0.15</v>
      </c>
      <c r="C39" s="243">
        <v>10.5</v>
      </c>
      <c r="D39" s="242">
        <v>0.6</v>
      </c>
      <c r="E39" s="238">
        <f t="shared" si="0"/>
        <v>0.6</v>
      </c>
      <c r="F39" s="238"/>
      <c r="G39" s="244">
        <v>1</v>
      </c>
      <c r="H39" s="238">
        <f t="shared" si="2"/>
        <v>4.7249999999999996</v>
      </c>
      <c r="I39" s="238">
        <f t="shared" si="3"/>
        <v>1.575</v>
      </c>
      <c r="J39" s="238">
        <f t="shared" si="4"/>
        <v>3.78</v>
      </c>
      <c r="K39" s="238">
        <f t="shared" si="5"/>
        <v>1.2284999999999999</v>
      </c>
      <c r="L39" s="238">
        <f t="shared" si="6"/>
        <v>7.8750000000000001E-2</v>
      </c>
      <c r="M39" s="245">
        <v>2</v>
      </c>
      <c r="N39" s="238">
        <f t="shared" si="7"/>
        <v>12.6</v>
      </c>
      <c r="O39" s="483"/>
      <c r="P39" s="238">
        <f t="shared" si="8"/>
        <v>0.94499999999999995</v>
      </c>
      <c r="Q39" s="484"/>
      <c r="R39" s="246" t="s">
        <v>98</v>
      </c>
      <c r="S39" s="295">
        <f t="shared" si="9"/>
        <v>0</v>
      </c>
      <c r="T39" s="460">
        <f t="shared" si="1"/>
        <v>14.174999999999999</v>
      </c>
    </row>
    <row r="40" spans="1:23" s="142" customFormat="1" ht="15" customHeight="1" x14ac:dyDescent="0.2">
      <c r="A40" s="247" t="s">
        <v>1307</v>
      </c>
      <c r="B40" s="242">
        <v>0.5</v>
      </c>
      <c r="C40" s="243">
        <v>5.5</v>
      </c>
      <c r="D40" s="242">
        <v>0.6</v>
      </c>
      <c r="E40" s="238">
        <f t="shared" si="0"/>
        <v>0.6</v>
      </c>
      <c r="F40" s="238"/>
      <c r="G40" s="244">
        <v>1</v>
      </c>
      <c r="H40" s="238">
        <f t="shared" si="2"/>
        <v>3.6300000000000003</v>
      </c>
      <c r="I40" s="238">
        <f t="shared" si="3"/>
        <v>2.75</v>
      </c>
      <c r="J40" s="238">
        <f t="shared" si="4"/>
        <v>1.9800000000000004</v>
      </c>
      <c r="K40" s="238">
        <f t="shared" si="5"/>
        <v>2.145</v>
      </c>
      <c r="L40" s="238">
        <f t="shared" si="6"/>
        <v>0.13750000000000001</v>
      </c>
      <c r="M40" s="245">
        <v>2</v>
      </c>
      <c r="N40" s="238">
        <f t="shared" si="7"/>
        <v>6.6</v>
      </c>
      <c r="O40" s="483">
        <v>24.2</v>
      </c>
      <c r="P40" s="238">
        <f t="shared" si="8"/>
        <v>1.65</v>
      </c>
      <c r="Q40" s="484">
        <v>3.38</v>
      </c>
      <c r="R40" s="246" t="s">
        <v>98</v>
      </c>
      <c r="S40" s="295">
        <f t="shared" si="9"/>
        <v>0</v>
      </c>
      <c r="T40" s="460">
        <f t="shared" si="1"/>
        <v>9.35</v>
      </c>
    </row>
    <row r="41" spans="1:23" s="142" customFormat="1" ht="15" customHeight="1" x14ac:dyDescent="0.2">
      <c r="A41" s="247" t="s">
        <v>1308</v>
      </c>
      <c r="B41" s="242">
        <v>0.2</v>
      </c>
      <c r="C41" s="243">
        <v>2.4</v>
      </c>
      <c r="D41" s="242">
        <v>0.6</v>
      </c>
      <c r="E41" s="238">
        <f t="shared" si="0"/>
        <v>0.6</v>
      </c>
      <c r="F41" s="238"/>
      <c r="G41" s="244">
        <v>1</v>
      </c>
      <c r="H41" s="238">
        <f t="shared" si="2"/>
        <v>1.1519999999999999</v>
      </c>
      <c r="I41" s="238">
        <f t="shared" si="3"/>
        <v>0.48</v>
      </c>
      <c r="J41" s="238">
        <f t="shared" si="4"/>
        <v>0.86399999999999988</v>
      </c>
      <c r="K41" s="238">
        <f t="shared" si="5"/>
        <v>0.37440000000000007</v>
      </c>
      <c r="L41" s="238">
        <f t="shared" si="6"/>
        <v>2.4E-2</v>
      </c>
      <c r="M41" s="245">
        <v>2</v>
      </c>
      <c r="N41" s="238">
        <f t="shared" si="7"/>
        <v>2.88</v>
      </c>
      <c r="O41" s="483"/>
      <c r="P41" s="238">
        <f t="shared" si="8"/>
        <v>0.28799999999999998</v>
      </c>
      <c r="Q41" s="484"/>
      <c r="R41" s="246" t="s">
        <v>98</v>
      </c>
      <c r="S41" s="295">
        <f t="shared" si="9"/>
        <v>0</v>
      </c>
      <c r="T41" s="460">
        <f t="shared" si="1"/>
        <v>3.36</v>
      </c>
      <c r="V41" s="4"/>
      <c r="W41" s="4"/>
    </row>
    <row r="42" spans="1:23" s="142" customFormat="1" ht="15" customHeight="1" x14ac:dyDescent="0.2">
      <c r="A42" s="247" t="s">
        <v>1309</v>
      </c>
      <c r="B42" s="242">
        <v>0.2</v>
      </c>
      <c r="C42" s="243">
        <v>10.85</v>
      </c>
      <c r="D42" s="242">
        <v>0.6</v>
      </c>
      <c r="E42" s="238">
        <f t="shared" si="0"/>
        <v>0.6</v>
      </c>
      <c r="F42" s="238"/>
      <c r="G42" s="244">
        <v>1</v>
      </c>
      <c r="H42" s="238">
        <f t="shared" si="2"/>
        <v>5.2079999999999993</v>
      </c>
      <c r="I42" s="238">
        <f t="shared" si="3"/>
        <v>2.17</v>
      </c>
      <c r="J42" s="238">
        <f t="shared" si="4"/>
        <v>3.9059999999999997</v>
      </c>
      <c r="K42" s="238">
        <f t="shared" si="5"/>
        <v>1.6925999999999994</v>
      </c>
      <c r="L42" s="238">
        <f t="shared" si="6"/>
        <v>0.1085</v>
      </c>
      <c r="M42" s="245">
        <v>2</v>
      </c>
      <c r="N42" s="238">
        <f t="shared" si="7"/>
        <v>13.02</v>
      </c>
      <c r="O42" s="483"/>
      <c r="P42" s="238">
        <f t="shared" si="8"/>
        <v>1.3019999999999998</v>
      </c>
      <c r="Q42" s="484"/>
      <c r="R42" s="246" t="s">
        <v>98</v>
      </c>
      <c r="S42" s="295">
        <f t="shared" si="9"/>
        <v>0</v>
      </c>
      <c r="T42" s="460">
        <f t="shared" si="1"/>
        <v>15.19</v>
      </c>
      <c r="V42" s="4"/>
      <c r="W42" s="4"/>
    </row>
    <row r="43" spans="1:23" s="142" customFormat="1" ht="15" customHeight="1" x14ac:dyDescent="0.2">
      <c r="A43" s="247" t="s">
        <v>1310</v>
      </c>
      <c r="B43" s="242">
        <v>0.2</v>
      </c>
      <c r="C43" s="243">
        <v>5.4</v>
      </c>
      <c r="D43" s="242">
        <v>0.6</v>
      </c>
      <c r="E43" s="238">
        <f t="shared" si="0"/>
        <v>0.6</v>
      </c>
      <c r="F43" s="238"/>
      <c r="G43" s="244">
        <v>1</v>
      </c>
      <c r="H43" s="238">
        <f t="shared" si="2"/>
        <v>2.5920000000000001</v>
      </c>
      <c r="I43" s="238">
        <f t="shared" si="3"/>
        <v>1.08</v>
      </c>
      <c r="J43" s="238">
        <f t="shared" si="4"/>
        <v>1.944</v>
      </c>
      <c r="K43" s="238">
        <f t="shared" si="5"/>
        <v>0.84240000000000015</v>
      </c>
      <c r="L43" s="238">
        <f t="shared" si="6"/>
        <v>5.4000000000000006E-2</v>
      </c>
      <c r="M43" s="245">
        <v>2</v>
      </c>
      <c r="N43" s="238">
        <f t="shared" si="7"/>
        <v>6.48</v>
      </c>
      <c r="O43" s="483"/>
      <c r="P43" s="238">
        <f t="shared" si="8"/>
        <v>0.64800000000000002</v>
      </c>
      <c r="Q43" s="484"/>
      <c r="R43" s="246" t="s">
        <v>98</v>
      </c>
      <c r="S43" s="295">
        <f t="shared" si="9"/>
        <v>0</v>
      </c>
      <c r="T43" s="460">
        <f t="shared" si="1"/>
        <v>7.5600000000000005</v>
      </c>
      <c r="V43" s="4"/>
      <c r="W43" s="4"/>
    </row>
    <row r="44" spans="1:23" s="142" customFormat="1" ht="15" customHeight="1" x14ac:dyDescent="0.2">
      <c r="A44" s="247" t="s">
        <v>1311</v>
      </c>
      <c r="B44" s="242">
        <v>0.5</v>
      </c>
      <c r="C44" s="243">
        <v>5.3</v>
      </c>
      <c r="D44" s="242">
        <v>0.6</v>
      </c>
      <c r="E44" s="238">
        <f t="shared" si="0"/>
        <v>0.6</v>
      </c>
      <c r="F44" s="238"/>
      <c r="G44" s="244">
        <v>1</v>
      </c>
      <c r="H44" s="238">
        <f>((B44+E44)*(D44+F44)*C44)*G44</f>
        <v>3.4980000000000002</v>
      </c>
      <c r="I44" s="238">
        <f>(B44)*(C44)*G44</f>
        <v>2.65</v>
      </c>
      <c r="J44" s="238">
        <f>H44-P44</f>
        <v>1.9080000000000004</v>
      </c>
      <c r="K44" s="238">
        <f>(H44-J44)*1.3</f>
        <v>2.0669999999999997</v>
      </c>
      <c r="L44" s="238">
        <f>I44*$L$7</f>
        <v>0.13250000000000001</v>
      </c>
      <c r="M44" s="245">
        <v>2</v>
      </c>
      <c r="N44" s="238">
        <f>((C44*D44*M44))*G44</f>
        <v>6.3599999999999994</v>
      </c>
      <c r="O44" s="483">
        <v>18.940000000000001</v>
      </c>
      <c r="P44" s="238">
        <f>B44*D44*C44*G44</f>
        <v>1.5899999999999999</v>
      </c>
      <c r="Q44" s="484">
        <v>2.4</v>
      </c>
      <c r="R44" s="246" t="s">
        <v>98</v>
      </c>
      <c r="S44" s="295">
        <f>P44*$S$7</f>
        <v>0</v>
      </c>
      <c r="T44" s="460">
        <f t="shared" si="1"/>
        <v>9.01</v>
      </c>
      <c r="V44" s="296"/>
      <c r="W44" s="297"/>
    </row>
    <row r="45" spans="1:23" s="142" customFormat="1" ht="15" customHeight="1" x14ac:dyDescent="0.2">
      <c r="A45" s="247" t="s">
        <v>1312</v>
      </c>
      <c r="B45" s="242">
        <v>0.15</v>
      </c>
      <c r="C45" s="243">
        <v>2.4</v>
      </c>
      <c r="D45" s="242">
        <v>0.6</v>
      </c>
      <c r="E45" s="238">
        <f t="shared" si="0"/>
        <v>0.6</v>
      </c>
      <c r="F45" s="238"/>
      <c r="G45" s="244">
        <v>1</v>
      </c>
      <c r="H45" s="238">
        <f>((B45+E45)*(D45+F45)*C45)*G45</f>
        <v>1.0799999999999998</v>
      </c>
      <c r="I45" s="238">
        <f>(B45)*(C45)*G45</f>
        <v>0.36</v>
      </c>
      <c r="J45" s="238">
        <f>H45-P45</f>
        <v>0.86399999999999988</v>
      </c>
      <c r="K45" s="238">
        <f>(H45-J45)*1.3</f>
        <v>0.28079999999999999</v>
      </c>
      <c r="L45" s="238">
        <f>I45*$L$7</f>
        <v>1.7999999999999999E-2</v>
      </c>
      <c r="M45" s="245">
        <v>2</v>
      </c>
      <c r="N45" s="238">
        <f>((C45*D45*M45))*G45</f>
        <v>2.88</v>
      </c>
      <c r="O45" s="483"/>
      <c r="P45" s="238">
        <f>B45*D45*C45*G45</f>
        <v>0.216</v>
      </c>
      <c r="Q45" s="484"/>
      <c r="R45" s="246" t="s">
        <v>98</v>
      </c>
      <c r="S45" s="295">
        <f>P45*$S$7</f>
        <v>0</v>
      </c>
      <c r="T45" s="460">
        <f t="shared" si="1"/>
        <v>3.2399999999999998</v>
      </c>
    </row>
    <row r="46" spans="1:23" s="142" customFormat="1" ht="15" customHeight="1" x14ac:dyDescent="0.2">
      <c r="A46" s="247" t="s">
        <v>1313</v>
      </c>
      <c r="B46" s="242">
        <v>0.15</v>
      </c>
      <c r="C46" s="243">
        <v>6.55</v>
      </c>
      <c r="D46" s="242">
        <v>0.5</v>
      </c>
      <c r="E46" s="238">
        <f t="shared" si="0"/>
        <v>0.6</v>
      </c>
      <c r="F46" s="238"/>
      <c r="G46" s="244">
        <v>1</v>
      </c>
      <c r="H46" s="238">
        <f t="shared" ref="H46:H65" si="26">((B46+E46)*(D46+F46)*C46)*G46</f>
        <v>2.4562499999999998</v>
      </c>
      <c r="I46" s="238">
        <f t="shared" ref="I46:I65" si="27">(B46)*(C46)*G46</f>
        <v>0.98249999999999993</v>
      </c>
      <c r="J46" s="238">
        <f t="shared" ref="J46:J65" si="28">H46-P46</f>
        <v>1.9649999999999999</v>
      </c>
      <c r="K46" s="238">
        <f t="shared" ref="K46:K65" si="29">(H46-J46)*1.3</f>
        <v>0.638625</v>
      </c>
      <c r="L46" s="238">
        <f t="shared" ref="L46:L65" si="30">I46*$L$7</f>
        <v>4.9125000000000002E-2</v>
      </c>
      <c r="M46" s="245">
        <v>2</v>
      </c>
      <c r="N46" s="238">
        <f t="shared" ref="N46:N65" si="31">((C46*D46*M46))*G46</f>
        <v>6.55</v>
      </c>
      <c r="O46" s="483"/>
      <c r="P46" s="238">
        <f t="shared" ref="P46:P65" si="32">B46*D46*C46*G46</f>
        <v>0.49124999999999996</v>
      </c>
      <c r="Q46" s="484"/>
      <c r="R46" s="246" t="s">
        <v>98</v>
      </c>
      <c r="S46" s="295">
        <f t="shared" ref="S46:S65" si="33">P46*$S$7</f>
        <v>0</v>
      </c>
      <c r="T46" s="460">
        <f t="shared" si="1"/>
        <v>7.5324999999999998</v>
      </c>
      <c r="V46" s="4"/>
      <c r="W46" s="4"/>
    </row>
    <row r="47" spans="1:23" s="142" customFormat="1" ht="15" customHeight="1" x14ac:dyDescent="0.2">
      <c r="A47" s="247" t="s">
        <v>1314</v>
      </c>
      <c r="B47" s="242">
        <v>0.15</v>
      </c>
      <c r="C47" s="243">
        <v>3.3</v>
      </c>
      <c r="D47" s="242">
        <v>0.6</v>
      </c>
      <c r="E47" s="238">
        <f t="shared" si="0"/>
        <v>0.6</v>
      </c>
      <c r="F47" s="238"/>
      <c r="G47" s="244">
        <v>1</v>
      </c>
      <c r="H47" s="238">
        <f t="shared" si="26"/>
        <v>1.4849999999999999</v>
      </c>
      <c r="I47" s="238">
        <f t="shared" si="27"/>
        <v>0.49499999999999994</v>
      </c>
      <c r="J47" s="238">
        <f t="shared" si="28"/>
        <v>1.1879999999999999</v>
      </c>
      <c r="K47" s="238">
        <f t="shared" si="29"/>
        <v>0.38609999999999994</v>
      </c>
      <c r="L47" s="238">
        <f t="shared" si="30"/>
        <v>2.4749999999999998E-2</v>
      </c>
      <c r="M47" s="245">
        <v>2</v>
      </c>
      <c r="N47" s="238">
        <f t="shared" si="31"/>
        <v>3.9599999999999995</v>
      </c>
      <c r="O47" s="483"/>
      <c r="P47" s="238">
        <f t="shared" si="32"/>
        <v>0.29699999999999999</v>
      </c>
      <c r="Q47" s="484"/>
      <c r="R47" s="246" t="s">
        <v>98</v>
      </c>
      <c r="S47" s="295">
        <f t="shared" si="33"/>
        <v>0</v>
      </c>
      <c r="T47" s="460">
        <f t="shared" si="1"/>
        <v>4.4549999999999992</v>
      </c>
      <c r="V47" s="4"/>
      <c r="W47" s="4"/>
    </row>
    <row r="48" spans="1:23" s="142" customFormat="1" ht="15" customHeight="1" x14ac:dyDescent="0.2">
      <c r="A48" s="247" t="s">
        <v>1315</v>
      </c>
      <c r="B48" s="242">
        <v>0.15</v>
      </c>
      <c r="C48" s="243">
        <v>4.0999999999999996</v>
      </c>
      <c r="D48" s="242">
        <v>0.6</v>
      </c>
      <c r="E48" s="238">
        <f t="shared" si="0"/>
        <v>0.6</v>
      </c>
      <c r="F48" s="238"/>
      <c r="G48" s="244">
        <v>1</v>
      </c>
      <c r="H48" s="238">
        <f t="shared" si="26"/>
        <v>1.8449999999999998</v>
      </c>
      <c r="I48" s="238">
        <f t="shared" si="27"/>
        <v>0.61499999999999988</v>
      </c>
      <c r="J48" s="238">
        <f t="shared" si="28"/>
        <v>1.4759999999999998</v>
      </c>
      <c r="K48" s="238">
        <f t="shared" si="29"/>
        <v>0.47970000000000002</v>
      </c>
      <c r="L48" s="238">
        <f t="shared" si="30"/>
        <v>3.0749999999999996E-2</v>
      </c>
      <c r="M48" s="245">
        <v>2</v>
      </c>
      <c r="N48" s="238">
        <f t="shared" si="31"/>
        <v>4.919999999999999</v>
      </c>
      <c r="O48" s="483"/>
      <c r="P48" s="238">
        <f t="shared" si="32"/>
        <v>0.36899999999999994</v>
      </c>
      <c r="Q48" s="484"/>
      <c r="R48" s="246" t="s">
        <v>98</v>
      </c>
      <c r="S48" s="295">
        <f t="shared" si="33"/>
        <v>0</v>
      </c>
      <c r="T48" s="460">
        <f t="shared" si="1"/>
        <v>5.5349999999999993</v>
      </c>
      <c r="V48" s="296"/>
      <c r="W48" s="297"/>
    </row>
    <row r="49" spans="1:23" s="142" customFormat="1" ht="15" customHeight="1" x14ac:dyDescent="0.2">
      <c r="A49" s="247" t="s">
        <v>1316</v>
      </c>
      <c r="B49" s="242">
        <v>0.5</v>
      </c>
      <c r="C49" s="243">
        <v>7.1</v>
      </c>
      <c r="D49" s="242">
        <v>0.6</v>
      </c>
      <c r="E49" s="238">
        <f t="shared" si="0"/>
        <v>0.6</v>
      </c>
      <c r="F49" s="238"/>
      <c r="G49" s="244">
        <v>1</v>
      </c>
      <c r="H49" s="238">
        <f t="shared" si="26"/>
        <v>4.6859999999999999</v>
      </c>
      <c r="I49" s="238">
        <f t="shared" si="27"/>
        <v>3.55</v>
      </c>
      <c r="J49" s="238">
        <f t="shared" si="28"/>
        <v>2.556</v>
      </c>
      <c r="K49" s="238">
        <f t="shared" si="29"/>
        <v>2.7690000000000001</v>
      </c>
      <c r="L49" s="238">
        <f t="shared" si="30"/>
        <v>0.17749999999999999</v>
      </c>
      <c r="M49" s="245">
        <v>2</v>
      </c>
      <c r="N49" s="238">
        <f t="shared" si="31"/>
        <v>8.52</v>
      </c>
      <c r="O49" s="483">
        <v>19.579999999999998</v>
      </c>
      <c r="P49" s="238">
        <f t="shared" si="32"/>
        <v>2.13</v>
      </c>
      <c r="Q49" s="484">
        <v>3.75</v>
      </c>
      <c r="R49" s="246" t="s">
        <v>98</v>
      </c>
      <c r="S49" s="295">
        <f t="shared" si="33"/>
        <v>0</v>
      </c>
      <c r="T49" s="460">
        <f t="shared" si="1"/>
        <v>12.07</v>
      </c>
    </row>
    <row r="50" spans="1:23" s="142" customFormat="1" ht="15" customHeight="1" x14ac:dyDescent="0.2">
      <c r="A50" s="247" t="s">
        <v>1317</v>
      </c>
      <c r="B50" s="242">
        <v>0.25</v>
      </c>
      <c r="C50" s="243">
        <v>3</v>
      </c>
      <c r="D50" s="242">
        <v>0.5</v>
      </c>
      <c r="E50" s="238">
        <f t="shared" si="0"/>
        <v>0.6</v>
      </c>
      <c r="F50" s="238"/>
      <c r="G50" s="244">
        <v>1</v>
      </c>
      <c r="H50" s="238">
        <f t="shared" si="26"/>
        <v>1.2749999999999999</v>
      </c>
      <c r="I50" s="238">
        <f t="shared" si="27"/>
        <v>0.75</v>
      </c>
      <c r="J50" s="238">
        <f t="shared" si="28"/>
        <v>0.89999999999999991</v>
      </c>
      <c r="K50" s="238">
        <f t="shared" si="29"/>
        <v>0.48750000000000004</v>
      </c>
      <c r="L50" s="238">
        <f t="shared" si="30"/>
        <v>3.7500000000000006E-2</v>
      </c>
      <c r="M50" s="245">
        <v>2</v>
      </c>
      <c r="N50" s="238">
        <f t="shared" si="31"/>
        <v>3</v>
      </c>
      <c r="O50" s="483"/>
      <c r="P50" s="238">
        <f t="shared" si="32"/>
        <v>0.375</v>
      </c>
      <c r="Q50" s="484"/>
      <c r="R50" s="246" t="s">
        <v>98</v>
      </c>
      <c r="S50" s="295">
        <f t="shared" si="33"/>
        <v>0</v>
      </c>
      <c r="T50" s="460">
        <f t="shared" si="1"/>
        <v>3.75</v>
      </c>
    </row>
    <row r="51" spans="1:23" s="142" customFormat="1" ht="15" customHeight="1" x14ac:dyDescent="0.2">
      <c r="A51" s="247" t="s">
        <v>1318</v>
      </c>
      <c r="B51" s="242">
        <v>0.5</v>
      </c>
      <c r="C51" s="243">
        <v>6.15</v>
      </c>
      <c r="D51" s="242">
        <v>0.6</v>
      </c>
      <c r="E51" s="238">
        <f t="shared" si="0"/>
        <v>0.6</v>
      </c>
      <c r="F51" s="238"/>
      <c r="G51" s="244">
        <v>1</v>
      </c>
      <c r="H51" s="238">
        <f t="shared" si="26"/>
        <v>4.0590000000000002</v>
      </c>
      <c r="I51" s="238">
        <f t="shared" si="27"/>
        <v>3.0750000000000002</v>
      </c>
      <c r="J51" s="238">
        <f t="shared" si="28"/>
        <v>2.2140000000000004</v>
      </c>
      <c r="K51" s="238">
        <f t="shared" si="29"/>
        <v>2.3984999999999999</v>
      </c>
      <c r="L51" s="238">
        <f t="shared" si="30"/>
        <v>0.15375000000000003</v>
      </c>
      <c r="M51" s="245">
        <v>2</v>
      </c>
      <c r="N51" s="238">
        <f t="shared" si="31"/>
        <v>7.38</v>
      </c>
      <c r="O51" s="483"/>
      <c r="P51" s="238">
        <f t="shared" si="32"/>
        <v>1.845</v>
      </c>
      <c r="Q51" s="484"/>
      <c r="R51" s="246" t="s">
        <v>98</v>
      </c>
      <c r="S51" s="295">
        <f t="shared" si="33"/>
        <v>0</v>
      </c>
      <c r="T51" s="460">
        <f t="shared" si="1"/>
        <v>10.455</v>
      </c>
      <c r="V51" s="4"/>
      <c r="W51" s="4"/>
    </row>
    <row r="52" spans="1:23" s="142" customFormat="1" ht="15" customHeight="1" x14ac:dyDescent="0.2">
      <c r="A52" s="247" t="s">
        <v>1319</v>
      </c>
      <c r="B52" s="242">
        <v>0.15</v>
      </c>
      <c r="C52" s="243">
        <v>2.4</v>
      </c>
      <c r="D52" s="242">
        <v>0.6</v>
      </c>
      <c r="E52" s="238">
        <f t="shared" si="0"/>
        <v>0.6</v>
      </c>
      <c r="F52" s="238"/>
      <c r="G52" s="244">
        <v>1</v>
      </c>
      <c r="H52" s="238">
        <f t="shared" si="26"/>
        <v>1.0799999999999998</v>
      </c>
      <c r="I52" s="238">
        <f t="shared" si="27"/>
        <v>0.36</v>
      </c>
      <c r="J52" s="238">
        <f t="shared" si="28"/>
        <v>0.86399999999999988</v>
      </c>
      <c r="K52" s="238">
        <f t="shared" si="29"/>
        <v>0.28079999999999999</v>
      </c>
      <c r="L52" s="238">
        <f t="shared" si="30"/>
        <v>1.7999999999999999E-2</v>
      </c>
      <c r="M52" s="245">
        <v>2</v>
      </c>
      <c r="N52" s="238">
        <f t="shared" si="31"/>
        <v>2.88</v>
      </c>
      <c r="O52" s="483"/>
      <c r="P52" s="238">
        <f t="shared" si="32"/>
        <v>0.216</v>
      </c>
      <c r="Q52" s="484"/>
      <c r="R52" s="246" t="s">
        <v>98</v>
      </c>
      <c r="S52" s="295">
        <f t="shared" si="33"/>
        <v>0</v>
      </c>
      <c r="T52" s="460">
        <f t="shared" si="1"/>
        <v>3.2399999999999998</v>
      </c>
      <c r="V52" s="4"/>
      <c r="W52" s="4"/>
    </row>
    <row r="53" spans="1:23" s="142" customFormat="1" ht="15" customHeight="1" x14ac:dyDescent="0.2">
      <c r="A53" s="247" t="s">
        <v>1320</v>
      </c>
      <c r="B53" s="242">
        <v>0.14000000000000001</v>
      </c>
      <c r="C53" s="243">
        <v>1.69</v>
      </c>
      <c r="D53" s="242">
        <v>0.5</v>
      </c>
      <c r="E53" s="238">
        <f t="shared" si="0"/>
        <v>0.6</v>
      </c>
      <c r="F53" s="238"/>
      <c r="G53" s="244">
        <v>1</v>
      </c>
      <c r="H53" s="238">
        <f t="shared" si="26"/>
        <v>0.62529999999999997</v>
      </c>
      <c r="I53" s="238">
        <f t="shared" si="27"/>
        <v>0.2366</v>
      </c>
      <c r="J53" s="238">
        <f t="shared" si="28"/>
        <v>0.50700000000000001</v>
      </c>
      <c r="K53" s="238">
        <f t="shared" si="29"/>
        <v>0.15378999999999995</v>
      </c>
      <c r="L53" s="238">
        <f t="shared" si="30"/>
        <v>1.183E-2</v>
      </c>
      <c r="M53" s="245">
        <v>2</v>
      </c>
      <c r="N53" s="238">
        <f t="shared" si="31"/>
        <v>1.69</v>
      </c>
      <c r="O53" s="483">
        <v>29.89</v>
      </c>
      <c r="P53" s="238">
        <f t="shared" si="32"/>
        <v>0.1183</v>
      </c>
      <c r="Q53" s="484">
        <v>2.4900000000000002</v>
      </c>
      <c r="R53" s="246" t="s">
        <v>98</v>
      </c>
      <c r="S53" s="295">
        <f t="shared" si="33"/>
        <v>0</v>
      </c>
      <c r="T53" s="460">
        <f t="shared" si="1"/>
        <v>1.9265999999999999</v>
      </c>
      <c r="V53" s="4"/>
      <c r="W53" s="4"/>
    </row>
    <row r="54" spans="1:23" s="142" customFormat="1" ht="15" customHeight="1" x14ac:dyDescent="0.2">
      <c r="A54" s="247" t="s">
        <v>1321</v>
      </c>
      <c r="B54" s="242">
        <v>0.15</v>
      </c>
      <c r="C54" s="243">
        <v>6.6</v>
      </c>
      <c r="D54" s="242">
        <v>0.5</v>
      </c>
      <c r="E54" s="238">
        <f t="shared" si="0"/>
        <v>0.6</v>
      </c>
      <c r="F54" s="238"/>
      <c r="G54" s="244">
        <v>1</v>
      </c>
      <c r="H54" s="238">
        <f t="shared" si="26"/>
        <v>2.4749999999999996</v>
      </c>
      <c r="I54" s="238">
        <f t="shared" si="27"/>
        <v>0.98999999999999988</v>
      </c>
      <c r="J54" s="238">
        <f t="shared" si="28"/>
        <v>1.9799999999999998</v>
      </c>
      <c r="K54" s="238">
        <f t="shared" si="29"/>
        <v>0.64349999999999985</v>
      </c>
      <c r="L54" s="238">
        <f t="shared" si="30"/>
        <v>4.9499999999999995E-2</v>
      </c>
      <c r="M54" s="245">
        <v>2</v>
      </c>
      <c r="N54" s="238">
        <f t="shared" si="31"/>
        <v>6.6</v>
      </c>
      <c r="O54" s="483"/>
      <c r="P54" s="238">
        <f t="shared" si="32"/>
        <v>0.49499999999999994</v>
      </c>
      <c r="Q54" s="484"/>
      <c r="R54" s="246" t="s">
        <v>98</v>
      </c>
      <c r="S54" s="295">
        <f t="shared" si="33"/>
        <v>0</v>
      </c>
      <c r="T54" s="460">
        <f t="shared" si="1"/>
        <v>7.59</v>
      </c>
      <c r="V54" s="296"/>
      <c r="W54" s="297"/>
    </row>
    <row r="55" spans="1:23" s="142" customFormat="1" ht="15" customHeight="1" x14ac:dyDescent="0.2">
      <c r="A55" s="247" t="s">
        <v>1322</v>
      </c>
      <c r="B55" s="242">
        <v>0.14000000000000001</v>
      </c>
      <c r="C55" s="243">
        <v>4.2</v>
      </c>
      <c r="D55" s="242">
        <v>1.9</v>
      </c>
      <c r="E55" s="238">
        <f t="shared" si="0"/>
        <v>1.2</v>
      </c>
      <c r="F55" s="238"/>
      <c r="G55" s="244">
        <v>1</v>
      </c>
      <c r="H55" s="238">
        <f t="shared" si="26"/>
        <v>10.693199999999999</v>
      </c>
      <c r="I55" s="238">
        <f t="shared" si="27"/>
        <v>0.58800000000000008</v>
      </c>
      <c r="J55" s="238">
        <f t="shared" si="28"/>
        <v>9.5759999999999987</v>
      </c>
      <c r="K55" s="238">
        <f t="shared" si="29"/>
        <v>1.4523600000000005</v>
      </c>
      <c r="L55" s="238">
        <f t="shared" si="30"/>
        <v>2.9400000000000006E-2</v>
      </c>
      <c r="M55" s="245">
        <v>2</v>
      </c>
      <c r="N55" s="238">
        <f t="shared" si="31"/>
        <v>15.959999999999999</v>
      </c>
      <c r="O55" s="483"/>
      <c r="P55" s="238">
        <f t="shared" si="32"/>
        <v>1.1172000000000002</v>
      </c>
      <c r="Q55" s="484"/>
      <c r="R55" s="246" t="s">
        <v>98</v>
      </c>
      <c r="S55" s="295">
        <f t="shared" si="33"/>
        <v>0</v>
      </c>
      <c r="T55" s="460">
        <f t="shared" si="1"/>
        <v>16.547999999999998</v>
      </c>
    </row>
    <row r="56" spans="1:23" s="142" customFormat="1" ht="15" customHeight="1" x14ac:dyDescent="0.2">
      <c r="A56" s="247" t="s">
        <v>1323</v>
      </c>
      <c r="B56" s="242">
        <v>0.25</v>
      </c>
      <c r="C56" s="243">
        <v>2.95</v>
      </c>
      <c r="D56" s="242">
        <v>1.9</v>
      </c>
      <c r="E56" s="238">
        <f t="shared" si="0"/>
        <v>1.2</v>
      </c>
      <c r="F56" s="238"/>
      <c r="G56" s="244">
        <v>1</v>
      </c>
      <c r="H56" s="238">
        <f t="shared" si="26"/>
        <v>8.1272500000000001</v>
      </c>
      <c r="I56" s="238">
        <f t="shared" si="27"/>
        <v>0.73750000000000004</v>
      </c>
      <c r="J56" s="238">
        <f t="shared" si="28"/>
        <v>6.726</v>
      </c>
      <c r="K56" s="238">
        <f t="shared" si="29"/>
        <v>1.8216250000000003</v>
      </c>
      <c r="L56" s="238">
        <f t="shared" si="30"/>
        <v>3.6875000000000005E-2</v>
      </c>
      <c r="M56" s="245">
        <v>2</v>
      </c>
      <c r="N56" s="238">
        <f t="shared" si="31"/>
        <v>11.21</v>
      </c>
      <c r="O56" s="483"/>
      <c r="P56" s="238">
        <f t="shared" si="32"/>
        <v>1.4012500000000001</v>
      </c>
      <c r="Q56" s="484"/>
      <c r="R56" s="246" t="s">
        <v>98</v>
      </c>
      <c r="S56" s="295">
        <f t="shared" si="33"/>
        <v>0</v>
      </c>
      <c r="T56" s="460">
        <f t="shared" si="1"/>
        <v>11.947500000000002</v>
      </c>
    </row>
    <row r="57" spans="1:23" s="142" customFormat="1" ht="15" customHeight="1" x14ac:dyDescent="0.2">
      <c r="A57" s="247" t="s">
        <v>1323</v>
      </c>
      <c r="B57" s="242">
        <v>0.25</v>
      </c>
      <c r="C57" s="243">
        <v>1.85</v>
      </c>
      <c r="D57" s="242">
        <v>0.6</v>
      </c>
      <c r="E57" s="238">
        <f t="shared" si="0"/>
        <v>0.6</v>
      </c>
      <c r="F57" s="238"/>
      <c r="G57" s="244">
        <v>1</v>
      </c>
      <c r="H57" s="238">
        <f t="shared" si="26"/>
        <v>0.94350000000000012</v>
      </c>
      <c r="I57" s="238">
        <f t="shared" si="27"/>
        <v>0.46250000000000002</v>
      </c>
      <c r="J57" s="238">
        <f t="shared" si="28"/>
        <v>0.66600000000000015</v>
      </c>
      <c r="K57" s="238">
        <f t="shared" si="29"/>
        <v>0.36074999999999996</v>
      </c>
      <c r="L57" s="238">
        <f t="shared" si="30"/>
        <v>2.3125000000000003E-2</v>
      </c>
      <c r="M57" s="245">
        <v>2</v>
      </c>
      <c r="N57" s="238">
        <f t="shared" si="31"/>
        <v>2.2200000000000002</v>
      </c>
      <c r="O57" s="483"/>
      <c r="P57" s="238">
        <f t="shared" si="32"/>
        <v>0.27750000000000002</v>
      </c>
      <c r="Q57" s="484"/>
      <c r="R57" s="246" t="s">
        <v>98</v>
      </c>
      <c r="S57" s="295">
        <f t="shared" si="33"/>
        <v>0</v>
      </c>
      <c r="T57" s="460">
        <f t="shared" si="1"/>
        <v>2.6825000000000001</v>
      </c>
      <c r="V57" s="4"/>
      <c r="W57" s="4"/>
    </row>
    <row r="58" spans="1:23" s="142" customFormat="1" ht="15" customHeight="1" x14ac:dyDescent="0.2">
      <c r="A58" s="247" t="s">
        <v>1324</v>
      </c>
      <c r="B58" s="242">
        <v>0.5</v>
      </c>
      <c r="C58" s="243">
        <v>6.1</v>
      </c>
      <c r="D58" s="242">
        <v>0.6</v>
      </c>
      <c r="E58" s="238">
        <f t="shared" si="0"/>
        <v>0.6</v>
      </c>
      <c r="F58" s="238"/>
      <c r="G58" s="244">
        <v>1</v>
      </c>
      <c r="H58" s="238">
        <f t="shared" si="26"/>
        <v>4.0259999999999998</v>
      </c>
      <c r="I58" s="238">
        <f t="shared" si="27"/>
        <v>3.05</v>
      </c>
      <c r="J58" s="238">
        <f t="shared" si="28"/>
        <v>2.1959999999999997</v>
      </c>
      <c r="K58" s="238">
        <f t="shared" si="29"/>
        <v>2.379</v>
      </c>
      <c r="L58" s="238">
        <f t="shared" si="30"/>
        <v>0.1525</v>
      </c>
      <c r="M58" s="245">
        <v>2</v>
      </c>
      <c r="N58" s="238">
        <f t="shared" si="31"/>
        <v>7.3199999999999994</v>
      </c>
      <c r="O58" s="483">
        <v>20.85</v>
      </c>
      <c r="P58" s="238">
        <f t="shared" si="32"/>
        <v>1.8299999999999998</v>
      </c>
      <c r="Q58" s="484">
        <v>3.81</v>
      </c>
      <c r="R58" s="246" t="s">
        <v>98</v>
      </c>
      <c r="S58" s="295">
        <f t="shared" si="33"/>
        <v>0</v>
      </c>
      <c r="T58" s="460">
        <f t="shared" si="1"/>
        <v>10.37</v>
      </c>
      <c r="V58" s="4"/>
      <c r="W58" s="4"/>
    </row>
    <row r="59" spans="1:23" s="142" customFormat="1" ht="15" customHeight="1" x14ac:dyDescent="0.2">
      <c r="A59" s="247" t="s">
        <v>1325</v>
      </c>
      <c r="B59" s="242">
        <v>0.15</v>
      </c>
      <c r="C59" s="243">
        <v>2.4</v>
      </c>
      <c r="D59" s="242">
        <v>0.6</v>
      </c>
      <c r="E59" s="238">
        <f t="shared" si="0"/>
        <v>0.6</v>
      </c>
      <c r="F59" s="238"/>
      <c r="G59" s="244">
        <v>1</v>
      </c>
      <c r="H59" s="238">
        <f t="shared" si="26"/>
        <v>1.0799999999999998</v>
      </c>
      <c r="I59" s="238">
        <f t="shared" si="27"/>
        <v>0.36</v>
      </c>
      <c r="J59" s="238">
        <f t="shared" si="28"/>
        <v>0.86399999999999988</v>
      </c>
      <c r="K59" s="238">
        <f t="shared" si="29"/>
        <v>0.28079999999999999</v>
      </c>
      <c r="L59" s="238">
        <f t="shared" si="30"/>
        <v>1.7999999999999999E-2</v>
      </c>
      <c r="M59" s="245">
        <v>2</v>
      </c>
      <c r="N59" s="238">
        <f t="shared" si="31"/>
        <v>2.88</v>
      </c>
      <c r="O59" s="483"/>
      <c r="P59" s="238">
        <f t="shared" si="32"/>
        <v>0.216</v>
      </c>
      <c r="Q59" s="484"/>
      <c r="R59" s="246" t="s">
        <v>98</v>
      </c>
      <c r="S59" s="295">
        <f t="shared" si="33"/>
        <v>0</v>
      </c>
      <c r="T59" s="460">
        <f t="shared" si="1"/>
        <v>3.2399999999999998</v>
      </c>
      <c r="V59" s="4"/>
      <c r="W59" s="4"/>
    </row>
    <row r="60" spans="1:23" s="142" customFormat="1" ht="15" customHeight="1" x14ac:dyDescent="0.2">
      <c r="A60" s="247" t="s">
        <v>1326</v>
      </c>
      <c r="B60" s="242">
        <v>0.5</v>
      </c>
      <c r="C60" s="243">
        <v>6.4</v>
      </c>
      <c r="D60" s="242">
        <v>0.6</v>
      </c>
      <c r="E60" s="238">
        <f t="shared" si="0"/>
        <v>0.6</v>
      </c>
      <c r="F60" s="238"/>
      <c r="G60" s="244">
        <v>1</v>
      </c>
      <c r="H60" s="238">
        <f t="shared" si="26"/>
        <v>4.2240000000000002</v>
      </c>
      <c r="I60" s="238">
        <f t="shared" si="27"/>
        <v>3.2</v>
      </c>
      <c r="J60" s="238">
        <f t="shared" si="28"/>
        <v>2.3040000000000003</v>
      </c>
      <c r="K60" s="238">
        <f t="shared" si="29"/>
        <v>2.496</v>
      </c>
      <c r="L60" s="238">
        <f t="shared" si="30"/>
        <v>0.16000000000000003</v>
      </c>
      <c r="M60" s="245">
        <v>2</v>
      </c>
      <c r="N60" s="238">
        <f t="shared" si="31"/>
        <v>7.68</v>
      </c>
      <c r="O60" s="483"/>
      <c r="P60" s="238">
        <f t="shared" si="32"/>
        <v>1.92</v>
      </c>
      <c r="Q60" s="484"/>
      <c r="R60" s="246" t="s">
        <v>98</v>
      </c>
      <c r="S60" s="295">
        <f t="shared" si="33"/>
        <v>0</v>
      </c>
      <c r="T60" s="460">
        <f t="shared" si="1"/>
        <v>10.879999999999999</v>
      </c>
      <c r="V60" s="296"/>
      <c r="W60" s="297"/>
    </row>
    <row r="61" spans="1:23" s="142" customFormat="1" ht="15" customHeight="1" x14ac:dyDescent="0.2">
      <c r="A61" s="247" t="s">
        <v>1327</v>
      </c>
      <c r="B61" s="242">
        <v>0.15</v>
      </c>
      <c r="C61" s="243">
        <v>3.6</v>
      </c>
      <c r="D61" s="242">
        <v>0.6</v>
      </c>
      <c r="E61" s="238">
        <f t="shared" si="0"/>
        <v>0.6</v>
      </c>
      <c r="F61" s="238"/>
      <c r="G61" s="244">
        <v>1</v>
      </c>
      <c r="H61" s="238">
        <f t="shared" si="26"/>
        <v>1.6199999999999999</v>
      </c>
      <c r="I61" s="238">
        <f t="shared" si="27"/>
        <v>0.54</v>
      </c>
      <c r="J61" s="238">
        <f t="shared" si="28"/>
        <v>1.2959999999999998</v>
      </c>
      <c r="K61" s="238">
        <f t="shared" si="29"/>
        <v>0.42120000000000007</v>
      </c>
      <c r="L61" s="238">
        <f t="shared" si="30"/>
        <v>2.7000000000000003E-2</v>
      </c>
      <c r="M61" s="245">
        <v>2</v>
      </c>
      <c r="N61" s="238">
        <f t="shared" si="31"/>
        <v>4.32</v>
      </c>
      <c r="O61" s="483"/>
      <c r="P61" s="238">
        <f t="shared" si="32"/>
        <v>0.32400000000000001</v>
      </c>
      <c r="Q61" s="484"/>
      <c r="R61" s="246" t="s">
        <v>98</v>
      </c>
      <c r="S61" s="295">
        <f t="shared" si="33"/>
        <v>0</v>
      </c>
      <c r="T61" s="460">
        <f t="shared" si="1"/>
        <v>4.8600000000000003</v>
      </c>
    </row>
    <row r="62" spans="1:23" s="142" customFormat="1" ht="15" customHeight="1" x14ac:dyDescent="0.2">
      <c r="A62" s="247" t="s">
        <v>1328</v>
      </c>
      <c r="B62" s="242">
        <v>0.15</v>
      </c>
      <c r="C62" s="243">
        <v>8.35</v>
      </c>
      <c r="D62" s="242">
        <v>0.6</v>
      </c>
      <c r="E62" s="238">
        <f t="shared" si="0"/>
        <v>0.6</v>
      </c>
      <c r="F62" s="238"/>
      <c r="G62" s="244">
        <v>1</v>
      </c>
      <c r="H62" s="238">
        <f t="shared" si="26"/>
        <v>3.7574999999999994</v>
      </c>
      <c r="I62" s="238">
        <f t="shared" si="27"/>
        <v>1.2524999999999999</v>
      </c>
      <c r="J62" s="238">
        <f t="shared" si="28"/>
        <v>3.0059999999999993</v>
      </c>
      <c r="K62" s="238">
        <f t="shared" si="29"/>
        <v>0.9769500000000001</v>
      </c>
      <c r="L62" s="238">
        <f t="shared" si="30"/>
        <v>6.2625E-2</v>
      </c>
      <c r="M62" s="245">
        <v>2</v>
      </c>
      <c r="N62" s="238">
        <f t="shared" si="31"/>
        <v>10.02</v>
      </c>
      <c r="O62" s="483">
        <v>39.83</v>
      </c>
      <c r="P62" s="238">
        <f t="shared" si="32"/>
        <v>0.75149999999999995</v>
      </c>
      <c r="Q62" s="484">
        <v>3.53</v>
      </c>
      <c r="R62" s="246" t="s">
        <v>98</v>
      </c>
      <c r="S62" s="295">
        <f t="shared" si="33"/>
        <v>0</v>
      </c>
      <c r="T62" s="460">
        <f t="shared" si="1"/>
        <v>11.272499999999999</v>
      </c>
    </row>
    <row r="63" spans="1:23" s="142" customFormat="1" ht="15" customHeight="1" x14ac:dyDescent="0.2">
      <c r="A63" s="247" t="s">
        <v>1329</v>
      </c>
      <c r="B63" s="242">
        <v>0.2</v>
      </c>
      <c r="C63" s="243">
        <v>3.6</v>
      </c>
      <c r="D63" s="242">
        <v>0.6</v>
      </c>
      <c r="E63" s="238">
        <f t="shared" si="0"/>
        <v>0.6</v>
      </c>
      <c r="F63" s="238"/>
      <c r="G63" s="244">
        <v>1</v>
      </c>
      <c r="H63" s="238">
        <f t="shared" si="26"/>
        <v>1.728</v>
      </c>
      <c r="I63" s="238">
        <f t="shared" si="27"/>
        <v>0.72000000000000008</v>
      </c>
      <c r="J63" s="238">
        <f t="shared" si="28"/>
        <v>1.296</v>
      </c>
      <c r="K63" s="238">
        <f t="shared" si="29"/>
        <v>0.56159999999999999</v>
      </c>
      <c r="L63" s="238">
        <f t="shared" si="30"/>
        <v>3.6000000000000004E-2</v>
      </c>
      <c r="M63" s="245">
        <v>2</v>
      </c>
      <c r="N63" s="238">
        <f t="shared" si="31"/>
        <v>4.32</v>
      </c>
      <c r="O63" s="483"/>
      <c r="P63" s="238">
        <f t="shared" si="32"/>
        <v>0.432</v>
      </c>
      <c r="Q63" s="484"/>
      <c r="R63" s="246" t="s">
        <v>98</v>
      </c>
      <c r="S63" s="295">
        <f t="shared" si="33"/>
        <v>0</v>
      </c>
      <c r="T63" s="460">
        <f t="shared" si="1"/>
        <v>5.04</v>
      </c>
      <c r="V63" s="4"/>
      <c r="W63" s="4"/>
    </row>
    <row r="64" spans="1:23" s="142" customFormat="1" ht="15" customHeight="1" x14ac:dyDescent="0.2">
      <c r="A64" s="247" t="s">
        <v>1330</v>
      </c>
      <c r="B64" s="242">
        <v>0.2</v>
      </c>
      <c r="C64" s="243">
        <v>7.1</v>
      </c>
      <c r="D64" s="242">
        <v>0.6</v>
      </c>
      <c r="E64" s="238">
        <f t="shared" si="0"/>
        <v>0.6</v>
      </c>
      <c r="F64" s="238"/>
      <c r="G64" s="244">
        <v>1</v>
      </c>
      <c r="H64" s="238">
        <f t="shared" si="26"/>
        <v>3.4079999999999999</v>
      </c>
      <c r="I64" s="238">
        <f t="shared" si="27"/>
        <v>1.42</v>
      </c>
      <c r="J64" s="238">
        <f t="shared" si="28"/>
        <v>2.556</v>
      </c>
      <c r="K64" s="238">
        <f t="shared" si="29"/>
        <v>1.1075999999999999</v>
      </c>
      <c r="L64" s="238">
        <f t="shared" si="30"/>
        <v>7.0999999999999994E-2</v>
      </c>
      <c r="M64" s="245">
        <v>2</v>
      </c>
      <c r="N64" s="238">
        <f t="shared" si="31"/>
        <v>8.52</v>
      </c>
      <c r="O64" s="483"/>
      <c r="P64" s="238">
        <f t="shared" si="32"/>
        <v>0.85199999999999998</v>
      </c>
      <c r="Q64" s="484"/>
      <c r="R64" s="246" t="s">
        <v>98</v>
      </c>
      <c r="S64" s="295">
        <f t="shared" si="33"/>
        <v>0</v>
      </c>
      <c r="T64" s="460">
        <f t="shared" si="1"/>
        <v>9.94</v>
      </c>
      <c r="V64" s="4"/>
      <c r="W64" s="4"/>
    </row>
    <row r="65" spans="1:24" s="142" customFormat="1" ht="15" customHeight="1" x14ac:dyDescent="0.2">
      <c r="A65" s="247" t="s">
        <v>1331</v>
      </c>
      <c r="B65" s="242">
        <v>0.2</v>
      </c>
      <c r="C65" s="243">
        <v>6.4</v>
      </c>
      <c r="D65" s="242">
        <v>0.6</v>
      </c>
      <c r="E65" s="238">
        <f t="shared" si="0"/>
        <v>0.6</v>
      </c>
      <c r="F65" s="238"/>
      <c r="G65" s="244">
        <v>1</v>
      </c>
      <c r="H65" s="238">
        <f t="shared" si="26"/>
        <v>3.0720000000000001</v>
      </c>
      <c r="I65" s="238">
        <f t="shared" si="27"/>
        <v>1.2800000000000002</v>
      </c>
      <c r="J65" s="238">
        <f t="shared" si="28"/>
        <v>2.3040000000000003</v>
      </c>
      <c r="K65" s="238">
        <f t="shared" si="29"/>
        <v>0.99839999999999973</v>
      </c>
      <c r="L65" s="238">
        <f t="shared" si="30"/>
        <v>6.4000000000000015E-2</v>
      </c>
      <c r="M65" s="245">
        <v>2</v>
      </c>
      <c r="N65" s="238">
        <f t="shared" si="31"/>
        <v>7.68</v>
      </c>
      <c r="O65" s="483"/>
      <c r="P65" s="238">
        <f t="shared" si="32"/>
        <v>0.76800000000000002</v>
      </c>
      <c r="Q65" s="484"/>
      <c r="R65" s="246" t="s">
        <v>98</v>
      </c>
      <c r="S65" s="295">
        <f t="shared" si="33"/>
        <v>0</v>
      </c>
      <c r="T65" s="460">
        <f t="shared" si="1"/>
        <v>8.9600000000000009</v>
      </c>
      <c r="V65" s="4"/>
      <c r="W65" s="4"/>
    </row>
    <row r="66" spans="1:24" s="142" customFormat="1" ht="15" customHeight="1" x14ac:dyDescent="0.2">
      <c r="A66" s="247" t="s">
        <v>1332</v>
      </c>
      <c r="B66" s="242">
        <v>0.2</v>
      </c>
      <c r="C66" s="243">
        <v>8.35</v>
      </c>
      <c r="D66" s="242">
        <v>0.6</v>
      </c>
      <c r="E66" s="238">
        <f t="shared" si="0"/>
        <v>0.6</v>
      </c>
      <c r="F66" s="238"/>
      <c r="G66" s="244">
        <v>1</v>
      </c>
      <c r="H66" s="238">
        <f>((B66+E66)*(D66+F66)*C66)*G66</f>
        <v>4.008</v>
      </c>
      <c r="I66" s="238">
        <f>(B66)*(C66)*G66</f>
        <v>1.67</v>
      </c>
      <c r="J66" s="238">
        <f>H66-P66</f>
        <v>3.0060000000000002</v>
      </c>
      <c r="K66" s="238">
        <f>(H66-J66)*1.3</f>
        <v>1.3025999999999998</v>
      </c>
      <c r="L66" s="238">
        <f>I66*$L$7</f>
        <v>8.3500000000000005E-2</v>
      </c>
      <c r="M66" s="245">
        <v>2</v>
      </c>
      <c r="N66" s="238">
        <f>((C66*D66*M66))*G66</f>
        <v>10.02</v>
      </c>
      <c r="O66" s="483"/>
      <c r="P66" s="238">
        <f>B66*D66*C66*G66</f>
        <v>1.002</v>
      </c>
      <c r="Q66" s="484"/>
      <c r="R66" s="246" t="s">
        <v>98</v>
      </c>
      <c r="S66" s="295">
        <f>P66*$S$7</f>
        <v>0</v>
      </c>
      <c r="T66" s="460">
        <f>C66*B66+2*C66*D66</f>
        <v>11.69</v>
      </c>
      <c r="V66" s="296"/>
      <c r="W66" s="297"/>
    </row>
    <row r="67" spans="1:24" s="142" customFormat="1" ht="15" customHeight="1" thickBot="1" x14ac:dyDescent="0.25">
      <c r="A67" s="527"/>
      <c r="B67" s="528"/>
      <c r="C67" s="529"/>
      <c r="D67" s="528"/>
      <c r="E67" s="530"/>
      <c r="F67" s="530"/>
      <c r="G67" s="531"/>
      <c r="H67" s="530"/>
      <c r="I67" s="530"/>
      <c r="J67" s="530"/>
      <c r="K67" s="530"/>
      <c r="L67" s="530"/>
      <c r="M67" s="532"/>
      <c r="N67" s="530"/>
      <c r="O67" s="533"/>
      <c r="P67" s="530"/>
      <c r="Q67" s="534"/>
      <c r="R67" s="535"/>
      <c r="S67" s="536"/>
      <c r="T67" s="460"/>
      <c r="V67" s="4"/>
      <c r="W67" s="4"/>
    </row>
    <row r="68" spans="1:24" ht="13.5" thickTop="1" thickBot="1" x14ac:dyDescent="0.25">
      <c r="A68" s="115"/>
      <c r="B68" s="115" t="s">
        <v>16</v>
      </c>
      <c r="C68" s="248">
        <f>SUM(C8:C66)</f>
        <v>327.16000000000014</v>
      </c>
      <c r="D68" s="187"/>
      <c r="E68" s="187"/>
      <c r="F68" s="187"/>
      <c r="G68" s="249"/>
      <c r="H68" s="189">
        <f>SUM(H8:H67)</f>
        <v>191.00990000000004</v>
      </c>
      <c r="I68" s="189">
        <f>SUM(I8:I67)</f>
        <v>88.541699999999992</v>
      </c>
      <c r="J68" s="865">
        <f>H68-Q68</f>
        <v>143.61990000000003</v>
      </c>
      <c r="K68" s="865">
        <f>(H68-J68)*1.3</f>
        <v>61.607000000000021</v>
      </c>
      <c r="L68" s="189">
        <f>SUM(L8:L67)</f>
        <v>4.4270849999999973</v>
      </c>
      <c r="M68" s="189"/>
      <c r="N68" s="189">
        <f>SUM(N8:N67)</f>
        <v>410.53599999999983</v>
      </c>
      <c r="O68" s="537">
        <f>SUM(O8:O67)</f>
        <v>378.09999999999997</v>
      </c>
      <c r="P68" s="189">
        <f>SUM(P8:P67)</f>
        <v>54.568100000000008</v>
      </c>
      <c r="Q68" s="537">
        <f>SUM(Q8:Q67)</f>
        <v>47.390000000000008</v>
      </c>
      <c r="R68" s="250"/>
      <c r="S68" s="144">
        <f>SUM(S8:S67)</f>
        <v>0</v>
      </c>
      <c r="T68" s="461">
        <f>SUM(T8:T67)</f>
        <v>499.07770000000005</v>
      </c>
      <c r="U68" s="1324" t="s">
        <v>1411</v>
      </c>
      <c r="V68" s="1324"/>
      <c r="W68" s="1324"/>
      <c r="X68" s="1324"/>
    </row>
    <row r="69" spans="1:24" ht="13.5" thickTop="1" x14ac:dyDescent="0.2">
      <c r="A69" s="466"/>
      <c r="B69" s="466"/>
      <c r="C69" s="467"/>
      <c r="D69" s="145"/>
      <c r="E69" s="145"/>
      <c r="F69" s="145"/>
      <c r="G69" s="468"/>
      <c r="H69" s="469"/>
      <c r="I69" s="469"/>
      <c r="J69" s="469"/>
      <c r="K69" s="469"/>
      <c r="L69" s="469"/>
      <c r="M69" s="469"/>
      <c r="N69" s="9"/>
      <c r="O69" s="846">
        <f>1-N68/O68</f>
        <v>-8.5786828881248001E-2</v>
      </c>
      <c r="Q69" s="846">
        <f>1-P68/Q68</f>
        <v>-0.15146866427516348</v>
      </c>
      <c r="S69" s="470"/>
      <c r="T69" s="470"/>
      <c r="U69" s="1324"/>
      <c r="V69" s="1324"/>
      <c r="W69" s="1324"/>
      <c r="X69" s="1324"/>
    </row>
    <row r="70" spans="1:24" ht="13.5" thickBo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42"/>
      <c r="O70" s="798" t="str">
        <f>IF(ABS(O69)&lt;10%,"Usar valor de projeto","Confirmar com cliente")</f>
        <v>Usar valor de projeto</v>
      </c>
      <c r="Q70" s="798" t="str">
        <f>IF(ABS(Q69)&lt;10%,"Usar valor de projeto","Confirmar com cliente")</f>
        <v>Confirmar com cliente</v>
      </c>
      <c r="S70" s="7"/>
      <c r="T70" s="10"/>
      <c r="U70" s="1324"/>
      <c r="V70" s="1324"/>
      <c r="W70" s="1324"/>
      <c r="X70" s="1324"/>
    </row>
    <row r="71" spans="1:24" ht="11.45" customHeight="1" thickBot="1" x14ac:dyDescent="0.25">
      <c r="A71" s="1309" t="s">
        <v>203</v>
      </c>
      <c r="B71" s="1310"/>
      <c r="C71" s="7"/>
      <c r="E71" s="7"/>
      <c r="F71" s="7"/>
      <c r="G71" s="7"/>
      <c r="H71" s="7"/>
      <c r="I71" s="7"/>
      <c r="J71" s="7"/>
      <c r="K71" s="11" t="s">
        <v>54</v>
      </c>
      <c r="L71" s="7"/>
      <c r="M71" s="7"/>
      <c r="N71" s="9"/>
      <c r="O71" s="9"/>
      <c r="P71" s="42"/>
      <c r="S71" s="7"/>
      <c r="T71" s="9"/>
    </row>
    <row r="72" spans="1:24" ht="11.45" customHeight="1" thickBot="1" x14ac:dyDescent="0.25">
      <c r="A72" s="163" t="s">
        <v>14</v>
      </c>
      <c r="B72" s="462">
        <f>N68</f>
        <v>410.53599999999983</v>
      </c>
      <c r="C72" s="463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S72" s="7"/>
      <c r="T72" s="7"/>
    </row>
    <row r="75" spans="1:24" x14ac:dyDescent="0.2">
      <c r="A75" s="409"/>
    </row>
  </sheetData>
  <mergeCells count="19">
    <mergeCell ref="A4:T4"/>
    <mergeCell ref="E5:F5"/>
    <mergeCell ref="O5:O6"/>
    <mergeCell ref="P5:P6"/>
    <mergeCell ref="Q5:Q6"/>
    <mergeCell ref="A71:B71"/>
    <mergeCell ref="V5:W5"/>
    <mergeCell ref="T5:T6"/>
    <mergeCell ref="A5:A7"/>
    <mergeCell ref="H5:H6"/>
    <mergeCell ref="I5:I6"/>
    <mergeCell ref="J5:J6"/>
    <mergeCell ref="K5:K6"/>
    <mergeCell ref="M5:N6"/>
    <mergeCell ref="B5:D5"/>
    <mergeCell ref="S5:S6"/>
    <mergeCell ref="V6:V7"/>
    <mergeCell ref="W6:W7"/>
    <mergeCell ref="U68:X70"/>
  </mergeCells>
  <phoneticPr fontId="30" type="noConversion"/>
  <dataValidations count="1">
    <dataValidation type="list" allowBlank="1" showInputMessage="1" showErrorMessage="1" sqref="R9:R67" xr:uid="{00000000-0002-0000-1000-000000000000}">
      <formula1>$W$8:$W$13</formula1>
    </dataValidation>
  </dataValidations>
  <printOptions horizontalCentered="1"/>
  <pageMargins left="0.39370078740157483" right="0" top="0.39370078740157483" bottom="0.39370078740157483" header="0.51181102362204722" footer="0.19685039370078741"/>
  <pageSetup paperSize="9" scale="48" orientation="landscape" horizontalDpi="300" verticalDpi="300" r:id="rId1"/>
  <headerFooter alignWithMargins="0">
    <oddFooter>&amp;L&amp;F - &amp;A&amp;R&amp;P / &amp;N</oddFooter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ilha7">
    <tabColor rgb="FFF43800"/>
    <pageSetUpPr fitToPage="1"/>
  </sheetPr>
  <dimension ref="A1:Z28"/>
  <sheetViews>
    <sheetView showGridLines="0" view="pageBreakPreview" topLeftCell="B1" zoomScaleNormal="100" zoomScaleSheetLayoutView="100" workbookViewId="0">
      <pane ySplit="4" topLeftCell="A5" activePane="bottomLeft" state="frozen"/>
      <selection activeCell="B18" sqref="B18:E18"/>
      <selection pane="bottomLeft" activeCell="K11" activeCellId="1" sqref="K18 K11"/>
    </sheetView>
  </sheetViews>
  <sheetFormatPr defaultRowHeight="12.75" x14ac:dyDescent="0.2"/>
  <cols>
    <col min="1" max="1" width="12.85546875" style="12" customWidth="1"/>
    <col min="2" max="2" width="9.7109375" style="12" customWidth="1"/>
    <col min="3" max="3" width="9.85546875" style="12" customWidth="1"/>
    <col min="4" max="4" width="7.85546875" style="12" bestFit="1" customWidth="1"/>
    <col min="5" max="5" width="12.140625" style="12" customWidth="1"/>
    <col min="6" max="6" width="13.85546875" style="12" customWidth="1"/>
    <col min="7" max="7" width="12" style="12" customWidth="1"/>
    <col min="8" max="8" width="12.140625" style="12" customWidth="1"/>
    <col min="9" max="9" width="12.5703125" style="12" customWidth="1"/>
    <col min="10" max="10" width="13.42578125" style="12" customWidth="1"/>
    <col min="11" max="11" width="11.85546875" style="12" customWidth="1"/>
    <col min="12" max="12" width="16.28515625" style="12" customWidth="1"/>
    <col min="13" max="13" width="9.5703125" style="12" customWidth="1"/>
    <col min="14" max="14" width="11.7109375" style="12" customWidth="1"/>
    <col min="15" max="254" width="9.140625" style="12"/>
    <col min="255" max="255" width="18.140625" style="12" customWidth="1"/>
    <col min="256" max="256" width="15.85546875" style="12" customWidth="1"/>
    <col min="257" max="258" width="6.7109375" style="12" customWidth="1"/>
    <col min="259" max="259" width="5.7109375" style="12" customWidth="1"/>
    <col min="260" max="260" width="7" style="12" customWidth="1"/>
    <col min="261" max="261" width="5.7109375" style="12" customWidth="1"/>
    <col min="262" max="262" width="7.7109375" style="12" customWidth="1"/>
    <col min="263" max="263" width="8.7109375" style="12" customWidth="1"/>
    <col min="264" max="264" width="7.7109375" style="12" customWidth="1"/>
    <col min="265" max="265" width="8.7109375" style="12" customWidth="1"/>
    <col min="266" max="266" width="16.28515625" style="12" customWidth="1"/>
    <col min="267" max="267" width="7.7109375" style="12" customWidth="1"/>
    <col min="268" max="268" width="8" style="12" customWidth="1"/>
    <col min="269" max="269" width="7.7109375" style="12" customWidth="1"/>
    <col min="270" max="270" width="8.7109375" style="12" customWidth="1"/>
    <col min="271" max="510" width="9.140625" style="12"/>
    <col min="511" max="511" width="18.140625" style="12" customWidth="1"/>
    <col min="512" max="512" width="15.85546875" style="12" customWidth="1"/>
    <col min="513" max="514" width="6.7109375" style="12" customWidth="1"/>
    <col min="515" max="515" width="5.7109375" style="12" customWidth="1"/>
    <col min="516" max="516" width="7" style="12" customWidth="1"/>
    <col min="517" max="517" width="5.7109375" style="12" customWidth="1"/>
    <col min="518" max="518" width="7.7109375" style="12" customWidth="1"/>
    <col min="519" max="519" width="8.7109375" style="12" customWidth="1"/>
    <col min="520" max="520" width="7.7109375" style="12" customWidth="1"/>
    <col min="521" max="521" width="8.7109375" style="12" customWidth="1"/>
    <col min="522" max="522" width="16.28515625" style="12" customWidth="1"/>
    <col min="523" max="523" width="7.7109375" style="12" customWidth="1"/>
    <col min="524" max="524" width="8" style="12" customWidth="1"/>
    <col min="525" max="525" width="7.7109375" style="12" customWidth="1"/>
    <col min="526" max="526" width="8.7109375" style="12" customWidth="1"/>
    <col min="527" max="766" width="9.140625" style="12"/>
    <col min="767" max="767" width="18.140625" style="12" customWidth="1"/>
    <col min="768" max="768" width="15.85546875" style="12" customWidth="1"/>
    <col min="769" max="770" width="6.7109375" style="12" customWidth="1"/>
    <col min="771" max="771" width="5.7109375" style="12" customWidth="1"/>
    <col min="772" max="772" width="7" style="12" customWidth="1"/>
    <col min="773" max="773" width="5.7109375" style="12" customWidth="1"/>
    <col min="774" max="774" width="7.7109375" style="12" customWidth="1"/>
    <col min="775" max="775" width="8.7109375" style="12" customWidth="1"/>
    <col min="776" max="776" width="7.7109375" style="12" customWidth="1"/>
    <col min="777" max="777" width="8.7109375" style="12" customWidth="1"/>
    <col min="778" max="778" width="16.28515625" style="12" customWidth="1"/>
    <col min="779" max="779" width="7.7109375" style="12" customWidth="1"/>
    <col min="780" max="780" width="8" style="12" customWidth="1"/>
    <col min="781" max="781" width="7.7109375" style="12" customWidth="1"/>
    <col min="782" max="782" width="8.7109375" style="12" customWidth="1"/>
    <col min="783" max="1022" width="9.140625" style="12"/>
    <col min="1023" max="1023" width="18.140625" style="12" customWidth="1"/>
    <col min="1024" max="1024" width="15.85546875" style="12" customWidth="1"/>
    <col min="1025" max="1026" width="6.7109375" style="12" customWidth="1"/>
    <col min="1027" max="1027" width="5.7109375" style="12" customWidth="1"/>
    <col min="1028" max="1028" width="7" style="12" customWidth="1"/>
    <col min="1029" max="1029" width="5.7109375" style="12" customWidth="1"/>
    <col min="1030" max="1030" width="7.7109375" style="12" customWidth="1"/>
    <col min="1031" max="1031" width="8.7109375" style="12" customWidth="1"/>
    <col min="1032" max="1032" width="7.7109375" style="12" customWidth="1"/>
    <col min="1033" max="1033" width="8.7109375" style="12" customWidth="1"/>
    <col min="1034" max="1034" width="16.28515625" style="12" customWidth="1"/>
    <col min="1035" max="1035" width="7.7109375" style="12" customWidth="1"/>
    <col min="1036" max="1036" width="8" style="12" customWidth="1"/>
    <col min="1037" max="1037" width="7.7109375" style="12" customWidth="1"/>
    <col min="1038" max="1038" width="8.7109375" style="12" customWidth="1"/>
    <col min="1039" max="1278" width="9.140625" style="12"/>
    <col min="1279" max="1279" width="18.140625" style="12" customWidth="1"/>
    <col min="1280" max="1280" width="15.85546875" style="12" customWidth="1"/>
    <col min="1281" max="1282" width="6.7109375" style="12" customWidth="1"/>
    <col min="1283" max="1283" width="5.7109375" style="12" customWidth="1"/>
    <col min="1284" max="1284" width="7" style="12" customWidth="1"/>
    <col min="1285" max="1285" width="5.7109375" style="12" customWidth="1"/>
    <col min="1286" max="1286" width="7.7109375" style="12" customWidth="1"/>
    <col min="1287" max="1287" width="8.7109375" style="12" customWidth="1"/>
    <col min="1288" max="1288" width="7.7109375" style="12" customWidth="1"/>
    <col min="1289" max="1289" width="8.7109375" style="12" customWidth="1"/>
    <col min="1290" max="1290" width="16.28515625" style="12" customWidth="1"/>
    <col min="1291" max="1291" width="7.7109375" style="12" customWidth="1"/>
    <col min="1292" max="1292" width="8" style="12" customWidth="1"/>
    <col min="1293" max="1293" width="7.7109375" style="12" customWidth="1"/>
    <col min="1294" max="1294" width="8.7109375" style="12" customWidth="1"/>
    <col min="1295" max="1534" width="9.140625" style="12"/>
    <col min="1535" max="1535" width="18.140625" style="12" customWidth="1"/>
    <col min="1536" max="1536" width="15.85546875" style="12" customWidth="1"/>
    <col min="1537" max="1538" width="6.7109375" style="12" customWidth="1"/>
    <col min="1539" max="1539" width="5.7109375" style="12" customWidth="1"/>
    <col min="1540" max="1540" width="7" style="12" customWidth="1"/>
    <col min="1541" max="1541" width="5.7109375" style="12" customWidth="1"/>
    <col min="1542" max="1542" width="7.7109375" style="12" customWidth="1"/>
    <col min="1543" max="1543" width="8.7109375" style="12" customWidth="1"/>
    <col min="1544" max="1544" width="7.7109375" style="12" customWidth="1"/>
    <col min="1545" max="1545" width="8.7109375" style="12" customWidth="1"/>
    <col min="1546" max="1546" width="16.28515625" style="12" customWidth="1"/>
    <col min="1547" max="1547" width="7.7109375" style="12" customWidth="1"/>
    <col min="1548" max="1548" width="8" style="12" customWidth="1"/>
    <col min="1549" max="1549" width="7.7109375" style="12" customWidth="1"/>
    <col min="1550" max="1550" width="8.7109375" style="12" customWidth="1"/>
    <col min="1551" max="1790" width="9.140625" style="12"/>
    <col min="1791" max="1791" width="18.140625" style="12" customWidth="1"/>
    <col min="1792" max="1792" width="15.85546875" style="12" customWidth="1"/>
    <col min="1793" max="1794" width="6.7109375" style="12" customWidth="1"/>
    <col min="1795" max="1795" width="5.7109375" style="12" customWidth="1"/>
    <col min="1796" max="1796" width="7" style="12" customWidth="1"/>
    <col min="1797" max="1797" width="5.7109375" style="12" customWidth="1"/>
    <col min="1798" max="1798" width="7.7109375" style="12" customWidth="1"/>
    <col min="1799" max="1799" width="8.7109375" style="12" customWidth="1"/>
    <col min="1800" max="1800" width="7.7109375" style="12" customWidth="1"/>
    <col min="1801" max="1801" width="8.7109375" style="12" customWidth="1"/>
    <col min="1802" max="1802" width="16.28515625" style="12" customWidth="1"/>
    <col min="1803" max="1803" width="7.7109375" style="12" customWidth="1"/>
    <col min="1804" max="1804" width="8" style="12" customWidth="1"/>
    <col min="1805" max="1805" width="7.7109375" style="12" customWidth="1"/>
    <col min="1806" max="1806" width="8.7109375" style="12" customWidth="1"/>
    <col min="1807" max="2046" width="9.140625" style="12"/>
    <col min="2047" max="2047" width="18.140625" style="12" customWidth="1"/>
    <col min="2048" max="2048" width="15.85546875" style="12" customWidth="1"/>
    <col min="2049" max="2050" width="6.7109375" style="12" customWidth="1"/>
    <col min="2051" max="2051" width="5.7109375" style="12" customWidth="1"/>
    <col min="2052" max="2052" width="7" style="12" customWidth="1"/>
    <col min="2053" max="2053" width="5.7109375" style="12" customWidth="1"/>
    <col min="2054" max="2054" width="7.7109375" style="12" customWidth="1"/>
    <col min="2055" max="2055" width="8.7109375" style="12" customWidth="1"/>
    <col min="2056" max="2056" width="7.7109375" style="12" customWidth="1"/>
    <col min="2057" max="2057" width="8.7109375" style="12" customWidth="1"/>
    <col min="2058" max="2058" width="16.28515625" style="12" customWidth="1"/>
    <col min="2059" max="2059" width="7.7109375" style="12" customWidth="1"/>
    <col min="2060" max="2060" width="8" style="12" customWidth="1"/>
    <col min="2061" max="2061" width="7.7109375" style="12" customWidth="1"/>
    <col min="2062" max="2062" width="8.7109375" style="12" customWidth="1"/>
    <col min="2063" max="2302" width="9.140625" style="12"/>
    <col min="2303" max="2303" width="18.140625" style="12" customWidth="1"/>
    <col min="2304" max="2304" width="15.85546875" style="12" customWidth="1"/>
    <col min="2305" max="2306" width="6.7109375" style="12" customWidth="1"/>
    <col min="2307" max="2307" width="5.7109375" style="12" customWidth="1"/>
    <col min="2308" max="2308" width="7" style="12" customWidth="1"/>
    <col min="2309" max="2309" width="5.7109375" style="12" customWidth="1"/>
    <col min="2310" max="2310" width="7.7109375" style="12" customWidth="1"/>
    <col min="2311" max="2311" width="8.7109375" style="12" customWidth="1"/>
    <col min="2312" max="2312" width="7.7109375" style="12" customWidth="1"/>
    <col min="2313" max="2313" width="8.7109375" style="12" customWidth="1"/>
    <col min="2314" max="2314" width="16.28515625" style="12" customWidth="1"/>
    <col min="2315" max="2315" width="7.7109375" style="12" customWidth="1"/>
    <col min="2316" max="2316" width="8" style="12" customWidth="1"/>
    <col min="2317" max="2317" width="7.7109375" style="12" customWidth="1"/>
    <col min="2318" max="2318" width="8.7109375" style="12" customWidth="1"/>
    <col min="2319" max="2558" width="9.140625" style="12"/>
    <col min="2559" max="2559" width="18.140625" style="12" customWidth="1"/>
    <col min="2560" max="2560" width="15.85546875" style="12" customWidth="1"/>
    <col min="2561" max="2562" width="6.7109375" style="12" customWidth="1"/>
    <col min="2563" max="2563" width="5.7109375" style="12" customWidth="1"/>
    <col min="2564" max="2564" width="7" style="12" customWidth="1"/>
    <col min="2565" max="2565" width="5.7109375" style="12" customWidth="1"/>
    <col min="2566" max="2566" width="7.7109375" style="12" customWidth="1"/>
    <col min="2567" max="2567" width="8.7109375" style="12" customWidth="1"/>
    <col min="2568" max="2568" width="7.7109375" style="12" customWidth="1"/>
    <col min="2569" max="2569" width="8.7109375" style="12" customWidth="1"/>
    <col min="2570" max="2570" width="16.28515625" style="12" customWidth="1"/>
    <col min="2571" max="2571" width="7.7109375" style="12" customWidth="1"/>
    <col min="2572" max="2572" width="8" style="12" customWidth="1"/>
    <col min="2573" max="2573" width="7.7109375" style="12" customWidth="1"/>
    <col min="2574" max="2574" width="8.7109375" style="12" customWidth="1"/>
    <col min="2575" max="2814" width="9.140625" style="12"/>
    <col min="2815" max="2815" width="18.140625" style="12" customWidth="1"/>
    <col min="2816" max="2816" width="15.85546875" style="12" customWidth="1"/>
    <col min="2817" max="2818" width="6.7109375" style="12" customWidth="1"/>
    <col min="2819" max="2819" width="5.7109375" style="12" customWidth="1"/>
    <col min="2820" max="2820" width="7" style="12" customWidth="1"/>
    <col min="2821" max="2821" width="5.7109375" style="12" customWidth="1"/>
    <col min="2822" max="2822" width="7.7109375" style="12" customWidth="1"/>
    <col min="2823" max="2823" width="8.7109375" style="12" customWidth="1"/>
    <col min="2824" max="2824" width="7.7109375" style="12" customWidth="1"/>
    <col min="2825" max="2825" width="8.7109375" style="12" customWidth="1"/>
    <col min="2826" max="2826" width="16.28515625" style="12" customWidth="1"/>
    <col min="2827" max="2827" width="7.7109375" style="12" customWidth="1"/>
    <col min="2828" max="2828" width="8" style="12" customWidth="1"/>
    <col min="2829" max="2829" width="7.7109375" style="12" customWidth="1"/>
    <col min="2830" max="2830" width="8.7109375" style="12" customWidth="1"/>
    <col min="2831" max="3070" width="9.140625" style="12"/>
    <col min="3071" max="3071" width="18.140625" style="12" customWidth="1"/>
    <col min="3072" max="3072" width="15.85546875" style="12" customWidth="1"/>
    <col min="3073" max="3074" width="6.7109375" style="12" customWidth="1"/>
    <col min="3075" max="3075" width="5.7109375" style="12" customWidth="1"/>
    <col min="3076" max="3076" width="7" style="12" customWidth="1"/>
    <col min="3077" max="3077" width="5.7109375" style="12" customWidth="1"/>
    <col min="3078" max="3078" width="7.7109375" style="12" customWidth="1"/>
    <col min="3079" max="3079" width="8.7109375" style="12" customWidth="1"/>
    <col min="3080" max="3080" width="7.7109375" style="12" customWidth="1"/>
    <col min="3081" max="3081" width="8.7109375" style="12" customWidth="1"/>
    <col min="3082" max="3082" width="16.28515625" style="12" customWidth="1"/>
    <col min="3083" max="3083" width="7.7109375" style="12" customWidth="1"/>
    <col min="3084" max="3084" width="8" style="12" customWidth="1"/>
    <col min="3085" max="3085" width="7.7109375" style="12" customWidth="1"/>
    <col min="3086" max="3086" width="8.7109375" style="12" customWidth="1"/>
    <col min="3087" max="3326" width="9.140625" style="12"/>
    <col min="3327" max="3327" width="18.140625" style="12" customWidth="1"/>
    <col min="3328" max="3328" width="15.85546875" style="12" customWidth="1"/>
    <col min="3329" max="3330" width="6.7109375" style="12" customWidth="1"/>
    <col min="3331" max="3331" width="5.7109375" style="12" customWidth="1"/>
    <col min="3332" max="3332" width="7" style="12" customWidth="1"/>
    <col min="3333" max="3333" width="5.7109375" style="12" customWidth="1"/>
    <col min="3334" max="3334" width="7.7109375" style="12" customWidth="1"/>
    <col min="3335" max="3335" width="8.7109375" style="12" customWidth="1"/>
    <col min="3336" max="3336" width="7.7109375" style="12" customWidth="1"/>
    <col min="3337" max="3337" width="8.7109375" style="12" customWidth="1"/>
    <col min="3338" max="3338" width="16.28515625" style="12" customWidth="1"/>
    <col min="3339" max="3339" width="7.7109375" style="12" customWidth="1"/>
    <col min="3340" max="3340" width="8" style="12" customWidth="1"/>
    <col min="3341" max="3341" width="7.7109375" style="12" customWidth="1"/>
    <col min="3342" max="3342" width="8.7109375" style="12" customWidth="1"/>
    <col min="3343" max="3582" width="9.140625" style="12"/>
    <col min="3583" max="3583" width="18.140625" style="12" customWidth="1"/>
    <col min="3584" max="3584" width="15.85546875" style="12" customWidth="1"/>
    <col min="3585" max="3586" width="6.7109375" style="12" customWidth="1"/>
    <col min="3587" max="3587" width="5.7109375" style="12" customWidth="1"/>
    <col min="3588" max="3588" width="7" style="12" customWidth="1"/>
    <col min="3589" max="3589" width="5.7109375" style="12" customWidth="1"/>
    <col min="3590" max="3590" width="7.7109375" style="12" customWidth="1"/>
    <col min="3591" max="3591" width="8.7109375" style="12" customWidth="1"/>
    <col min="3592" max="3592" width="7.7109375" style="12" customWidth="1"/>
    <col min="3593" max="3593" width="8.7109375" style="12" customWidth="1"/>
    <col min="3594" max="3594" width="16.28515625" style="12" customWidth="1"/>
    <col min="3595" max="3595" width="7.7109375" style="12" customWidth="1"/>
    <col min="3596" max="3596" width="8" style="12" customWidth="1"/>
    <col min="3597" max="3597" width="7.7109375" style="12" customWidth="1"/>
    <col min="3598" max="3598" width="8.7109375" style="12" customWidth="1"/>
    <col min="3599" max="3838" width="9.140625" style="12"/>
    <col min="3839" max="3839" width="18.140625" style="12" customWidth="1"/>
    <col min="3840" max="3840" width="15.85546875" style="12" customWidth="1"/>
    <col min="3841" max="3842" width="6.7109375" style="12" customWidth="1"/>
    <col min="3843" max="3843" width="5.7109375" style="12" customWidth="1"/>
    <col min="3844" max="3844" width="7" style="12" customWidth="1"/>
    <col min="3845" max="3845" width="5.7109375" style="12" customWidth="1"/>
    <col min="3846" max="3846" width="7.7109375" style="12" customWidth="1"/>
    <col min="3847" max="3847" width="8.7109375" style="12" customWidth="1"/>
    <col min="3848" max="3848" width="7.7109375" style="12" customWidth="1"/>
    <col min="3849" max="3849" width="8.7109375" style="12" customWidth="1"/>
    <col min="3850" max="3850" width="16.28515625" style="12" customWidth="1"/>
    <col min="3851" max="3851" width="7.7109375" style="12" customWidth="1"/>
    <col min="3852" max="3852" width="8" style="12" customWidth="1"/>
    <col min="3853" max="3853" width="7.7109375" style="12" customWidth="1"/>
    <col min="3854" max="3854" width="8.7109375" style="12" customWidth="1"/>
    <col min="3855" max="4094" width="9.140625" style="12"/>
    <col min="4095" max="4095" width="18.140625" style="12" customWidth="1"/>
    <col min="4096" max="4096" width="15.85546875" style="12" customWidth="1"/>
    <col min="4097" max="4098" width="6.7109375" style="12" customWidth="1"/>
    <col min="4099" max="4099" width="5.7109375" style="12" customWidth="1"/>
    <col min="4100" max="4100" width="7" style="12" customWidth="1"/>
    <col min="4101" max="4101" width="5.7109375" style="12" customWidth="1"/>
    <col min="4102" max="4102" width="7.7109375" style="12" customWidth="1"/>
    <col min="4103" max="4103" width="8.7109375" style="12" customWidth="1"/>
    <col min="4104" max="4104" width="7.7109375" style="12" customWidth="1"/>
    <col min="4105" max="4105" width="8.7109375" style="12" customWidth="1"/>
    <col min="4106" max="4106" width="16.28515625" style="12" customWidth="1"/>
    <col min="4107" max="4107" width="7.7109375" style="12" customWidth="1"/>
    <col min="4108" max="4108" width="8" style="12" customWidth="1"/>
    <col min="4109" max="4109" width="7.7109375" style="12" customWidth="1"/>
    <col min="4110" max="4110" width="8.7109375" style="12" customWidth="1"/>
    <col min="4111" max="4350" width="9.140625" style="12"/>
    <col min="4351" max="4351" width="18.140625" style="12" customWidth="1"/>
    <col min="4352" max="4352" width="15.85546875" style="12" customWidth="1"/>
    <col min="4353" max="4354" width="6.7109375" style="12" customWidth="1"/>
    <col min="4355" max="4355" width="5.7109375" style="12" customWidth="1"/>
    <col min="4356" max="4356" width="7" style="12" customWidth="1"/>
    <col min="4357" max="4357" width="5.7109375" style="12" customWidth="1"/>
    <col min="4358" max="4358" width="7.7109375" style="12" customWidth="1"/>
    <col min="4359" max="4359" width="8.7109375" style="12" customWidth="1"/>
    <col min="4360" max="4360" width="7.7109375" style="12" customWidth="1"/>
    <col min="4361" max="4361" width="8.7109375" style="12" customWidth="1"/>
    <col min="4362" max="4362" width="16.28515625" style="12" customWidth="1"/>
    <col min="4363" max="4363" width="7.7109375" style="12" customWidth="1"/>
    <col min="4364" max="4364" width="8" style="12" customWidth="1"/>
    <col min="4365" max="4365" width="7.7109375" style="12" customWidth="1"/>
    <col min="4366" max="4366" width="8.7109375" style="12" customWidth="1"/>
    <col min="4367" max="4606" width="9.140625" style="12"/>
    <col min="4607" max="4607" width="18.140625" style="12" customWidth="1"/>
    <col min="4608" max="4608" width="15.85546875" style="12" customWidth="1"/>
    <col min="4609" max="4610" width="6.7109375" style="12" customWidth="1"/>
    <col min="4611" max="4611" width="5.7109375" style="12" customWidth="1"/>
    <col min="4612" max="4612" width="7" style="12" customWidth="1"/>
    <col min="4613" max="4613" width="5.7109375" style="12" customWidth="1"/>
    <col min="4614" max="4614" width="7.7109375" style="12" customWidth="1"/>
    <col min="4615" max="4615" width="8.7109375" style="12" customWidth="1"/>
    <col min="4616" max="4616" width="7.7109375" style="12" customWidth="1"/>
    <col min="4617" max="4617" width="8.7109375" style="12" customWidth="1"/>
    <col min="4618" max="4618" width="16.28515625" style="12" customWidth="1"/>
    <col min="4619" max="4619" width="7.7109375" style="12" customWidth="1"/>
    <col min="4620" max="4620" width="8" style="12" customWidth="1"/>
    <col min="4621" max="4621" width="7.7109375" style="12" customWidth="1"/>
    <col min="4622" max="4622" width="8.7109375" style="12" customWidth="1"/>
    <col min="4623" max="4862" width="9.140625" style="12"/>
    <col min="4863" max="4863" width="18.140625" style="12" customWidth="1"/>
    <col min="4864" max="4864" width="15.85546875" style="12" customWidth="1"/>
    <col min="4865" max="4866" width="6.7109375" style="12" customWidth="1"/>
    <col min="4867" max="4867" width="5.7109375" style="12" customWidth="1"/>
    <col min="4868" max="4868" width="7" style="12" customWidth="1"/>
    <col min="4869" max="4869" width="5.7109375" style="12" customWidth="1"/>
    <col min="4870" max="4870" width="7.7109375" style="12" customWidth="1"/>
    <col min="4871" max="4871" width="8.7109375" style="12" customWidth="1"/>
    <col min="4872" max="4872" width="7.7109375" style="12" customWidth="1"/>
    <col min="4873" max="4873" width="8.7109375" style="12" customWidth="1"/>
    <col min="4874" max="4874" width="16.28515625" style="12" customWidth="1"/>
    <col min="4875" max="4875" width="7.7109375" style="12" customWidth="1"/>
    <col min="4876" max="4876" width="8" style="12" customWidth="1"/>
    <col min="4877" max="4877" width="7.7109375" style="12" customWidth="1"/>
    <col min="4878" max="4878" width="8.7109375" style="12" customWidth="1"/>
    <col min="4879" max="5118" width="9.140625" style="12"/>
    <col min="5119" max="5119" width="18.140625" style="12" customWidth="1"/>
    <col min="5120" max="5120" width="15.85546875" style="12" customWidth="1"/>
    <col min="5121" max="5122" width="6.7109375" style="12" customWidth="1"/>
    <col min="5123" max="5123" width="5.7109375" style="12" customWidth="1"/>
    <col min="5124" max="5124" width="7" style="12" customWidth="1"/>
    <col min="5125" max="5125" width="5.7109375" style="12" customWidth="1"/>
    <col min="5126" max="5126" width="7.7109375" style="12" customWidth="1"/>
    <col min="5127" max="5127" width="8.7109375" style="12" customWidth="1"/>
    <col min="5128" max="5128" width="7.7109375" style="12" customWidth="1"/>
    <col min="5129" max="5129" width="8.7109375" style="12" customWidth="1"/>
    <col min="5130" max="5130" width="16.28515625" style="12" customWidth="1"/>
    <col min="5131" max="5131" width="7.7109375" style="12" customWidth="1"/>
    <col min="5132" max="5132" width="8" style="12" customWidth="1"/>
    <col min="5133" max="5133" width="7.7109375" style="12" customWidth="1"/>
    <col min="5134" max="5134" width="8.7109375" style="12" customWidth="1"/>
    <col min="5135" max="5374" width="9.140625" style="12"/>
    <col min="5375" max="5375" width="18.140625" style="12" customWidth="1"/>
    <col min="5376" max="5376" width="15.85546875" style="12" customWidth="1"/>
    <col min="5377" max="5378" width="6.7109375" style="12" customWidth="1"/>
    <col min="5379" max="5379" width="5.7109375" style="12" customWidth="1"/>
    <col min="5380" max="5380" width="7" style="12" customWidth="1"/>
    <col min="5381" max="5381" width="5.7109375" style="12" customWidth="1"/>
    <col min="5382" max="5382" width="7.7109375" style="12" customWidth="1"/>
    <col min="5383" max="5383" width="8.7109375" style="12" customWidth="1"/>
    <col min="5384" max="5384" width="7.7109375" style="12" customWidth="1"/>
    <col min="5385" max="5385" width="8.7109375" style="12" customWidth="1"/>
    <col min="5386" max="5386" width="16.28515625" style="12" customWidth="1"/>
    <col min="5387" max="5387" width="7.7109375" style="12" customWidth="1"/>
    <col min="5388" max="5388" width="8" style="12" customWidth="1"/>
    <col min="5389" max="5389" width="7.7109375" style="12" customWidth="1"/>
    <col min="5390" max="5390" width="8.7109375" style="12" customWidth="1"/>
    <col min="5391" max="5630" width="9.140625" style="12"/>
    <col min="5631" max="5631" width="18.140625" style="12" customWidth="1"/>
    <col min="5632" max="5632" width="15.85546875" style="12" customWidth="1"/>
    <col min="5633" max="5634" width="6.7109375" style="12" customWidth="1"/>
    <col min="5635" max="5635" width="5.7109375" style="12" customWidth="1"/>
    <col min="5636" max="5636" width="7" style="12" customWidth="1"/>
    <col min="5637" max="5637" width="5.7109375" style="12" customWidth="1"/>
    <col min="5638" max="5638" width="7.7109375" style="12" customWidth="1"/>
    <col min="5639" max="5639" width="8.7109375" style="12" customWidth="1"/>
    <col min="5640" max="5640" width="7.7109375" style="12" customWidth="1"/>
    <col min="5641" max="5641" width="8.7109375" style="12" customWidth="1"/>
    <col min="5642" max="5642" width="16.28515625" style="12" customWidth="1"/>
    <col min="5643" max="5643" width="7.7109375" style="12" customWidth="1"/>
    <col min="5644" max="5644" width="8" style="12" customWidth="1"/>
    <col min="5645" max="5645" width="7.7109375" style="12" customWidth="1"/>
    <col min="5646" max="5646" width="8.7109375" style="12" customWidth="1"/>
    <col min="5647" max="5886" width="9.140625" style="12"/>
    <col min="5887" max="5887" width="18.140625" style="12" customWidth="1"/>
    <col min="5888" max="5888" width="15.85546875" style="12" customWidth="1"/>
    <col min="5889" max="5890" width="6.7109375" style="12" customWidth="1"/>
    <col min="5891" max="5891" width="5.7109375" style="12" customWidth="1"/>
    <col min="5892" max="5892" width="7" style="12" customWidth="1"/>
    <col min="5893" max="5893" width="5.7109375" style="12" customWidth="1"/>
    <col min="5894" max="5894" width="7.7109375" style="12" customWidth="1"/>
    <col min="5895" max="5895" width="8.7109375" style="12" customWidth="1"/>
    <col min="5896" max="5896" width="7.7109375" style="12" customWidth="1"/>
    <col min="5897" max="5897" width="8.7109375" style="12" customWidth="1"/>
    <col min="5898" max="5898" width="16.28515625" style="12" customWidth="1"/>
    <col min="5899" max="5899" width="7.7109375" style="12" customWidth="1"/>
    <col min="5900" max="5900" width="8" style="12" customWidth="1"/>
    <col min="5901" max="5901" width="7.7109375" style="12" customWidth="1"/>
    <col min="5902" max="5902" width="8.7109375" style="12" customWidth="1"/>
    <col min="5903" max="6142" width="9.140625" style="12"/>
    <col min="6143" max="6143" width="18.140625" style="12" customWidth="1"/>
    <col min="6144" max="6144" width="15.85546875" style="12" customWidth="1"/>
    <col min="6145" max="6146" width="6.7109375" style="12" customWidth="1"/>
    <col min="6147" max="6147" width="5.7109375" style="12" customWidth="1"/>
    <col min="6148" max="6148" width="7" style="12" customWidth="1"/>
    <col min="6149" max="6149" width="5.7109375" style="12" customWidth="1"/>
    <col min="6150" max="6150" width="7.7109375" style="12" customWidth="1"/>
    <col min="6151" max="6151" width="8.7109375" style="12" customWidth="1"/>
    <col min="6152" max="6152" width="7.7109375" style="12" customWidth="1"/>
    <col min="6153" max="6153" width="8.7109375" style="12" customWidth="1"/>
    <col min="6154" max="6154" width="16.28515625" style="12" customWidth="1"/>
    <col min="6155" max="6155" width="7.7109375" style="12" customWidth="1"/>
    <col min="6156" max="6156" width="8" style="12" customWidth="1"/>
    <col min="6157" max="6157" width="7.7109375" style="12" customWidth="1"/>
    <col min="6158" max="6158" width="8.7109375" style="12" customWidth="1"/>
    <col min="6159" max="6398" width="9.140625" style="12"/>
    <col min="6399" max="6399" width="18.140625" style="12" customWidth="1"/>
    <col min="6400" max="6400" width="15.85546875" style="12" customWidth="1"/>
    <col min="6401" max="6402" width="6.7109375" style="12" customWidth="1"/>
    <col min="6403" max="6403" width="5.7109375" style="12" customWidth="1"/>
    <col min="6404" max="6404" width="7" style="12" customWidth="1"/>
    <col min="6405" max="6405" width="5.7109375" style="12" customWidth="1"/>
    <col min="6406" max="6406" width="7.7109375" style="12" customWidth="1"/>
    <col min="6407" max="6407" width="8.7109375" style="12" customWidth="1"/>
    <col min="6408" max="6408" width="7.7109375" style="12" customWidth="1"/>
    <col min="6409" max="6409" width="8.7109375" style="12" customWidth="1"/>
    <col min="6410" max="6410" width="16.28515625" style="12" customWidth="1"/>
    <col min="6411" max="6411" width="7.7109375" style="12" customWidth="1"/>
    <col min="6412" max="6412" width="8" style="12" customWidth="1"/>
    <col min="6413" max="6413" width="7.7109375" style="12" customWidth="1"/>
    <col min="6414" max="6414" width="8.7109375" style="12" customWidth="1"/>
    <col min="6415" max="6654" width="9.140625" style="12"/>
    <col min="6655" max="6655" width="18.140625" style="12" customWidth="1"/>
    <col min="6656" max="6656" width="15.85546875" style="12" customWidth="1"/>
    <col min="6657" max="6658" width="6.7109375" style="12" customWidth="1"/>
    <col min="6659" max="6659" width="5.7109375" style="12" customWidth="1"/>
    <col min="6660" max="6660" width="7" style="12" customWidth="1"/>
    <col min="6661" max="6661" width="5.7109375" style="12" customWidth="1"/>
    <col min="6662" max="6662" width="7.7109375" style="12" customWidth="1"/>
    <col min="6663" max="6663" width="8.7109375" style="12" customWidth="1"/>
    <col min="6664" max="6664" width="7.7109375" style="12" customWidth="1"/>
    <col min="6665" max="6665" width="8.7109375" style="12" customWidth="1"/>
    <col min="6666" max="6666" width="16.28515625" style="12" customWidth="1"/>
    <col min="6667" max="6667" width="7.7109375" style="12" customWidth="1"/>
    <col min="6668" max="6668" width="8" style="12" customWidth="1"/>
    <col min="6669" max="6669" width="7.7109375" style="12" customWidth="1"/>
    <col min="6670" max="6670" width="8.7109375" style="12" customWidth="1"/>
    <col min="6671" max="6910" width="9.140625" style="12"/>
    <col min="6911" max="6911" width="18.140625" style="12" customWidth="1"/>
    <col min="6912" max="6912" width="15.85546875" style="12" customWidth="1"/>
    <col min="6913" max="6914" width="6.7109375" style="12" customWidth="1"/>
    <col min="6915" max="6915" width="5.7109375" style="12" customWidth="1"/>
    <col min="6916" max="6916" width="7" style="12" customWidth="1"/>
    <col min="6917" max="6917" width="5.7109375" style="12" customWidth="1"/>
    <col min="6918" max="6918" width="7.7109375" style="12" customWidth="1"/>
    <col min="6919" max="6919" width="8.7109375" style="12" customWidth="1"/>
    <col min="6920" max="6920" width="7.7109375" style="12" customWidth="1"/>
    <col min="6921" max="6921" width="8.7109375" style="12" customWidth="1"/>
    <col min="6922" max="6922" width="16.28515625" style="12" customWidth="1"/>
    <col min="6923" max="6923" width="7.7109375" style="12" customWidth="1"/>
    <col min="6924" max="6924" width="8" style="12" customWidth="1"/>
    <col min="6925" max="6925" width="7.7109375" style="12" customWidth="1"/>
    <col min="6926" max="6926" width="8.7109375" style="12" customWidth="1"/>
    <col min="6927" max="7166" width="9.140625" style="12"/>
    <col min="7167" max="7167" width="18.140625" style="12" customWidth="1"/>
    <col min="7168" max="7168" width="15.85546875" style="12" customWidth="1"/>
    <col min="7169" max="7170" width="6.7109375" style="12" customWidth="1"/>
    <col min="7171" max="7171" width="5.7109375" style="12" customWidth="1"/>
    <col min="7172" max="7172" width="7" style="12" customWidth="1"/>
    <col min="7173" max="7173" width="5.7109375" style="12" customWidth="1"/>
    <col min="7174" max="7174" width="7.7109375" style="12" customWidth="1"/>
    <col min="7175" max="7175" width="8.7109375" style="12" customWidth="1"/>
    <col min="7176" max="7176" width="7.7109375" style="12" customWidth="1"/>
    <col min="7177" max="7177" width="8.7109375" style="12" customWidth="1"/>
    <col min="7178" max="7178" width="16.28515625" style="12" customWidth="1"/>
    <col min="7179" max="7179" width="7.7109375" style="12" customWidth="1"/>
    <col min="7180" max="7180" width="8" style="12" customWidth="1"/>
    <col min="7181" max="7181" width="7.7109375" style="12" customWidth="1"/>
    <col min="7182" max="7182" width="8.7109375" style="12" customWidth="1"/>
    <col min="7183" max="7422" width="9.140625" style="12"/>
    <col min="7423" max="7423" width="18.140625" style="12" customWidth="1"/>
    <col min="7424" max="7424" width="15.85546875" style="12" customWidth="1"/>
    <col min="7425" max="7426" width="6.7109375" style="12" customWidth="1"/>
    <col min="7427" max="7427" width="5.7109375" style="12" customWidth="1"/>
    <col min="7428" max="7428" width="7" style="12" customWidth="1"/>
    <col min="7429" max="7429" width="5.7109375" style="12" customWidth="1"/>
    <col min="7430" max="7430" width="7.7109375" style="12" customWidth="1"/>
    <col min="7431" max="7431" width="8.7109375" style="12" customWidth="1"/>
    <col min="7432" max="7432" width="7.7109375" style="12" customWidth="1"/>
    <col min="7433" max="7433" width="8.7109375" style="12" customWidth="1"/>
    <col min="7434" max="7434" width="16.28515625" style="12" customWidth="1"/>
    <col min="7435" max="7435" width="7.7109375" style="12" customWidth="1"/>
    <col min="7436" max="7436" width="8" style="12" customWidth="1"/>
    <col min="7437" max="7437" width="7.7109375" style="12" customWidth="1"/>
    <col min="7438" max="7438" width="8.7109375" style="12" customWidth="1"/>
    <col min="7439" max="7678" width="9.140625" style="12"/>
    <col min="7679" max="7679" width="18.140625" style="12" customWidth="1"/>
    <col min="7680" max="7680" width="15.85546875" style="12" customWidth="1"/>
    <col min="7681" max="7682" width="6.7109375" style="12" customWidth="1"/>
    <col min="7683" max="7683" width="5.7109375" style="12" customWidth="1"/>
    <col min="7684" max="7684" width="7" style="12" customWidth="1"/>
    <col min="7685" max="7685" width="5.7109375" style="12" customWidth="1"/>
    <col min="7686" max="7686" width="7.7109375" style="12" customWidth="1"/>
    <col min="7687" max="7687" width="8.7109375" style="12" customWidth="1"/>
    <col min="7688" max="7688" width="7.7109375" style="12" customWidth="1"/>
    <col min="7689" max="7689" width="8.7109375" style="12" customWidth="1"/>
    <col min="7690" max="7690" width="16.28515625" style="12" customWidth="1"/>
    <col min="7691" max="7691" width="7.7109375" style="12" customWidth="1"/>
    <col min="7692" max="7692" width="8" style="12" customWidth="1"/>
    <col min="7693" max="7693" width="7.7109375" style="12" customWidth="1"/>
    <col min="7694" max="7694" width="8.7109375" style="12" customWidth="1"/>
    <col min="7695" max="7934" width="9.140625" style="12"/>
    <col min="7935" max="7935" width="18.140625" style="12" customWidth="1"/>
    <col min="7936" max="7936" width="15.85546875" style="12" customWidth="1"/>
    <col min="7937" max="7938" width="6.7109375" style="12" customWidth="1"/>
    <col min="7939" max="7939" width="5.7109375" style="12" customWidth="1"/>
    <col min="7940" max="7940" width="7" style="12" customWidth="1"/>
    <col min="7941" max="7941" width="5.7109375" style="12" customWidth="1"/>
    <col min="7942" max="7942" width="7.7109375" style="12" customWidth="1"/>
    <col min="7943" max="7943" width="8.7109375" style="12" customWidth="1"/>
    <col min="7944" max="7944" width="7.7109375" style="12" customWidth="1"/>
    <col min="7945" max="7945" width="8.7109375" style="12" customWidth="1"/>
    <col min="7946" max="7946" width="16.28515625" style="12" customWidth="1"/>
    <col min="7947" max="7947" width="7.7109375" style="12" customWidth="1"/>
    <col min="7948" max="7948" width="8" style="12" customWidth="1"/>
    <col min="7949" max="7949" width="7.7109375" style="12" customWidth="1"/>
    <col min="7950" max="7950" width="8.7109375" style="12" customWidth="1"/>
    <col min="7951" max="8190" width="9.140625" style="12"/>
    <col min="8191" max="8191" width="18.140625" style="12" customWidth="1"/>
    <col min="8192" max="8192" width="15.85546875" style="12" customWidth="1"/>
    <col min="8193" max="8194" width="6.7109375" style="12" customWidth="1"/>
    <col min="8195" max="8195" width="5.7109375" style="12" customWidth="1"/>
    <col min="8196" max="8196" width="7" style="12" customWidth="1"/>
    <col min="8197" max="8197" width="5.7109375" style="12" customWidth="1"/>
    <col min="8198" max="8198" width="7.7109375" style="12" customWidth="1"/>
    <col min="8199" max="8199" width="8.7109375" style="12" customWidth="1"/>
    <col min="8200" max="8200" width="7.7109375" style="12" customWidth="1"/>
    <col min="8201" max="8201" width="8.7109375" style="12" customWidth="1"/>
    <col min="8202" max="8202" width="16.28515625" style="12" customWidth="1"/>
    <col min="8203" max="8203" width="7.7109375" style="12" customWidth="1"/>
    <col min="8204" max="8204" width="8" style="12" customWidth="1"/>
    <col min="8205" max="8205" width="7.7109375" style="12" customWidth="1"/>
    <col min="8206" max="8206" width="8.7109375" style="12" customWidth="1"/>
    <col min="8207" max="8446" width="9.140625" style="12"/>
    <col min="8447" max="8447" width="18.140625" style="12" customWidth="1"/>
    <col min="8448" max="8448" width="15.85546875" style="12" customWidth="1"/>
    <col min="8449" max="8450" width="6.7109375" style="12" customWidth="1"/>
    <col min="8451" max="8451" width="5.7109375" style="12" customWidth="1"/>
    <col min="8452" max="8452" width="7" style="12" customWidth="1"/>
    <col min="8453" max="8453" width="5.7109375" style="12" customWidth="1"/>
    <col min="8454" max="8454" width="7.7109375" style="12" customWidth="1"/>
    <col min="8455" max="8455" width="8.7109375" style="12" customWidth="1"/>
    <col min="8456" max="8456" width="7.7109375" style="12" customWidth="1"/>
    <col min="8457" max="8457" width="8.7109375" style="12" customWidth="1"/>
    <col min="8458" max="8458" width="16.28515625" style="12" customWidth="1"/>
    <col min="8459" max="8459" width="7.7109375" style="12" customWidth="1"/>
    <col min="8460" max="8460" width="8" style="12" customWidth="1"/>
    <col min="8461" max="8461" width="7.7109375" style="12" customWidth="1"/>
    <col min="8462" max="8462" width="8.7109375" style="12" customWidth="1"/>
    <col min="8463" max="8702" width="9.140625" style="12"/>
    <col min="8703" max="8703" width="18.140625" style="12" customWidth="1"/>
    <col min="8704" max="8704" width="15.85546875" style="12" customWidth="1"/>
    <col min="8705" max="8706" width="6.7109375" style="12" customWidth="1"/>
    <col min="8707" max="8707" width="5.7109375" style="12" customWidth="1"/>
    <col min="8708" max="8708" width="7" style="12" customWidth="1"/>
    <col min="8709" max="8709" width="5.7109375" style="12" customWidth="1"/>
    <col min="8710" max="8710" width="7.7109375" style="12" customWidth="1"/>
    <col min="8711" max="8711" width="8.7109375" style="12" customWidth="1"/>
    <col min="8712" max="8712" width="7.7109375" style="12" customWidth="1"/>
    <col min="8713" max="8713" width="8.7109375" style="12" customWidth="1"/>
    <col min="8714" max="8714" width="16.28515625" style="12" customWidth="1"/>
    <col min="8715" max="8715" width="7.7109375" style="12" customWidth="1"/>
    <col min="8716" max="8716" width="8" style="12" customWidth="1"/>
    <col min="8717" max="8717" width="7.7109375" style="12" customWidth="1"/>
    <col min="8718" max="8718" width="8.7109375" style="12" customWidth="1"/>
    <col min="8719" max="8958" width="9.140625" style="12"/>
    <col min="8959" max="8959" width="18.140625" style="12" customWidth="1"/>
    <col min="8960" max="8960" width="15.85546875" style="12" customWidth="1"/>
    <col min="8961" max="8962" width="6.7109375" style="12" customWidth="1"/>
    <col min="8963" max="8963" width="5.7109375" style="12" customWidth="1"/>
    <col min="8964" max="8964" width="7" style="12" customWidth="1"/>
    <col min="8965" max="8965" width="5.7109375" style="12" customWidth="1"/>
    <col min="8966" max="8966" width="7.7109375" style="12" customWidth="1"/>
    <col min="8967" max="8967" width="8.7109375" style="12" customWidth="1"/>
    <col min="8968" max="8968" width="7.7109375" style="12" customWidth="1"/>
    <col min="8969" max="8969" width="8.7109375" style="12" customWidth="1"/>
    <col min="8970" max="8970" width="16.28515625" style="12" customWidth="1"/>
    <col min="8971" max="8971" width="7.7109375" style="12" customWidth="1"/>
    <col min="8972" max="8972" width="8" style="12" customWidth="1"/>
    <col min="8973" max="8973" width="7.7109375" style="12" customWidth="1"/>
    <col min="8974" max="8974" width="8.7109375" style="12" customWidth="1"/>
    <col min="8975" max="9214" width="9.140625" style="12"/>
    <col min="9215" max="9215" width="18.140625" style="12" customWidth="1"/>
    <col min="9216" max="9216" width="15.85546875" style="12" customWidth="1"/>
    <col min="9217" max="9218" width="6.7109375" style="12" customWidth="1"/>
    <col min="9219" max="9219" width="5.7109375" style="12" customWidth="1"/>
    <col min="9220" max="9220" width="7" style="12" customWidth="1"/>
    <col min="9221" max="9221" width="5.7109375" style="12" customWidth="1"/>
    <col min="9222" max="9222" width="7.7109375" style="12" customWidth="1"/>
    <col min="9223" max="9223" width="8.7109375" style="12" customWidth="1"/>
    <col min="9224" max="9224" width="7.7109375" style="12" customWidth="1"/>
    <col min="9225" max="9225" width="8.7109375" style="12" customWidth="1"/>
    <col min="9226" max="9226" width="16.28515625" style="12" customWidth="1"/>
    <col min="9227" max="9227" width="7.7109375" style="12" customWidth="1"/>
    <col min="9228" max="9228" width="8" style="12" customWidth="1"/>
    <col min="9229" max="9229" width="7.7109375" style="12" customWidth="1"/>
    <col min="9230" max="9230" width="8.7109375" style="12" customWidth="1"/>
    <col min="9231" max="9470" width="9.140625" style="12"/>
    <col min="9471" max="9471" width="18.140625" style="12" customWidth="1"/>
    <col min="9472" max="9472" width="15.85546875" style="12" customWidth="1"/>
    <col min="9473" max="9474" width="6.7109375" style="12" customWidth="1"/>
    <col min="9475" max="9475" width="5.7109375" style="12" customWidth="1"/>
    <col min="9476" max="9476" width="7" style="12" customWidth="1"/>
    <col min="9477" max="9477" width="5.7109375" style="12" customWidth="1"/>
    <col min="9478" max="9478" width="7.7109375" style="12" customWidth="1"/>
    <col min="9479" max="9479" width="8.7109375" style="12" customWidth="1"/>
    <col min="9480" max="9480" width="7.7109375" style="12" customWidth="1"/>
    <col min="9481" max="9481" width="8.7109375" style="12" customWidth="1"/>
    <col min="9482" max="9482" width="16.28515625" style="12" customWidth="1"/>
    <col min="9483" max="9483" width="7.7109375" style="12" customWidth="1"/>
    <col min="9484" max="9484" width="8" style="12" customWidth="1"/>
    <col min="9485" max="9485" width="7.7109375" style="12" customWidth="1"/>
    <col min="9486" max="9486" width="8.7109375" style="12" customWidth="1"/>
    <col min="9487" max="9726" width="9.140625" style="12"/>
    <col min="9727" max="9727" width="18.140625" style="12" customWidth="1"/>
    <col min="9728" max="9728" width="15.85546875" style="12" customWidth="1"/>
    <col min="9729" max="9730" width="6.7109375" style="12" customWidth="1"/>
    <col min="9731" max="9731" width="5.7109375" style="12" customWidth="1"/>
    <col min="9732" max="9732" width="7" style="12" customWidth="1"/>
    <col min="9733" max="9733" width="5.7109375" style="12" customWidth="1"/>
    <col min="9734" max="9734" width="7.7109375" style="12" customWidth="1"/>
    <col min="9735" max="9735" width="8.7109375" style="12" customWidth="1"/>
    <col min="9736" max="9736" width="7.7109375" style="12" customWidth="1"/>
    <col min="9737" max="9737" width="8.7109375" style="12" customWidth="1"/>
    <col min="9738" max="9738" width="16.28515625" style="12" customWidth="1"/>
    <col min="9739" max="9739" width="7.7109375" style="12" customWidth="1"/>
    <col min="9740" max="9740" width="8" style="12" customWidth="1"/>
    <col min="9741" max="9741" width="7.7109375" style="12" customWidth="1"/>
    <col min="9742" max="9742" width="8.7109375" style="12" customWidth="1"/>
    <col min="9743" max="9982" width="9.140625" style="12"/>
    <col min="9983" max="9983" width="18.140625" style="12" customWidth="1"/>
    <col min="9984" max="9984" width="15.85546875" style="12" customWidth="1"/>
    <col min="9985" max="9986" width="6.7109375" style="12" customWidth="1"/>
    <col min="9987" max="9987" width="5.7109375" style="12" customWidth="1"/>
    <col min="9988" max="9988" width="7" style="12" customWidth="1"/>
    <col min="9989" max="9989" width="5.7109375" style="12" customWidth="1"/>
    <col min="9990" max="9990" width="7.7109375" style="12" customWidth="1"/>
    <col min="9991" max="9991" width="8.7109375" style="12" customWidth="1"/>
    <col min="9992" max="9992" width="7.7109375" style="12" customWidth="1"/>
    <col min="9993" max="9993" width="8.7109375" style="12" customWidth="1"/>
    <col min="9994" max="9994" width="16.28515625" style="12" customWidth="1"/>
    <col min="9995" max="9995" width="7.7109375" style="12" customWidth="1"/>
    <col min="9996" max="9996" width="8" style="12" customWidth="1"/>
    <col min="9997" max="9997" width="7.7109375" style="12" customWidth="1"/>
    <col min="9998" max="9998" width="8.7109375" style="12" customWidth="1"/>
    <col min="9999" max="10238" width="9.140625" style="12"/>
    <col min="10239" max="10239" width="18.140625" style="12" customWidth="1"/>
    <col min="10240" max="10240" width="15.85546875" style="12" customWidth="1"/>
    <col min="10241" max="10242" width="6.7109375" style="12" customWidth="1"/>
    <col min="10243" max="10243" width="5.7109375" style="12" customWidth="1"/>
    <col min="10244" max="10244" width="7" style="12" customWidth="1"/>
    <col min="10245" max="10245" width="5.7109375" style="12" customWidth="1"/>
    <col min="10246" max="10246" width="7.7109375" style="12" customWidth="1"/>
    <col min="10247" max="10247" width="8.7109375" style="12" customWidth="1"/>
    <col min="10248" max="10248" width="7.7109375" style="12" customWidth="1"/>
    <col min="10249" max="10249" width="8.7109375" style="12" customWidth="1"/>
    <col min="10250" max="10250" width="16.28515625" style="12" customWidth="1"/>
    <col min="10251" max="10251" width="7.7109375" style="12" customWidth="1"/>
    <col min="10252" max="10252" width="8" style="12" customWidth="1"/>
    <col min="10253" max="10253" width="7.7109375" style="12" customWidth="1"/>
    <col min="10254" max="10254" width="8.7109375" style="12" customWidth="1"/>
    <col min="10255" max="10494" width="9.140625" style="12"/>
    <col min="10495" max="10495" width="18.140625" style="12" customWidth="1"/>
    <col min="10496" max="10496" width="15.85546875" style="12" customWidth="1"/>
    <col min="10497" max="10498" width="6.7109375" style="12" customWidth="1"/>
    <col min="10499" max="10499" width="5.7109375" style="12" customWidth="1"/>
    <col min="10500" max="10500" width="7" style="12" customWidth="1"/>
    <col min="10501" max="10501" width="5.7109375" style="12" customWidth="1"/>
    <col min="10502" max="10502" width="7.7109375" style="12" customWidth="1"/>
    <col min="10503" max="10503" width="8.7109375" style="12" customWidth="1"/>
    <col min="10504" max="10504" width="7.7109375" style="12" customWidth="1"/>
    <col min="10505" max="10505" width="8.7109375" style="12" customWidth="1"/>
    <col min="10506" max="10506" width="16.28515625" style="12" customWidth="1"/>
    <col min="10507" max="10507" width="7.7109375" style="12" customWidth="1"/>
    <col min="10508" max="10508" width="8" style="12" customWidth="1"/>
    <col min="10509" max="10509" width="7.7109375" style="12" customWidth="1"/>
    <col min="10510" max="10510" width="8.7109375" style="12" customWidth="1"/>
    <col min="10511" max="10750" width="9.140625" style="12"/>
    <col min="10751" max="10751" width="18.140625" style="12" customWidth="1"/>
    <col min="10752" max="10752" width="15.85546875" style="12" customWidth="1"/>
    <col min="10753" max="10754" width="6.7109375" style="12" customWidth="1"/>
    <col min="10755" max="10755" width="5.7109375" style="12" customWidth="1"/>
    <col min="10756" max="10756" width="7" style="12" customWidth="1"/>
    <col min="10757" max="10757" width="5.7109375" style="12" customWidth="1"/>
    <col min="10758" max="10758" width="7.7109375" style="12" customWidth="1"/>
    <col min="10759" max="10759" width="8.7109375" style="12" customWidth="1"/>
    <col min="10760" max="10760" width="7.7109375" style="12" customWidth="1"/>
    <col min="10761" max="10761" width="8.7109375" style="12" customWidth="1"/>
    <col min="10762" max="10762" width="16.28515625" style="12" customWidth="1"/>
    <col min="10763" max="10763" width="7.7109375" style="12" customWidth="1"/>
    <col min="10764" max="10764" width="8" style="12" customWidth="1"/>
    <col min="10765" max="10765" width="7.7109375" style="12" customWidth="1"/>
    <col min="10766" max="10766" width="8.7109375" style="12" customWidth="1"/>
    <col min="10767" max="11006" width="9.140625" style="12"/>
    <col min="11007" max="11007" width="18.140625" style="12" customWidth="1"/>
    <col min="11008" max="11008" width="15.85546875" style="12" customWidth="1"/>
    <col min="11009" max="11010" width="6.7109375" style="12" customWidth="1"/>
    <col min="11011" max="11011" width="5.7109375" style="12" customWidth="1"/>
    <col min="11012" max="11012" width="7" style="12" customWidth="1"/>
    <col min="11013" max="11013" width="5.7109375" style="12" customWidth="1"/>
    <col min="11014" max="11014" width="7.7109375" style="12" customWidth="1"/>
    <col min="11015" max="11015" width="8.7109375" style="12" customWidth="1"/>
    <col min="11016" max="11016" width="7.7109375" style="12" customWidth="1"/>
    <col min="11017" max="11017" width="8.7109375" style="12" customWidth="1"/>
    <col min="11018" max="11018" width="16.28515625" style="12" customWidth="1"/>
    <col min="11019" max="11019" width="7.7109375" style="12" customWidth="1"/>
    <col min="11020" max="11020" width="8" style="12" customWidth="1"/>
    <col min="11021" max="11021" width="7.7109375" style="12" customWidth="1"/>
    <col min="11022" max="11022" width="8.7109375" style="12" customWidth="1"/>
    <col min="11023" max="11262" width="9.140625" style="12"/>
    <col min="11263" max="11263" width="18.140625" style="12" customWidth="1"/>
    <col min="11264" max="11264" width="15.85546875" style="12" customWidth="1"/>
    <col min="11265" max="11266" width="6.7109375" style="12" customWidth="1"/>
    <col min="11267" max="11267" width="5.7109375" style="12" customWidth="1"/>
    <col min="11268" max="11268" width="7" style="12" customWidth="1"/>
    <col min="11269" max="11269" width="5.7109375" style="12" customWidth="1"/>
    <col min="11270" max="11270" width="7.7109375" style="12" customWidth="1"/>
    <col min="11271" max="11271" width="8.7109375" style="12" customWidth="1"/>
    <col min="11272" max="11272" width="7.7109375" style="12" customWidth="1"/>
    <col min="11273" max="11273" width="8.7109375" style="12" customWidth="1"/>
    <col min="11274" max="11274" width="16.28515625" style="12" customWidth="1"/>
    <col min="11275" max="11275" width="7.7109375" style="12" customWidth="1"/>
    <col min="11276" max="11276" width="8" style="12" customWidth="1"/>
    <col min="11277" max="11277" width="7.7109375" style="12" customWidth="1"/>
    <col min="11278" max="11278" width="8.7109375" style="12" customWidth="1"/>
    <col min="11279" max="11518" width="9.140625" style="12"/>
    <col min="11519" max="11519" width="18.140625" style="12" customWidth="1"/>
    <col min="11520" max="11520" width="15.85546875" style="12" customWidth="1"/>
    <col min="11521" max="11522" width="6.7109375" style="12" customWidth="1"/>
    <col min="11523" max="11523" width="5.7109375" style="12" customWidth="1"/>
    <col min="11524" max="11524" width="7" style="12" customWidth="1"/>
    <col min="11525" max="11525" width="5.7109375" style="12" customWidth="1"/>
    <col min="11526" max="11526" width="7.7109375" style="12" customWidth="1"/>
    <col min="11527" max="11527" width="8.7109375" style="12" customWidth="1"/>
    <col min="11528" max="11528" width="7.7109375" style="12" customWidth="1"/>
    <col min="11529" max="11529" width="8.7109375" style="12" customWidth="1"/>
    <col min="11530" max="11530" width="16.28515625" style="12" customWidth="1"/>
    <col min="11531" max="11531" width="7.7109375" style="12" customWidth="1"/>
    <col min="11532" max="11532" width="8" style="12" customWidth="1"/>
    <col min="11533" max="11533" width="7.7109375" style="12" customWidth="1"/>
    <col min="11534" max="11534" width="8.7109375" style="12" customWidth="1"/>
    <col min="11535" max="11774" width="9.140625" style="12"/>
    <col min="11775" max="11775" width="18.140625" style="12" customWidth="1"/>
    <col min="11776" max="11776" width="15.85546875" style="12" customWidth="1"/>
    <col min="11777" max="11778" width="6.7109375" style="12" customWidth="1"/>
    <col min="11779" max="11779" width="5.7109375" style="12" customWidth="1"/>
    <col min="11780" max="11780" width="7" style="12" customWidth="1"/>
    <col min="11781" max="11781" width="5.7109375" style="12" customWidth="1"/>
    <col min="11782" max="11782" width="7.7109375" style="12" customWidth="1"/>
    <col min="11783" max="11783" width="8.7109375" style="12" customWidth="1"/>
    <col min="11784" max="11784" width="7.7109375" style="12" customWidth="1"/>
    <col min="11785" max="11785" width="8.7109375" style="12" customWidth="1"/>
    <col min="11786" max="11786" width="16.28515625" style="12" customWidth="1"/>
    <col min="11787" max="11787" width="7.7109375" style="12" customWidth="1"/>
    <col min="11788" max="11788" width="8" style="12" customWidth="1"/>
    <col min="11789" max="11789" width="7.7109375" style="12" customWidth="1"/>
    <col min="11790" max="11790" width="8.7109375" style="12" customWidth="1"/>
    <col min="11791" max="12030" width="9.140625" style="12"/>
    <col min="12031" max="12031" width="18.140625" style="12" customWidth="1"/>
    <col min="12032" max="12032" width="15.85546875" style="12" customWidth="1"/>
    <col min="12033" max="12034" width="6.7109375" style="12" customWidth="1"/>
    <col min="12035" max="12035" width="5.7109375" style="12" customWidth="1"/>
    <col min="12036" max="12036" width="7" style="12" customWidth="1"/>
    <col min="12037" max="12037" width="5.7109375" style="12" customWidth="1"/>
    <col min="12038" max="12038" width="7.7109375" style="12" customWidth="1"/>
    <col min="12039" max="12039" width="8.7109375" style="12" customWidth="1"/>
    <col min="12040" max="12040" width="7.7109375" style="12" customWidth="1"/>
    <col min="12041" max="12041" width="8.7109375" style="12" customWidth="1"/>
    <col min="12042" max="12042" width="16.28515625" style="12" customWidth="1"/>
    <col min="12043" max="12043" width="7.7109375" style="12" customWidth="1"/>
    <col min="12044" max="12044" width="8" style="12" customWidth="1"/>
    <col min="12045" max="12045" width="7.7109375" style="12" customWidth="1"/>
    <col min="12046" max="12046" width="8.7109375" style="12" customWidth="1"/>
    <col min="12047" max="12286" width="9.140625" style="12"/>
    <col min="12287" max="12287" width="18.140625" style="12" customWidth="1"/>
    <col min="12288" max="12288" width="15.85546875" style="12" customWidth="1"/>
    <col min="12289" max="12290" width="6.7109375" style="12" customWidth="1"/>
    <col min="12291" max="12291" width="5.7109375" style="12" customWidth="1"/>
    <col min="12292" max="12292" width="7" style="12" customWidth="1"/>
    <col min="12293" max="12293" width="5.7109375" style="12" customWidth="1"/>
    <col min="12294" max="12294" width="7.7109375" style="12" customWidth="1"/>
    <col min="12295" max="12295" width="8.7109375" style="12" customWidth="1"/>
    <col min="12296" max="12296" width="7.7109375" style="12" customWidth="1"/>
    <col min="12297" max="12297" width="8.7109375" style="12" customWidth="1"/>
    <col min="12298" max="12298" width="16.28515625" style="12" customWidth="1"/>
    <col min="12299" max="12299" width="7.7109375" style="12" customWidth="1"/>
    <col min="12300" max="12300" width="8" style="12" customWidth="1"/>
    <col min="12301" max="12301" width="7.7109375" style="12" customWidth="1"/>
    <col min="12302" max="12302" width="8.7109375" style="12" customWidth="1"/>
    <col min="12303" max="12542" width="9.140625" style="12"/>
    <col min="12543" max="12543" width="18.140625" style="12" customWidth="1"/>
    <col min="12544" max="12544" width="15.85546875" style="12" customWidth="1"/>
    <col min="12545" max="12546" width="6.7109375" style="12" customWidth="1"/>
    <col min="12547" max="12547" width="5.7109375" style="12" customWidth="1"/>
    <col min="12548" max="12548" width="7" style="12" customWidth="1"/>
    <col min="12549" max="12549" width="5.7109375" style="12" customWidth="1"/>
    <col min="12550" max="12550" width="7.7109375" style="12" customWidth="1"/>
    <col min="12551" max="12551" width="8.7109375" style="12" customWidth="1"/>
    <col min="12552" max="12552" width="7.7109375" style="12" customWidth="1"/>
    <col min="12553" max="12553" width="8.7109375" style="12" customWidth="1"/>
    <col min="12554" max="12554" width="16.28515625" style="12" customWidth="1"/>
    <col min="12555" max="12555" width="7.7109375" style="12" customWidth="1"/>
    <col min="12556" max="12556" width="8" style="12" customWidth="1"/>
    <col min="12557" max="12557" width="7.7109375" style="12" customWidth="1"/>
    <col min="12558" max="12558" width="8.7109375" style="12" customWidth="1"/>
    <col min="12559" max="12798" width="9.140625" style="12"/>
    <col min="12799" max="12799" width="18.140625" style="12" customWidth="1"/>
    <col min="12800" max="12800" width="15.85546875" style="12" customWidth="1"/>
    <col min="12801" max="12802" width="6.7109375" style="12" customWidth="1"/>
    <col min="12803" max="12803" width="5.7109375" style="12" customWidth="1"/>
    <col min="12804" max="12804" width="7" style="12" customWidth="1"/>
    <col min="12805" max="12805" width="5.7109375" style="12" customWidth="1"/>
    <col min="12806" max="12806" width="7.7109375" style="12" customWidth="1"/>
    <col min="12807" max="12807" width="8.7109375" style="12" customWidth="1"/>
    <col min="12808" max="12808" width="7.7109375" style="12" customWidth="1"/>
    <col min="12809" max="12809" width="8.7109375" style="12" customWidth="1"/>
    <col min="12810" max="12810" width="16.28515625" style="12" customWidth="1"/>
    <col min="12811" max="12811" width="7.7109375" style="12" customWidth="1"/>
    <col min="12812" max="12812" width="8" style="12" customWidth="1"/>
    <col min="12813" max="12813" width="7.7109375" style="12" customWidth="1"/>
    <col min="12814" max="12814" width="8.7109375" style="12" customWidth="1"/>
    <col min="12815" max="13054" width="9.140625" style="12"/>
    <col min="13055" max="13055" width="18.140625" style="12" customWidth="1"/>
    <col min="13056" max="13056" width="15.85546875" style="12" customWidth="1"/>
    <col min="13057" max="13058" width="6.7109375" style="12" customWidth="1"/>
    <col min="13059" max="13059" width="5.7109375" style="12" customWidth="1"/>
    <col min="13060" max="13060" width="7" style="12" customWidth="1"/>
    <col min="13061" max="13061" width="5.7109375" style="12" customWidth="1"/>
    <col min="13062" max="13062" width="7.7109375" style="12" customWidth="1"/>
    <col min="13063" max="13063" width="8.7109375" style="12" customWidth="1"/>
    <col min="13064" max="13064" width="7.7109375" style="12" customWidth="1"/>
    <col min="13065" max="13065" width="8.7109375" style="12" customWidth="1"/>
    <col min="13066" max="13066" width="16.28515625" style="12" customWidth="1"/>
    <col min="13067" max="13067" width="7.7109375" style="12" customWidth="1"/>
    <col min="13068" max="13068" width="8" style="12" customWidth="1"/>
    <col min="13069" max="13069" width="7.7109375" style="12" customWidth="1"/>
    <col min="13070" max="13070" width="8.7109375" style="12" customWidth="1"/>
    <col min="13071" max="13310" width="9.140625" style="12"/>
    <col min="13311" max="13311" width="18.140625" style="12" customWidth="1"/>
    <col min="13312" max="13312" width="15.85546875" style="12" customWidth="1"/>
    <col min="13313" max="13314" width="6.7109375" style="12" customWidth="1"/>
    <col min="13315" max="13315" width="5.7109375" style="12" customWidth="1"/>
    <col min="13316" max="13316" width="7" style="12" customWidth="1"/>
    <col min="13317" max="13317" width="5.7109375" style="12" customWidth="1"/>
    <col min="13318" max="13318" width="7.7109375" style="12" customWidth="1"/>
    <col min="13319" max="13319" width="8.7109375" style="12" customWidth="1"/>
    <col min="13320" max="13320" width="7.7109375" style="12" customWidth="1"/>
    <col min="13321" max="13321" width="8.7109375" style="12" customWidth="1"/>
    <col min="13322" max="13322" width="16.28515625" style="12" customWidth="1"/>
    <col min="13323" max="13323" width="7.7109375" style="12" customWidth="1"/>
    <col min="13324" max="13324" width="8" style="12" customWidth="1"/>
    <col min="13325" max="13325" width="7.7109375" style="12" customWidth="1"/>
    <col min="13326" max="13326" width="8.7109375" style="12" customWidth="1"/>
    <col min="13327" max="13566" width="9.140625" style="12"/>
    <col min="13567" max="13567" width="18.140625" style="12" customWidth="1"/>
    <col min="13568" max="13568" width="15.85546875" style="12" customWidth="1"/>
    <col min="13569" max="13570" width="6.7109375" style="12" customWidth="1"/>
    <col min="13571" max="13571" width="5.7109375" style="12" customWidth="1"/>
    <col min="13572" max="13572" width="7" style="12" customWidth="1"/>
    <col min="13573" max="13573" width="5.7109375" style="12" customWidth="1"/>
    <col min="13574" max="13574" width="7.7109375" style="12" customWidth="1"/>
    <col min="13575" max="13575" width="8.7109375" style="12" customWidth="1"/>
    <col min="13576" max="13576" width="7.7109375" style="12" customWidth="1"/>
    <col min="13577" max="13577" width="8.7109375" style="12" customWidth="1"/>
    <col min="13578" max="13578" width="16.28515625" style="12" customWidth="1"/>
    <col min="13579" max="13579" width="7.7109375" style="12" customWidth="1"/>
    <col min="13580" max="13580" width="8" style="12" customWidth="1"/>
    <col min="13581" max="13581" width="7.7109375" style="12" customWidth="1"/>
    <col min="13582" max="13582" width="8.7109375" style="12" customWidth="1"/>
    <col min="13583" max="13822" width="9.140625" style="12"/>
    <col min="13823" max="13823" width="18.140625" style="12" customWidth="1"/>
    <col min="13824" max="13824" width="15.85546875" style="12" customWidth="1"/>
    <col min="13825" max="13826" width="6.7109375" style="12" customWidth="1"/>
    <col min="13827" max="13827" width="5.7109375" style="12" customWidth="1"/>
    <col min="13828" max="13828" width="7" style="12" customWidth="1"/>
    <col min="13829" max="13829" width="5.7109375" style="12" customWidth="1"/>
    <col min="13830" max="13830" width="7.7109375" style="12" customWidth="1"/>
    <col min="13831" max="13831" width="8.7109375" style="12" customWidth="1"/>
    <col min="13832" max="13832" width="7.7109375" style="12" customWidth="1"/>
    <col min="13833" max="13833" width="8.7109375" style="12" customWidth="1"/>
    <col min="13834" max="13834" width="16.28515625" style="12" customWidth="1"/>
    <col min="13835" max="13835" width="7.7109375" style="12" customWidth="1"/>
    <col min="13836" max="13836" width="8" style="12" customWidth="1"/>
    <col min="13837" max="13837" width="7.7109375" style="12" customWidth="1"/>
    <col min="13838" max="13838" width="8.7109375" style="12" customWidth="1"/>
    <col min="13839" max="14078" width="9.140625" style="12"/>
    <col min="14079" max="14079" width="18.140625" style="12" customWidth="1"/>
    <col min="14080" max="14080" width="15.85546875" style="12" customWidth="1"/>
    <col min="14081" max="14082" width="6.7109375" style="12" customWidth="1"/>
    <col min="14083" max="14083" width="5.7109375" style="12" customWidth="1"/>
    <col min="14084" max="14084" width="7" style="12" customWidth="1"/>
    <col min="14085" max="14085" width="5.7109375" style="12" customWidth="1"/>
    <col min="14086" max="14086" width="7.7109375" style="12" customWidth="1"/>
    <col min="14087" max="14087" width="8.7109375" style="12" customWidth="1"/>
    <col min="14088" max="14088" width="7.7109375" style="12" customWidth="1"/>
    <col min="14089" max="14089" width="8.7109375" style="12" customWidth="1"/>
    <col min="14090" max="14090" width="16.28515625" style="12" customWidth="1"/>
    <col min="14091" max="14091" width="7.7109375" style="12" customWidth="1"/>
    <col min="14092" max="14092" width="8" style="12" customWidth="1"/>
    <col min="14093" max="14093" width="7.7109375" style="12" customWidth="1"/>
    <col min="14094" max="14094" width="8.7109375" style="12" customWidth="1"/>
    <col min="14095" max="14334" width="9.140625" style="12"/>
    <col min="14335" max="14335" width="18.140625" style="12" customWidth="1"/>
    <col min="14336" max="14336" width="15.85546875" style="12" customWidth="1"/>
    <col min="14337" max="14338" width="6.7109375" style="12" customWidth="1"/>
    <col min="14339" max="14339" width="5.7109375" style="12" customWidth="1"/>
    <col min="14340" max="14340" width="7" style="12" customWidth="1"/>
    <col min="14341" max="14341" width="5.7109375" style="12" customWidth="1"/>
    <col min="14342" max="14342" width="7.7109375" style="12" customWidth="1"/>
    <col min="14343" max="14343" width="8.7109375" style="12" customWidth="1"/>
    <col min="14344" max="14344" width="7.7109375" style="12" customWidth="1"/>
    <col min="14345" max="14345" width="8.7109375" style="12" customWidth="1"/>
    <col min="14346" max="14346" width="16.28515625" style="12" customWidth="1"/>
    <col min="14347" max="14347" width="7.7109375" style="12" customWidth="1"/>
    <col min="14348" max="14348" width="8" style="12" customWidth="1"/>
    <col min="14349" max="14349" width="7.7109375" style="12" customWidth="1"/>
    <col min="14350" max="14350" width="8.7109375" style="12" customWidth="1"/>
    <col min="14351" max="14590" width="9.140625" style="12"/>
    <col min="14591" max="14591" width="18.140625" style="12" customWidth="1"/>
    <col min="14592" max="14592" width="15.85546875" style="12" customWidth="1"/>
    <col min="14593" max="14594" width="6.7109375" style="12" customWidth="1"/>
    <col min="14595" max="14595" width="5.7109375" style="12" customWidth="1"/>
    <col min="14596" max="14596" width="7" style="12" customWidth="1"/>
    <col min="14597" max="14597" width="5.7109375" style="12" customWidth="1"/>
    <col min="14598" max="14598" width="7.7109375" style="12" customWidth="1"/>
    <col min="14599" max="14599" width="8.7109375" style="12" customWidth="1"/>
    <col min="14600" max="14600" width="7.7109375" style="12" customWidth="1"/>
    <col min="14601" max="14601" width="8.7109375" style="12" customWidth="1"/>
    <col min="14602" max="14602" width="16.28515625" style="12" customWidth="1"/>
    <col min="14603" max="14603" width="7.7109375" style="12" customWidth="1"/>
    <col min="14604" max="14604" width="8" style="12" customWidth="1"/>
    <col min="14605" max="14605" width="7.7109375" style="12" customWidth="1"/>
    <col min="14606" max="14606" width="8.7109375" style="12" customWidth="1"/>
    <col min="14607" max="14846" width="9.140625" style="12"/>
    <col min="14847" max="14847" width="18.140625" style="12" customWidth="1"/>
    <col min="14848" max="14848" width="15.85546875" style="12" customWidth="1"/>
    <col min="14849" max="14850" width="6.7109375" style="12" customWidth="1"/>
    <col min="14851" max="14851" width="5.7109375" style="12" customWidth="1"/>
    <col min="14852" max="14852" width="7" style="12" customWidth="1"/>
    <col min="14853" max="14853" width="5.7109375" style="12" customWidth="1"/>
    <col min="14854" max="14854" width="7.7109375" style="12" customWidth="1"/>
    <col min="14855" max="14855" width="8.7109375" style="12" customWidth="1"/>
    <col min="14856" max="14856" width="7.7109375" style="12" customWidth="1"/>
    <col min="14857" max="14857" width="8.7109375" style="12" customWidth="1"/>
    <col min="14858" max="14858" width="16.28515625" style="12" customWidth="1"/>
    <col min="14859" max="14859" width="7.7109375" style="12" customWidth="1"/>
    <col min="14860" max="14860" width="8" style="12" customWidth="1"/>
    <col min="14861" max="14861" width="7.7109375" style="12" customWidth="1"/>
    <col min="14862" max="14862" width="8.7109375" style="12" customWidth="1"/>
    <col min="14863" max="15102" width="9.140625" style="12"/>
    <col min="15103" max="15103" width="18.140625" style="12" customWidth="1"/>
    <col min="15104" max="15104" width="15.85546875" style="12" customWidth="1"/>
    <col min="15105" max="15106" width="6.7109375" style="12" customWidth="1"/>
    <col min="15107" max="15107" width="5.7109375" style="12" customWidth="1"/>
    <col min="15108" max="15108" width="7" style="12" customWidth="1"/>
    <col min="15109" max="15109" width="5.7109375" style="12" customWidth="1"/>
    <col min="15110" max="15110" width="7.7109375" style="12" customWidth="1"/>
    <col min="15111" max="15111" width="8.7109375" style="12" customWidth="1"/>
    <col min="15112" max="15112" width="7.7109375" style="12" customWidth="1"/>
    <col min="15113" max="15113" width="8.7109375" style="12" customWidth="1"/>
    <col min="15114" max="15114" width="16.28515625" style="12" customWidth="1"/>
    <col min="15115" max="15115" width="7.7109375" style="12" customWidth="1"/>
    <col min="15116" max="15116" width="8" style="12" customWidth="1"/>
    <col min="15117" max="15117" width="7.7109375" style="12" customWidth="1"/>
    <col min="15118" max="15118" width="8.7109375" style="12" customWidth="1"/>
    <col min="15119" max="15358" width="9.140625" style="12"/>
    <col min="15359" max="15359" width="18.140625" style="12" customWidth="1"/>
    <col min="15360" max="15360" width="15.85546875" style="12" customWidth="1"/>
    <col min="15361" max="15362" width="6.7109375" style="12" customWidth="1"/>
    <col min="15363" max="15363" width="5.7109375" style="12" customWidth="1"/>
    <col min="15364" max="15364" width="7" style="12" customWidth="1"/>
    <col min="15365" max="15365" width="5.7109375" style="12" customWidth="1"/>
    <col min="15366" max="15366" width="7.7109375" style="12" customWidth="1"/>
    <col min="15367" max="15367" width="8.7109375" style="12" customWidth="1"/>
    <col min="15368" max="15368" width="7.7109375" style="12" customWidth="1"/>
    <col min="15369" max="15369" width="8.7109375" style="12" customWidth="1"/>
    <col min="15370" max="15370" width="16.28515625" style="12" customWidth="1"/>
    <col min="15371" max="15371" width="7.7109375" style="12" customWidth="1"/>
    <col min="15372" max="15372" width="8" style="12" customWidth="1"/>
    <col min="15373" max="15373" width="7.7109375" style="12" customWidth="1"/>
    <col min="15374" max="15374" width="8.7109375" style="12" customWidth="1"/>
    <col min="15375" max="15614" width="9.140625" style="12"/>
    <col min="15615" max="15615" width="18.140625" style="12" customWidth="1"/>
    <col min="15616" max="15616" width="15.85546875" style="12" customWidth="1"/>
    <col min="15617" max="15618" width="6.7109375" style="12" customWidth="1"/>
    <col min="15619" max="15619" width="5.7109375" style="12" customWidth="1"/>
    <col min="15620" max="15620" width="7" style="12" customWidth="1"/>
    <col min="15621" max="15621" width="5.7109375" style="12" customWidth="1"/>
    <col min="15622" max="15622" width="7.7109375" style="12" customWidth="1"/>
    <col min="15623" max="15623" width="8.7109375" style="12" customWidth="1"/>
    <col min="15624" max="15624" width="7.7109375" style="12" customWidth="1"/>
    <col min="15625" max="15625" width="8.7109375" style="12" customWidth="1"/>
    <col min="15626" max="15626" width="16.28515625" style="12" customWidth="1"/>
    <col min="15627" max="15627" width="7.7109375" style="12" customWidth="1"/>
    <col min="15628" max="15628" width="8" style="12" customWidth="1"/>
    <col min="15629" max="15629" width="7.7109375" style="12" customWidth="1"/>
    <col min="15630" max="15630" width="8.7109375" style="12" customWidth="1"/>
    <col min="15631" max="15870" width="9.140625" style="12"/>
    <col min="15871" max="15871" width="18.140625" style="12" customWidth="1"/>
    <col min="15872" max="15872" width="15.85546875" style="12" customWidth="1"/>
    <col min="15873" max="15874" width="6.7109375" style="12" customWidth="1"/>
    <col min="15875" max="15875" width="5.7109375" style="12" customWidth="1"/>
    <col min="15876" max="15876" width="7" style="12" customWidth="1"/>
    <col min="15877" max="15877" width="5.7109375" style="12" customWidth="1"/>
    <col min="15878" max="15878" width="7.7109375" style="12" customWidth="1"/>
    <col min="15879" max="15879" width="8.7109375" style="12" customWidth="1"/>
    <col min="15880" max="15880" width="7.7109375" style="12" customWidth="1"/>
    <col min="15881" max="15881" width="8.7109375" style="12" customWidth="1"/>
    <col min="15882" max="15882" width="16.28515625" style="12" customWidth="1"/>
    <col min="15883" max="15883" width="7.7109375" style="12" customWidth="1"/>
    <col min="15884" max="15884" width="8" style="12" customWidth="1"/>
    <col min="15885" max="15885" width="7.7109375" style="12" customWidth="1"/>
    <col min="15886" max="15886" width="8.7109375" style="12" customWidth="1"/>
    <col min="15887" max="16126" width="9.140625" style="12"/>
    <col min="16127" max="16127" width="18.140625" style="12" customWidth="1"/>
    <col min="16128" max="16128" width="15.85546875" style="12" customWidth="1"/>
    <col min="16129" max="16130" width="6.7109375" style="12" customWidth="1"/>
    <col min="16131" max="16131" width="5.7109375" style="12" customWidth="1"/>
    <col min="16132" max="16132" width="7" style="12" customWidth="1"/>
    <col min="16133" max="16133" width="5.7109375" style="12" customWidth="1"/>
    <col min="16134" max="16134" width="7.7109375" style="12" customWidth="1"/>
    <col min="16135" max="16135" width="8.7109375" style="12" customWidth="1"/>
    <col min="16136" max="16136" width="7.7109375" style="12" customWidth="1"/>
    <col min="16137" max="16137" width="8.7109375" style="12" customWidth="1"/>
    <col min="16138" max="16138" width="16.28515625" style="12" customWidth="1"/>
    <col min="16139" max="16139" width="7.7109375" style="12" customWidth="1"/>
    <col min="16140" max="16140" width="8" style="12" customWidth="1"/>
    <col min="16141" max="16141" width="7.7109375" style="12" customWidth="1"/>
    <col min="16142" max="16142" width="8.7109375" style="12" customWidth="1"/>
    <col min="16143" max="16382" width="9.140625" style="12"/>
    <col min="16383" max="16384" width="9.140625" style="12" customWidth="1"/>
  </cols>
  <sheetData>
    <row r="1" spans="1:26" s="53" customFormat="1" ht="15" customHeight="1" x14ac:dyDescent="0.2">
      <c r="D1" s="362" t="s">
        <v>199</v>
      </c>
      <c r="E1" s="339" t="str">
        <f>ORÇAMENTO!I4</f>
        <v>SENSE106</v>
      </c>
      <c r="F1" s="338"/>
      <c r="G1" s="338"/>
      <c r="H1" s="338"/>
      <c r="I1" s="338"/>
      <c r="J1" s="338"/>
      <c r="K1" s="338"/>
      <c r="L1" s="338"/>
      <c r="M1" s="338"/>
      <c r="N1" s="340"/>
      <c r="O1" s="345"/>
      <c r="P1" s="346"/>
    </row>
    <row r="2" spans="1:26" s="215" customFormat="1" ht="15" customHeight="1" x14ac:dyDescent="0.2">
      <c r="D2" s="362" t="s">
        <v>173</v>
      </c>
      <c r="E2" s="363" t="str">
        <f>ORÇAMENTO!I5</f>
        <v>HOLZE EMPREENDIMENTOS</v>
      </c>
      <c r="F2" s="339"/>
      <c r="G2" s="339"/>
      <c r="H2" s="339"/>
      <c r="I2" s="339"/>
      <c r="J2" s="339"/>
      <c r="K2" s="339"/>
      <c r="L2" s="339"/>
      <c r="M2" s="339"/>
      <c r="N2" s="398"/>
      <c r="O2" s="347"/>
      <c r="P2" s="348"/>
    </row>
    <row r="3" spans="1:26" s="215" customFormat="1" ht="15" customHeight="1" x14ac:dyDescent="0.2">
      <c r="D3" s="362" t="s">
        <v>174</v>
      </c>
      <c r="E3" s="339" t="s">
        <v>313</v>
      </c>
      <c r="F3" s="339"/>
      <c r="G3" s="339"/>
      <c r="H3" s="339"/>
      <c r="I3" s="339"/>
      <c r="J3" s="339"/>
      <c r="K3" s="341"/>
      <c r="L3" s="341"/>
      <c r="M3" s="341"/>
      <c r="N3" s="398"/>
      <c r="O3" s="349"/>
      <c r="P3" s="350"/>
    </row>
    <row r="4" spans="1:26" s="59" customFormat="1" ht="18.600000000000001" customHeight="1" x14ac:dyDescent="0.2">
      <c r="A4" s="1252" t="s">
        <v>1333</v>
      </c>
      <c r="B4" s="1252"/>
      <c r="C4" s="1252"/>
      <c r="D4" s="1252"/>
      <c r="E4" s="1252"/>
      <c r="F4" s="1252"/>
      <c r="G4" s="1252"/>
      <c r="H4" s="1252"/>
      <c r="I4" s="1252"/>
      <c r="J4" s="1252"/>
      <c r="K4" s="1252"/>
      <c r="L4" s="1252"/>
      <c r="M4" s="1252"/>
      <c r="N4" s="1252"/>
      <c r="O4" s="1252"/>
      <c r="P4" s="1252"/>
    </row>
    <row r="5" spans="1:26" s="153" customFormat="1" ht="15" customHeight="1" x14ac:dyDescent="0.2">
      <c r="A5" s="1289" t="s">
        <v>106</v>
      </c>
      <c r="B5" s="1290"/>
      <c r="C5" s="1290"/>
      <c r="D5" s="1290"/>
      <c r="E5" s="1290"/>
      <c r="F5" s="1290"/>
      <c r="G5" s="1290"/>
      <c r="H5" s="1290"/>
      <c r="I5" s="1290"/>
      <c r="J5" s="1290"/>
      <c r="K5" s="1290"/>
      <c r="L5" s="1290"/>
      <c r="M5" s="1290"/>
      <c r="N5" s="1290"/>
      <c r="O5" s="1290"/>
      <c r="P5" s="1290"/>
    </row>
    <row r="6" spans="1:26" s="153" customFormat="1" ht="48" x14ac:dyDescent="0.2">
      <c r="A6" s="851" t="s">
        <v>1334</v>
      </c>
      <c r="B6" s="851" t="s">
        <v>1335</v>
      </c>
      <c r="C6" s="851" t="s">
        <v>1336</v>
      </c>
      <c r="D6" s="851" t="s">
        <v>1337</v>
      </c>
      <c r="E6" s="851" t="s">
        <v>1338</v>
      </c>
      <c r="F6" s="851" t="s">
        <v>1339</v>
      </c>
      <c r="G6" s="851" t="s">
        <v>1340</v>
      </c>
      <c r="H6" s="851" t="s">
        <v>1341</v>
      </c>
      <c r="I6" s="851" t="s">
        <v>1342</v>
      </c>
      <c r="J6" s="851" t="s">
        <v>1343</v>
      </c>
      <c r="K6" s="851" t="s">
        <v>1344</v>
      </c>
      <c r="L6" s="851" t="s">
        <v>1345</v>
      </c>
      <c r="M6" s="851" t="s">
        <v>1346</v>
      </c>
      <c r="N6" s="851" t="s">
        <v>1347</v>
      </c>
      <c r="O6" s="851" t="s">
        <v>1348</v>
      </c>
      <c r="P6" s="165"/>
    </row>
    <row r="7" spans="1:26" s="153" customFormat="1" ht="12" x14ac:dyDescent="0.2">
      <c r="A7" s="849" t="s">
        <v>1350</v>
      </c>
      <c r="B7" s="849" t="s">
        <v>51</v>
      </c>
      <c r="C7" s="849" t="s">
        <v>1351</v>
      </c>
      <c r="D7" s="849" t="s">
        <v>7</v>
      </c>
      <c r="E7" s="849" t="s">
        <v>1352</v>
      </c>
      <c r="F7" s="849" t="s">
        <v>1353</v>
      </c>
      <c r="G7" s="849" t="s">
        <v>1354</v>
      </c>
      <c r="H7" s="849" t="s">
        <v>1355</v>
      </c>
      <c r="I7" s="849" t="s">
        <v>159</v>
      </c>
      <c r="J7" s="849" t="s">
        <v>160</v>
      </c>
      <c r="K7" s="849" t="s">
        <v>161</v>
      </c>
      <c r="L7" s="849" t="s">
        <v>162</v>
      </c>
      <c r="M7" s="849" t="s">
        <v>163</v>
      </c>
      <c r="N7" s="849" t="s">
        <v>164</v>
      </c>
      <c r="O7" s="849" t="s">
        <v>165</v>
      </c>
      <c r="P7" s="165"/>
    </row>
    <row r="8" spans="1:26" s="153" customFormat="1" ht="15" customHeight="1" x14ac:dyDescent="0.2">
      <c r="A8" s="850" t="s">
        <v>3</v>
      </c>
      <c r="B8" s="850" t="s">
        <v>3</v>
      </c>
      <c r="C8" s="850" t="s">
        <v>3</v>
      </c>
      <c r="D8" s="850" t="s">
        <v>3</v>
      </c>
      <c r="E8" s="850" t="s">
        <v>3</v>
      </c>
      <c r="F8" s="850" t="s">
        <v>3</v>
      </c>
      <c r="G8" s="850" t="s">
        <v>3</v>
      </c>
      <c r="H8" s="850" t="s">
        <v>166</v>
      </c>
      <c r="I8" s="850" t="s">
        <v>3</v>
      </c>
      <c r="J8" s="850" t="s">
        <v>3</v>
      </c>
      <c r="K8" s="850" t="s">
        <v>4</v>
      </c>
      <c r="L8" s="850" t="s">
        <v>4</v>
      </c>
      <c r="M8" s="850" t="s">
        <v>4</v>
      </c>
      <c r="N8" s="850" t="s">
        <v>1</v>
      </c>
      <c r="O8" s="850" t="s">
        <v>4</v>
      </c>
    </row>
    <row r="9" spans="1:26" s="153" customFormat="1" ht="12" x14ac:dyDescent="0.2">
      <c r="A9" s="217">
        <v>4.2</v>
      </c>
      <c r="B9" s="217">
        <v>2.25</v>
      </c>
      <c r="C9" s="217">
        <v>0.14000000000000001</v>
      </c>
      <c r="D9" s="217">
        <v>1.75</v>
      </c>
      <c r="E9" s="238">
        <f>D9-C9</f>
        <v>1.6099999999999999</v>
      </c>
      <c r="F9" s="238">
        <f>A9-C9*2</f>
        <v>3.92</v>
      </c>
      <c r="G9" s="238">
        <f>B9-C9*2</f>
        <v>1.97</v>
      </c>
      <c r="H9" s="217">
        <v>2</v>
      </c>
      <c r="I9" s="217">
        <v>0.05</v>
      </c>
      <c r="J9" s="238">
        <f>IF(D9&lt;=1,0.6,D9)</f>
        <v>1.75</v>
      </c>
      <c r="K9" s="238">
        <f>(A9+J9)*(B9+J9)*(D9+I9)*H9</f>
        <v>85.68</v>
      </c>
      <c r="L9" s="238">
        <f>K9-H9*A9*B9*D9</f>
        <v>52.605000000000004</v>
      </c>
      <c r="M9" s="238">
        <f>K9-L9</f>
        <v>33.075000000000003</v>
      </c>
      <c r="N9" s="238">
        <f>(A9*B9)*H9</f>
        <v>18.900000000000002</v>
      </c>
      <c r="O9" s="238">
        <f>I9*N9</f>
        <v>0.94500000000000017</v>
      </c>
    </row>
    <row r="10" spans="1:26" s="848" customFormat="1" x14ac:dyDescent="0.2">
      <c r="A10" s="217"/>
      <c r="B10" s="217"/>
      <c r="C10" s="217"/>
      <c r="D10" s="217"/>
      <c r="E10" s="238">
        <f>D10-C10</f>
        <v>0</v>
      </c>
      <c r="F10" s="238">
        <f>A10-C10*2</f>
        <v>0</v>
      </c>
      <c r="G10" s="238">
        <f>B10-C10*2</f>
        <v>0</v>
      </c>
      <c r="H10" s="217"/>
      <c r="I10" s="217"/>
      <c r="J10" s="238">
        <f>IF(D10&lt;=1,0.6,D10)</f>
        <v>0.6</v>
      </c>
      <c r="K10" s="238">
        <f>(A10+J10)*(B10+J10)*(D10+I10)*H10</f>
        <v>0</v>
      </c>
      <c r="L10" s="238">
        <f>K10-H10*A10*B10*D10</f>
        <v>0</v>
      </c>
      <c r="M10" s="238">
        <f>K10-L10</f>
        <v>0</v>
      </c>
      <c r="N10" s="238">
        <f>(A10*B10)*H10</f>
        <v>0</v>
      </c>
      <c r="O10" s="238">
        <f>I10*N10</f>
        <v>0</v>
      </c>
    </row>
    <row r="11" spans="1:26" s="848" customFormat="1" ht="13.5" customHeight="1" thickBot="1" x14ac:dyDescent="0.25">
      <c r="A11" s="464" t="s">
        <v>19</v>
      </c>
      <c r="B11" s="465"/>
      <c r="C11" s="465"/>
      <c r="D11" s="465"/>
      <c r="E11" s="465"/>
      <c r="F11" s="465"/>
      <c r="G11" s="465"/>
      <c r="H11" s="465"/>
      <c r="I11" s="465"/>
      <c r="J11" s="465"/>
      <c r="K11" s="465">
        <f>SUM(K9:K10)</f>
        <v>85.68</v>
      </c>
      <c r="L11" s="465">
        <f>SUM(L9:L10)</f>
        <v>52.605000000000004</v>
      </c>
      <c r="M11" s="465">
        <f>SUM(M9:M10)</f>
        <v>33.075000000000003</v>
      </c>
      <c r="N11" s="465">
        <f>SUM(N9:N10)</f>
        <v>18.900000000000002</v>
      </c>
      <c r="O11" s="465">
        <f>SUM(O9:O10)</f>
        <v>0.94500000000000017</v>
      </c>
    </row>
    <row r="12" spans="1:26" s="848" customFormat="1" ht="13.5" customHeight="1" thickTop="1" x14ac:dyDescent="0.3">
      <c r="A12" s="847"/>
      <c r="W12" s="847"/>
      <c r="X12" s="847"/>
      <c r="Y12" s="847"/>
      <c r="Z12" s="847"/>
    </row>
    <row r="13" spans="1:26" s="848" customFormat="1" ht="24" x14ac:dyDescent="0.3">
      <c r="F13" s="851" t="s">
        <v>1356</v>
      </c>
      <c r="G13" s="851" t="s">
        <v>1357</v>
      </c>
      <c r="H13" s="851" t="s">
        <v>1358</v>
      </c>
      <c r="I13" s="851" t="s">
        <v>1359</v>
      </c>
      <c r="J13" s="851" t="s">
        <v>1360</v>
      </c>
      <c r="K13" s="851" t="s">
        <v>1361</v>
      </c>
      <c r="L13" s="851" t="s">
        <v>1362</v>
      </c>
      <c r="W13" s="847"/>
      <c r="X13" s="847"/>
      <c r="Y13" s="847"/>
      <c r="Z13" s="847"/>
    </row>
    <row r="14" spans="1:26" s="848" customFormat="1" ht="13.5" customHeight="1" x14ac:dyDescent="0.3">
      <c r="F14" s="1326" t="s">
        <v>1363</v>
      </c>
      <c r="G14" s="849" t="s">
        <v>1364</v>
      </c>
      <c r="H14" s="849" t="s">
        <v>1365</v>
      </c>
      <c r="I14" s="849" t="s">
        <v>50</v>
      </c>
      <c r="J14" s="849" t="s">
        <v>1366</v>
      </c>
      <c r="K14" s="849" t="s">
        <v>67</v>
      </c>
      <c r="L14" s="849" t="s">
        <v>52</v>
      </c>
      <c r="W14" s="847"/>
      <c r="X14" s="847"/>
      <c r="Y14" s="847"/>
      <c r="Z14" s="847"/>
    </row>
    <row r="15" spans="1:26" s="848" customFormat="1" ht="13.5" customHeight="1" x14ac:dyDescent="0.3">
      <c r="F15" s="1327"/>
      <c r="G15" s="850" t="s">
        <v>3</v>
      </c>
      <c r="H15" s="850" t="s">
        <v>3</v>
      </c>
      <c r="I15" s="850" t="s">
        <v>1</v>
      </c>
      <c r="J15" s="850" t="s">
        <v>3</v>
      </c>
      <c r="K15" s="850" t="s">
        <v>1</v>
      </c>
      <c r="L15" s="850" t="s">
        <v>4</v>
      </c>
      <c r="W15" s="847"/>
      <c r="X15" s="847"/>
      <c r="Y15" s="847"/>
      <c r="Z15" s="847"/>
    </row>
    <row r="16" spans="1:26" s="848" customFormat="1" ht="13.5" customHeight="1" x14ac:dyDescent="0.3">
      <c r="F16" s="217" t="s">
        <v>1367</v>
      </c>
      <c r="G16" s="217">
        <v>1.86</v>
      </c>
      <c r="H16" s="217">
        <v>1.81</v>
      </c>
      <c r="I16" s="238">
        <f>G16*H16</f>
        <v>3.3666000000000005</v>
      </c>
      <c r="J16" s="217">
        <v>0.15</v>
      </c>
      <c r="K16" s="238">
        <f>2*G16+2*H16</f>
        <v>7.34</v>
      </c>
      <c r="L16" s="238">
        <f>I16*J16</f>
        <v>0.50499000000000005</v>
      </c>
      <c r="W16" s="847"/>
      <c r="X16" s="847"/>
      <c r="Y16" s="847"/>
      <c r="Z16" s="847"/>
    </row>
    <row r="17" spans="1:26" s="848" customFormat="1" ht="13.5" customHeight="1" x14ac:dyDescent="0.3">
      <c r="F17" s="217" t="s">
        <v>1368</v>
      </c>
      <c r="G17" s="217">
        <v>1.86</v>
      </c>
      <c r="H17" s="217">
        <v>1.81</v>
      </c>
      <c r="I17" s="238">
        <f>G17*H17</f>
        <v>3.3666000000000005</v>
      </c>
      <c r="J17" s="217">
        <v>0.15</v>
      </c>
      <c r="K17" s="238">
        <f>G17+H17</f>
        <v>3.67</v>
      </c>
      <c r="L17" s="238">
        <f>I17*J17</f>
        <v>0.50499000000000005</v>
      </c>
      <c r="W17" s="847"/>
      <c r="X17" s="847"/>
      <c r="Y17" s="847"/>
      <c r="Z17" s="847"/>
    </row>
    <row r="18" spans="1:26" s="848" customFormat="1" ht="13.5" customHeight="1" x14ac:dyDescent="0.3">
      <c r="F18" s="217"/>
      <c r="G18" s="217"/>
      <c r="H18" s="217"/>
      <c r="I18" s="238">
        <f>F18*G18</f>
        <v>0</v>
      </c>
      <c r="J18" s="217"/>
      <c r="K18" s="238">
        <f>I18</f>
        <v>0</v>
      </c>
      <c r="L18" s="238">
        <f>I18*J18</f>
        <v>0</v>
      </c>
      <c r="W18" s="847"/>
      <c r="X18" s="847"/>
      <c r="Y18" s="847"/>
      <c r="Z18" s="847"/>
    </row>
    <row r="19" spans="1:26" s="848" customFormat="1" ht="13.5" customHeight="1" thickBot="1" x14ac:dyDescent="0.35">
      <c r="F19" s="464" t="s">
        <v>19</v>
      </c>
      <c r="G19" s="465"/>
      <c r="H19" s="465"/>
      <c r="I19" s="465">
        <f>SUM(I16:I18)</f>
        <v>6.733200000000001</v>
      </c>
      <c r="J19" s="465"/>
      <c r="K19" s="465">
        <f>SUM(K16:K18)</f>
        <v>11.01</v>
      </c>
      <c r="L19" s="465">
        <f>SUM(L16:L18)</f>
        <v>1.0099800000000001</v>
      </c>
      <c r="W19" s="847"/>
      <c r="X19" s="847"/>
      <c r="Y19" s="847"/>
      <c r="Z19" s="847"/>
    </row>
    <row r="20" spans="1:26" s="848" customFormat="1" ht="13.5" customHeight="1" thickTop="1" x14ac:dyDescent="0.3">
      <c r="A20" s="847"/>
      <c r="W20" s="847"/>
      <c r="X20" s="847"/>
      <c r="Y20" s="847"/>
      <c r="Z20" s="847"/>
    </row>
    <row r="21" spans="1:26" s="848" customFormat="1" ht="13.5" customHeight="1" x14ac:dyDescent="0.3">
      <c r="A21" s="847"/>
      <c r="F21" s="852" t="s">
        <v>1383</v>
      </c>
      <c r="W21" s="847"/>
      <c r="X21" s="847"/>
      <c r="Y21" s="847"/>
      <c r="Z21" s="847"/>
    </row>
    <row r="22" spans="1:26" s="848" customFormat="1" ht="13.5" customHeight="1" x14ac:dyDescent="0.3">
      <c r="A22" s="847"/>
      <c r="W22" s="847"/>
      <c r="X22" s="847"/>
      <c r="Y22" s="847"/>
      <c r="Z22" s="847"/>
    </row>
    <row r="23" spans="1:26" s="848" customFormat="1" ht="13.5" customHeight="1" x14ac:dyDescent="0.3">
      <c r="A23" s="1328" t="s">
        <v>39</v>
      </c>
      <c r="B23" s="1328" t="s">
        <v>11</v>
      </c>
      <c r="C23" s="1330" t="s">
        <v>40</v>
      </c>
      <c r="D23" s="1331"/>
      <c r="E23" s="1331"/>
      <c r="F23" s="1332"/>
      <c r="G23" s="1330" t="s">
        <v>47</v>
      </c>
      <c r="H23" s="1331"/>
      <c r="I23" s="1332"/>
      <c r="J23" s="1330" t="s">
        <v>95</v>
      </c>
      <c r="K23" s="1331"/>
      <c r="L23" s="1332"/>
      <c r="M23" s="86" t="s">
        <v>56</v>
      </c>
      <c r="N23" s="1333" t="s">
        <v>102</v>
      </c>
      <c r="O23" s="847"/>
      <c r="P23" s="847"/>
      <c r="Q23" s="847"/>
      <c r="R23" s="847"/>
      <c r="S23" s="847"/>
      <c r="T23" s="847"/>
      <c r="U23" s="847"/>
      <c r="V23" s="847"/>
      <c r="W23" s="847"/>
      <c r="X23" s="847"/>
      <c r="Y23" s="847"/>
      <c r="Z23" s="847"/>
    </row>
    <row r="24" spans="1:26" ht="33.75" x14ac:dyDescent="0.2">
      <c r="A24" s="1329"/>
      <c r="B24" s="1329"/>
      <c r="C24" s="149" t="s">
        <v>116</v>
      </c>
      <c r="D24" s="150" t="s">
        <v>117</v>
      </c>
      <c r="E24" s="150" t="s">
        <v>118</v>
      </c>
      <c r="F24" s="114" t="s">
        <v>18</v>
      </c>
      <c r="G24" s="113" t="s">
        <v>72</v>
      </c>
      <c r="H24" s="151" t="s">
        <v>119</v>
      </c>
      <c r="I24" s="148" t="s">
        <v>120</v>
      </c>
      <c r="J24" s="151" t="s">
        <v>121</v>
      </c>
      <c r="K24" s="148" t="s">
        <v>122</v>
      </c>
      <c r="L24" s="113" t="s">
        <v>100</v>
      </c>
      <c r="M24" s="112" t="s">
        <v>10</v>
      </c>
      <c r="N24" s="1334"/>
    </row>
    <row r="25" spans="1:26" x14ac:dyDescent="0.2">
      <c r="A25" s="294" t="s">
        <v>228</v>
      </c>
      <c r="B25" s="288"/>
      <c r="C25" s="288"/>
      <c r="D25" s="288"/>
      <c r="E25" s="288"/>
      <c r="F25" s="288"/>
      <c r="G25" s="288"/>
      <c r="H25" s="154"/>
      <c r="I25" s="154"/>
      <c r="J25" s="154"/>
      <c r="K25" s="154"/>
      <c r="L25" s="259"/>
      <c r="M25" s="154"/>
      <c r="N25" s="155"/>
    </row>
    <row r="26" spans="1:26" ht="13.5" thickBot="1" x14ac:dyDescent="0.25">
      <c r="A26" s="289" t="s">
        <v>1224</v>
      </c>
      <c r="B26" s="290"/>
      <c r="C26" s="217"/>
      <c r="D26" s="217"/>
      <c r="E26" s="217"/>
      <c r="F26" s="218"/>
      <c r="G26" s="217">
        <v>1</v>
      </c>
      <c r="H26" s="157" t="str">
        <f>IF(C26="","",IF(F26&lt;0,-C26+(D26*(E26+0.02)),C26+(D26*(E26+0.02))))</f>
        <v/>
      </c>
      <c r="I26" s="157" t="str">
        <f>IF(C26="","",IF(F26&gt;0,F26*H26,F26*-H26))</f>
        <v/>
      </c>
      <c r="J26" s="157" t="str">
        <f>IF(C26="","",IF(F26&lt;0,-C26*E26,C26*E26))</f>
        <v/>
      </c>
      <c r="K26" s="222">
        <v>84</v>
      </c>
      <c r="L26" s="252" t="s">
        <v>1225</v>
      </c>
      <c r="M26" s="159" t="s">
        <v>62</v>
      </c>
      <c r="N26" s="219"/>
    </row>
    <row r="27" spans="1:26" ht="14.25" thickTop="1" thickBot="1" x14ac:dyDescent="0.25">
      <c r="A27" s="231"/>
      <c r="B27" s="232"/>
      <c r="C27" s="139"/>
      <c r="D27" s="139"/>
      <c r="E27" s="139"/>
      <c r="F27" s="139"/>
      <c r="G27" s="139"/>
      <c r="H27" s="139"/>
      <c r="I27" s="139">
        <f>SUM(I26)</f>
        <v>0</v>
      </c>
      <c r="J27" s="139"/>
      <c r="K27" s="139">
        <f>SUM(K25:K26)</f>
        <v>84</v>
      </c>
      <c r="L27" s="208"/>
      <c r="M27" s="139"/>
      <c r="N27" s="209"/>
    </row>
    <row r="28" spans="1:26" ht="13.5" thickTop="1" x14ac:dyDescent="0.2"/>
  </sheetData>
  <mergeCells count="9">
    <mergeCell ref="F14:F15"/>
    <mergeCell ref="A4:P4"/>
    <mergeCell ref="A5:P5"/>
    <mergeCell ref="A23:A24"/>
    <mergeCell ref="B23:B24"/>
    <mergeCell ref="C23:F23"/>
    <mergeCell ref="G23:I23"/>
    <mergeCell ref="J23:L23"/>
    <mergeCell ref="N23:N24"/>
  </mergeCells>
  <dataValidations count="1">
    <dataValidation type="list" allowBlank="1" showInputMessage="1" showErrorMessage="1" sqref="L25:L26" xr:uid="{00000000-0002-0000-1100-000000000000}">
      <formula1>$Q$7:$Q$13</formula1>
    </dataValidation>
  </dataValidations>
  <printOptions horizontalCentered="1"/>
  <pageMargins left="0.39370078740157483" right="0" top="0.39370078740157483" bottom="0.39370078740157483" header="0.51181102362204722" footer="0.19685039370078741"/>
  <pageSetup paperSize="9" scale="54" orientation="portrait" r:id="rId1"/>
  <headerFooter alignWithMargins="0">
    <oddFooter>&amp;L&amp;8&amp;F - &amp;A&amp;R&amp;8&amp;P / 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43800"/>
    <pageSetUpPr fitToPage="1"/>
  </sheetPr>
  <dimension ref="A1:P43"/>
  <sheetViews>
    <sheetView showGridLines="0" view="pageBreakPreview" zoomScale="85" zoomScaleNormal="100" zoomScaleSheetLayoutView="85" workbookViewId="0">
      <pane ySplit="4" topLeftCell="A5" activePane="bottomLeft" state="frozen"/>
      <selection activeCell="B18" sqref="B18:E18"/>
      <selection pane="bottomLeft" activeCell="L42" sqref="L42"/>
    </sheetView>
  </sheetViews>
  <sheetFormatPr defaultRowHeight="12.75" x14ac:dyDescent="0.2"/>
  <cols>
    <col min="1" max="1" width="12.85546875" style="12" customWidth="1"/>
    <col min="2" max="2" width="9.7109375" style="12" customWidth="1"/>
    <col min="3" max="3" width="11.42578125" style="12" bestFit="1" customWidth="1"/>
    <col min="4" max="4" width="10.42578125" style="12" customWidth="1"/>
    <col min="5" max="5" width="12.140625" style="12" customWidth="1"/>
    <col min="6" max="6" width="13.85546875" style="12" customWidth="1"/>
    <col min="7" max="7" width="13.28515625" style="12" customWidth="1"/>
    <col min="8" max="8" width="12.140625" style="12" customWidth="1"/>
    <col min="9" max="9" width="16.140625" style="12" customWidth="1"/>
    <col min="10" max="10" width="13.42578125" style="12" customWidth="1"/>
    <col min="11" max="11" width="11.85546875" style="12" customWidth="1"/>
    <col min="12" max="12" width="16.28515625" style="12" customWidth="1"/>
    <col min="13" max="13" width="9.5703125" style="12" customWidth="1"/>
    <col min="14" max="14" width="11.7109375" style="12" customWidth="1"/>
    <col min="15" max="25" width="9.140625" style="12"/>
    <col min="26" max="26" width="11.42578125" style="12" bestFit="1" customWidth="1"/>
    <col min="27" max="29" width="12.28515625" style="12" customWidth="1"/>
    <col min="30" max="254" width="9.140625" style="12"/>
    <col min="255" max="255" width="18.140625" style="12" customWidth="1"/>
    <col min="256" max="256" width="15.85546875" style="12" customWidth="1"/>
    <col min="257" max="258" width="6.7109375" style="12" customWidth="1"/>
    <col min="259" max="259" width="5.7109375" style="12" customWidth="1"/>
    <col min="260" max="260" width="7" style="12" customWidth="1"/>
    <col min="261" max="261" width="5.7109375" style="12" customWidth="1"/>
    <col min="262" max="262" width="7.7109375" style="12" customWidth="1"/>
    <col min="263" max="263" width="8.7109375" style="12" customWidth="1"/>
    <col min="264" max="264" width="7.7109375" style="12" customWidth="1"/>
    <col min="265" max="265" width="8.7109375" style="12" customWidth="1"/>
    <col min="266" max="266" width="16.28515625" style="12" customWidth="1"/>
    <col min="267" max="267" width="7.7109375" style="12" customWidth="1"/>
    <col min="268" max="268" width="8" style="12" customWidth="1"/>
    <col min="269" max="269" width="7.7109375" style="12" customWidth="1"/>
    <col min="270" max="270" width="8.7109375" style="12" customWidth="1"/>
    <col min="271" max="510" width="9.140625" style="12"/>
    <col min="511" max="511" width="18.140625" style="12" customWidth="1"/>
    <col min="512" max="512" width="15.85546875" style="12" customWidth="1"/>
    <col min="513" max="514" width="6.7109375" style="12" customWidth="1"/>
    <col min="515" max="515" width="5.7109375" style="12" customWidth="1"/>
    <col min="516" max="516" width="7" style="12" customWidth="1"/>
    <col min="517" max="517" width="5.7109375" style="12" customWidth="1"/>
    <col min="518" max="518" width="7.7109375" style="12" customWidth="1"/>
    <col min="519" max="519" width="8.7109375" style="12" customWidth="1"/>
    <col min="520" max="520" width="7.7109375" style="12" customWidth="1"/>
    <col min="521" max="521" width="8.7109375" style="12" customWidth="1"/>
    <col min="522" max="522" width="16.28515625" style="12" customWidth="1"/>
    <col min="523" max="523" width="7.7109375" style="12" customWidth="1"/>
    <col min="524" max="524" width="8" style="12" customWidth="1"/>
    <col min="525" max="525" width="7.7109375" style="12" customWidth="1"/>
    <col min="526" max="526" width="8.7109375" style="12" customWidth="1"/>
    <col min="527" max="766" width="9.140625" style="12"/>
    <col min="767" max="767" width="18.140625" style="12" customWidth="1"/>
    <col min="768" max="768" width="15.85546875" style="12" customWidth="1"/>
    <col min="769" max="770" width="6.7109375" style="12" customWidth="1"/>
    <col min="771" max="771" width="5.7109375" style="12" customWidth="1"/>
    <col min="772" max="772" width="7" style="12" customWidth="1"/>
    <col min="773" max="773" width="5.7109375" style="12" customWidth="1"/>
    <col min="774" max="774" width="7.7109375" style="12" customWidth="1"/>
    <col min="775" max="775" width="8.7109375" style="12" customWidth="1"/>
    <col min="776" max="776" width="7.7109375" style="12" customWidth="1"/>
    <col min="777" max="777" width="8.7109375" style="12" customWidth="1"/>
    <col min="778" max="778" width="16.28515625" style="12" customWidth="1"/>
    <col min="779" max="779" width="7.7109375" style="12" customWidth="1"/>
    <col min="780" max="780" width="8" style="12" customWidth="1"/>
    <col min="781" max="781" width="7.7109375" style="12" customWidth="1"/>
    <col min="782" max="782" width="8.7109375" style="12" customWidth="1"/>
    <col min="783" max="1022" width="9.140625" style="12"/>
    <col min="1023" max="1023" width="18.140625" style="12" customWidth="1"/>
    <col min="1024" max="1024" width="15.85546875" style="12" customWidth="1"/>
    <col min="1025" max="1026" width="6.7109375" style="12" customWidth="1"/>
    <col min="1027" max="1027" width="5.7109375" style="12" customWidth="1"/>
    <col min="1028" max="1028" width="7" style="12" customWidth="1"/>
    <col min="1029" max="1029" width="5.7109375" style="12" customWidth="1"/>
    <col min="1030" max="1030" width="7.7109375" style="12" customWidth="1"/>
    <col min="1031" max="1031" width="8.7109375" style="12" customWidth="1"/>
    <col min="1032" max="1032" width="7.7109375" style="12" customWidth="1"/>
    <col min="1033" max="1033" width="8.7109375" style="12" customWidth="1"/>
    <col min="1034" max="1034" width="16.28515625" style="12" customWidth="1"/>
    <col min="1035" max="1035" width="7.7109375" style="12" customWidth="1"/>
    <col min="1036" max="1036" width="8" style="12" customWidth="1"/>
    <col min="1037" max="1037" width="7.7109375" style="12" customWidth="1"/>
    <col min="1038" max="1038" width="8.7109375" style="12" customWidth="1"/>
    <col min="1039" max="1278" width="9.140625" style="12"/>
    <col min="1279" max="1279" width="18.140625" style="12" customWidth="1"/>
    <col min="1280" max="1280" width="15.85546875" style="12" customWidth="1"/>
    <col min="1281" max="1282" width="6.7109375" style="12" customWidth="1"/>
    <col min="1283" max="1283" width="5.7109375" style="12" customWidth="1"/>
    <col min="1284" max="1284" width="7" style="12" customWidth="1"/>
    <col min="1285" max="1285" width="5.7109375" style="12" customWidth="1"/>
    <col min="1286" max="1286" width="7.7109375" style="12" customWidth="1"/>
    <col min="1287" max="1287" width="8.7109375" style="12" customWidth="1"/>
    <col min="1288" max="1288" width="7.7109375" style="12" customWidth="1"/>
    <col min="1289" max="1289" width="8.7109375" style="12" customWidth="1"/>
    <col min="1290" max="1290" width="16.28515625" style="12" customWidth="1"/>
    <col min="1291" max="1291" width="7.7109375" style="12" customWidth="1"/>
    <col min="1292" max="1292" width="8" style="12" customWidth="1"/>
    <col min="1293" max="1293" width="7.7109375" style="12" customWidth="1"/>
    <col min="1294" max="1294" width="8.7109375" style="12" customWidth="1"/>
    <col min="1295" max="1534" width="9.140625" style="12"/>
    <col min="1535" max="1535" width="18.140625" style="12" customWidth="1"/>
    <col min="1536" max="1536" width="15.85546875" style="12" customWidth="1"/>
    <col min="1537" max="1538" width="6.7109375" style="12" customWidth="1"/>
    <col min="1539" max="1539" width="5.7109375" style="12" customWidth="1"/>
    <col min="1540" max="1540" width="7" style="12" customWidth="1"/>
    <col min="1541" max="1541" width="5.7109375" style="12" customWidth="1"/>
    <col min="1542" max="1542" width="7.7109375" style="12" customWidth="1"/>
    <col min="1543" max="1543" width="8.7109375" style="12" customWidth="1"/>
    <col min="1544" max="1544" width="7.7109375" style="12" customWidth="1"/>
    <col min="1545" max="1545" width="8.7109375" style="12" customWidth="1"/>
    <col min="1546" max="1546" width="16.28515625" style="12" customWidth="1"/>
    <col min="1547" max="1547" width="7.7109375" style="12" customWidth="1"/>
    <col min="1548" max="1548" width="8" style="12" customWidth="1"/>
    <col min="1549" max="1549" width="7.7109375" style="12" customWidth="1"/>
    <col min="1550" max="1550" width="8.7109375" style="12" customWidth="1"/>
    <col min="1551" max="1790" width="9.140625" style="12"/>
    <col min="1791" max="1791" width="18.140625" style="12" customWidth="1"/>
    <col min="1792" max="1792" width="15.85546875" style="12" customWidth="1"/>
    <col min="1793" max="1794" width="6.7109375" style="12" customWidth="1"/>
    <col min="1795" max="1795" width="5.7109375" style="12" customWidth="1"/>
    <col min="1796" max="1796" width="7" style="12" customWidth="1"/>
    <col min="1797" max="1797" width="5.7109375" style="12" customWidth="1"/>
    <col min="1798" max="1798" width="7.7109375" style="12" customWidth="1"/>
    <col min="1799" max="1799" width="8.7109375" style="12" customWidth="1"/>
    <col min="1800" max="1800" width="7.7109375" style="12" customWidth="1"/>
    <col min="1801" max="1801" width="8.7109375" style="12" customWidth="1"/>
    <col min="1802" max="1802" width="16.28515625" style="12" customWidth="1"/>
    <col min="1803" max="1803" width="7.7109375" style="12" customWidth="1"/>
    <col min="1804" max="1804" width="8" style="12" customWidth="1"/>
    <col min="1805" max="1805" width="7.7109375" style="12" customWidth="1"/>
    <col min="1806" max="1806" width="8.7109375" style="12" customWidth="1"/>
    <col min="1807" max="2046" width="9.140625" style="12"/>
    <col min="2047" max="2047" width="18.140625" style="12" customWidth="1"/>
    <col min="2048" max="2048" width="15.85546875" style="12" customWidth="1"/>
    <col min="2049" max="2050" width="6.7109375" style="12" customWidth="1"/>
    <col min="2051" max="2051" width="5.7109375" style="12" customWidth="1"/>
    <col min="2052" max="2052" width="7" style="12" customWidth="1"/>
    <col min="2053" max="2053" width="5.7109375" style="12" customWidth="1"/>
    <col min="2054" max="2054" width="7.7109375" style="12" customWidth="1"/>
    <col min="2055" max="2055" width="8.7109375" style="12" customWidth="1"/>
    <col min="2056" max="2056" width="7.7109375" style="12" customWidth="1"/>
    <col min="2057" max="2057" width="8.7109375" style="12" customWidth="1"/>
    <col min="2058" max="2058" width="16.28515625" style="12" customWidth="1"/>
    <col min="2059" max="2059" width="7.7109375" style="12" customWidth="1"/>
    <col min="2060" max="2060" width="8" style="12" customWidth="1"/>
    <col min="2061" max="2061" width="7.7109375" style="12" customWidth="1"/>
    <col min="2062" max="2062" width="8.7109375" style="12" customWidth="1"/>
    <col min="2063" max="2302" width="9.140625" style="12"/>
    <col min="2303" max="2303" width="18.140625" style="12" customWidth="1"/>
    <col min="2304" max="2304" width="15.85546875" style="12" customWidth="1"/>
    <col min="2305" max="2306" width="6.7109375" style="12" customWidth="1"/>
    <col min="2307" max="2307" width="5.7109375" style="12" customWidth="1"/>
    <col min="2308" max="2308" width="7" style="12" customWidth="1"/>
    <col min="2309" max="2309" width="5.7109375" style="12" customWidth="1"/>
    <col min="2310" max="2310" width="7.7109375" style="12" customWidth="1"/>
    <col min="2311" max="2311" width="8.7109375" style="12" customWidth="1"/>
    <col min="2312" max="2312" width="7.7109375" style="12" customWidth="1"/>
    <col min="2313" max="2313" width="8.7109375" style="12" customWidth="1"/>
    <col min="2314" max="2314" width="16.28515625" style="12" customWidth="1"/>
    <col min="2315" max="2315" width="7.7109375" style="12" customWidth="1"/>
    <col min="2316" max="2316" width="8" style="12" customWidth="1"/>
    <col min="2317" max="2317" width="7.7109375" style="12" customWidth="1"/>
    <col min="2318" max="2318" width="8.7109375" style="12" customWidth="1"/>
    <col min="2319" max="2558" width="9.140625" style="12"/>
    <col min="2559" max="2559" width="18.140625" style="12" customWidth="1"/>
    <col min="2560" max="2560" width="15.85546875" style="12" customWidth="1"/>
    <col min="2561" max="2562" width="6.7109375" style="12" customWidth="1"/>
    <col min="2563" max="2563" width="5.7109375" style="12" customWidth="1"/>
    <col min="2564" max="2564" width="7" style="12" customWidth="1"/>
    <col min="2565" max="2565" width="5.7109375" style="12" customWidth="1"/>
    <col min="2566" max="2566" width="7.7109375" style="12" customWidth="1"/>
    <col min="2567" max="2567" width="8.7109375" style="12" customWidth="1"/>
    <col min="2568" max="2568" width="7.7109375" style="12" customWidth="1"/>
    <col min="2569" max="2569" width="8.7109375" style="12" customWidth="1"/>
    <col min="2570" max="2570" width="16.28515625" style="12" customWidth="1"/>
    <col min="2571" max="2571" width="7.7109375" style="12" customWidth="1"/>
    <col min="2572" max="2572" width="8" style="12" customWidth="1"/>
    <col min="2573" max="2573" width="7.7109375" style="12" customWidth="1"/>
    <col min="2574" max="2574" width="8.7109375" style="12" customWidth="1"/>
    <col min="2575" max="2814" width="9.140625" style="12"/>
    <col min="2815" max="2815" width="18.140625" style="12" customWidth="1"/>
    <col min="2816" max="2816" width="15.85546875" style="12" customWidth="1"/>
    <col min="2817" max="2818" width="6.7109375" style="12" customWidth="1"/>
    <col min="2819" max="2819" width="5.7109375" style="12" customWidth="1"/>
    <col min="2820" max="2820" width="7" style="12" customWidth="1"/>
    <col min="2821" max="2821" width="5.7109375" style="12" customWidth="1"/>
    <col min="2822" max="2822" width="7.7109375" style="12" customWidth="1"/>
    <col min="2823" max="2823" width="8.7109375" style="12" customWidth="1"/>
    <col min="2824" max="2824" width="7.7109375" style="12" customWidth="1"/>
    <col min="2825" max="2825" width="8.7109375" style="12" customWidth="1"/>
    <col min="2826" max="2826" width="16.28515625" style="12" customWidth="1"/>
    <col min="2827" max="2827" width="7.7109375" style="12" customWidth="1"/>
    <col min="2828" max="2828" width="8" style="12" customWidth="1"/>
    <col min="2829" max="2829" width="7.7109375" style="12" customWidth="1"/>
    <col min="2830" max="2830" width="8.7109375" style="12" customWidth="1"/>
    <col min="2831" max="3070" width="9.140625" style="12"/>
    <col min="3071" max="3071" width="18.140625" style="12" customWidth="1"/>
    <col min="3072" max="3072" width="15.85546875" style="12" customWidth="1"/>
    <col min="3073" max="3074" width="6.7109375" style="12" customWidth="1"/>
    <col min="3075" max="3075" width="5.7109375" style="12" customWidth="1"/>
    <col min="3076" max="3076" width="7" style="12" customWidth="1"/>
    <col min="3077" max="3077" width="5.7109375" style="12" customWidth="1"/>
    <col min="3078" max="3078" width="7.7109375" style="12" customWidth="1"/>
    <col min="3079" max="3079" width="8.7109375" style="12" customWidth="1"/>
    <col min="3080" max="3080" width="7.7109375" style="12" customWidth="1"/>
    <col min="3081" max="3081" width="8.7109375" style="12" customWidth="1"/>
    <col min="3082" max="3082" width="16.28515625" style="12" customWidth="1"/>
    <col min="3083" max="3083" width="7.7109375" style="12" customWidth="1"/>
    <col min="3084" max="3084" width="8" style="12" customWidth="1"/>
    <col min="3085" max="3085" width="7.7109375" style="12" customWidth="1"/>
    <col min="3086" max="3086" width="8.7109375" style="12" customWidth="1"/>
    <col min="3087" max="3326" width="9.140625" style="12"/>
    <col min="3327" max="3327" width="18.140625" style="12" customWidth="1"/>
    <col min="3328" max="3328" width="15.85546875" style="12" customWidth="1"/>
    <col min="3329" max="3330" width="6.7109375" style="12" customWidth="1"/>
    <col min="3331" max="3331" width="5.7109375" style="12" customWidth="1"/>
    <col min="3332" max="3332" width="7" style="12" customWidth="1"/>
    <col min="3333" max="3333" width="5.7109375" style="12" customWidth="1"/>
    <col min="3334" max="3334" width="7.7109375" style="12" customWidth="1"/>
    <col min="3335" max="3335" width="8.7109375" style="12" customWidth="1"/>
    <col min="3336" max="3336" width="7.7109375" style="12" customWidth="1"/>
    <col min="3337" max="3337" width="8.7109375" style="12" customWidth="1"/>
    <col min="3338" max="3338" width="16.28515625" style="12" customWidth="1"/>
    <col min="3339" max="3339" width="7.7109375" style="12" customWidth="1"/>
    <col min="3340" max="3340" width="8" style="12" customWidth="1"/>
    <col min="3341" max="3341" width="7.7109375" style="12" customWidth="1"/>
    <col min="3342" max="3342" width="8.7109375" style="12" customWidth="1"/>
    <col min="3343" max="3582" width="9.140625" style="12"/>
    <col min="3583" max="3583" width="18.140625" style="12" customWidth="1"/>
    <col min="3584" max="3584" width="15.85546875" style="12" customWidth="1"/>
    <col min="3585" max="3586" width="6.7109375" style="12" customWidth="1"/>
    <col min="3587" max="3587" width="5.7109375" style="12" customWidth="1"/>
    <col min="3588" max="3588" width="7" style="12" customWidth="1"/>
    <col min="3589" max="3589" width="5.7109375" style="12" customWidth="1"/>
    <col min="3590" max="3590" width="7.7109375" style="12" customWidth="1"/>
    <col min="3591" max="3591" width="8.7109375" style="12" customWidth="1"/>
    <col min="3592" max="3592" width="7.7109375" style="12" customWidth="1"/>
    <col min="3593" max="3593" width="8.7109375" style="12" customWidth="1"/>
    <col min="3594" max="3594" width="16.28515625" style="12" customWidth="1"/>
    <col min="3595" max="3595" width="7.7109375" style="12" customWidth="1"/>
    <col min="3596" max="3596" width="8" style="12" customWidth="1"/>
    <col min="3597" max="3597" width="7.7109375" style="12" customWidth="1"/>
    <col min="3598" max="3598" width="8.7109375" style="12" customWidth="1"/>
    <col min="3599" max="3838" width="9.140625" style="12"/>
    <col min="3839" max="3839" width="18.140625" style="12" customWidth="1"/>
    <col min="3840" max="3840" width="15.85546875" style="12" customWidth="1"/>
    <col min="3841" max="3842" width="6.7109375" style="12" customWidth="1"/>
    <col min="3843" max="3843" width="5.7109375" style="12" customWidth="1"/>
    <col min="3844" max="3844" width="7" style="12" customWidth="1"/>
    <col min="3845" max="3845" width="5.7109375" style="12" customWidth="1"/>
    <col min="3846" max="3846" width="7.7109375" style="12" customWidth="1"/>
    <col min="3847" max="3847" width="8.7109375" style="12" customWidth="1"/>
    <col min="3848" max="3848" width="7.7109375" style="12" customWidth="1"/>
    <col min="3849" max="3849" width="8.7109375" style="12" customWidth="1"/>
    <col min="3850" max="3850" width="16.28515625" style="12" customWidth="1"/>
    <col min="3851" max="3851" width="7.7109375" style="12" customWidth="1"/>
    <col min="3852" max="3852" width="8" style="12" customWidth="1"/>
    <col min="3853" max="3853" width="7.7109375" style="12" customWidth="1"/>
    <col min="3854" max="3854" width="8.7109375" style="12" customWidth="1"/>
    <col min="3855" max="4094" width="9.140625" style="12"/>
    <col min="4095" max="4095" width="18.140625" style="12" customWidth="1"/>
    <col min="4096" max="4096" width="15.85546875" style="12" customWidth="1"/>
    <col min="4097" max="4098" width="6.7109375" style="12" customWidth="1"/>
    <col min="4099" max="4099" width="5.7109375" style="12" customWidth="1"/>
    <col min="4100" max="4100" width="7" style="12" customWidth="1"/>
    <col min="4101" max="4101" width="5.7109375" style="12" customWidth="1"/>
    <col min="4102" max="4102" width="7.7109375" style="12" customWidth="1"/>
    <col min="4103" max="4103" width="8.7109375" style="12" customWidth="1"/>
    <col min="4104" max="4104" width="7.7109375" style="12" customWidth="1"/>
    <col min="4105" max="4105" width="8.7109375" style="12" customWidth="1"/>
    <col min="4106" max="4106" width="16.28515625" style="12" customWidth="1"/>
    <col min="4107" max="4107" width="7.7109375" style="12" customWidth="1"/>
    <col min="4108" max="4108" width="8" style="12" customWidth="1"/>
    <col min="4109" max="4109" width="7.7109375" style="12" customWidth="1"/>
    <col min="4110" max="4110" width="8.7109375" style="12" customWidth="1"/>
    <col min="4111" max="4350" width="9.140625" style="12"/>
    <col min="4351" max="4351" width="18.140625" style="12" customWidth="1"/>
    <col min="4352" max="4352" width="15.85546875" style="12" customWidth="1"/>
    <col min="4353" max="4354" width="6.7109375" style="12" customWidth="1"/>
    <col min="4355" max="4355" width="5.7109375" style="12" customWidth="1"/>
    <col min="4356" max="4356" width="7" style="12" customWidth="1"/>
    <col min="4357" max="4357" width="5.7109375" style="12" customWidth="1"/>
    <col min="4358" max="4358" width="7.7109375" style="12" customWidth="1"/>
    <col min="4359" max="4359" width="8.7109375" style="12" customWidth="1"/>
    <col min="4360" max="4360" width="7.7109375" style="12" customWidth="1"/>
    <col min="4361" max="4361" width="8.7109375" style="12" customWidth="1"/>
    <col min="4362" max="4362" width="16.28515625" style="12" customWidth="1"/>
    <col min="4363" max="4363" width="7.7109375" style="12" customWidth="1"/>
    <col min="4364" max="4364" width="8" style="12" customWidth="1"/>
    <col min="4365" max="4365" width="7.7109375" style="12" customWidth="1"/>
    <col min="4366" max="4366" width="8.7109375" style="12" customWidth="1"/>
    <col min="4367" max="4606" width="9.140625" style="12"/>
    <col min="4607" max="4607" width="18.140625" style="12" customWidth="1"/>
    <col min="4608" max="4608" width="15.85546875" style="12" customWidth="1"/>
    <col min="4609" max="4610" width="6.7109375" style="12" customWidth="1"/>
    <col min="4611" max="4611" width="5.7109375" style="12" customWidth="1"/>
    <col min="4612" max="4612" width="7" style="12" customWidth="1"/>
    <col min="4613" max="4613" width="5.7109375" style="12" customWidth="1"/>
    <col min="4614" max="4614" width="7.7109375" style="12" customWidth="1"/>
    <col min="4615" max="4615" width="8.7109375" style="12" customWidth="1"/>
    <col min="4616" max="4616" width="7.7109375" style="12" customWidth="1"/>
    <col min="4617" max="4617" width="8.7109375" style="12" customWidth="1"/>
    <col min="4618" max="4618" width="16.28515625" style="12" customWidth="1"/>
    <col min="4619" max="4619" width="7.7109375" style="12" customWidth="1"/>
    <col min="4620" max="4620" width="8" style="12" customWidth="1"/>
    <col min="4621" max="4621" width="7.7109375" style="12" customWidth="1"/>
    <col min="4622" max="4622" width="8.7109375" style="12" customWidth="1"/>
    <col min="4623" max="4862" width="9.140625" style="12"/>
    <col min="4863" max="4863" width="18.140625" style="12" customWidth="1"/>
    <col min="4864" max="4864" width="15.85546875" style="12" customWidth="1"/>
    <col min="4865" max="4866" width="6.7109375" style="12" customWidth="1"/>
    <col min="4867" max="4867" width="5.7109375" style="12" customWidth="1"/>
    <col min="4868" max="4868" width="7" style="12" customWidth="1"/>
    <col min="4869" max="4869" width="5.7109375" style="12" customWidth="1"/>
    <col min="4870" max="4870" width="7.7109375" style="12" customWidth="1"/>
    <col min="4871" max="4871" width="8.7109375" style="12" customWidth="1"/>
    <col min="4872" max="4872" width="7.7109375" style="12" customWidth="1"/>
    <col min="4873" max="4873" width="8.7109375" style="12" customWidth="1"/>
    <col min="4874" max="4874" width="16.28515625" style="12" customWidth="1"/>
    <col min="4875" max="4875" width="7.7109375" style="12" customWidth="1"/>
    <col min="4876" max="4876" width="8" style="12" customWidth="1"/>
    <col min="4877" max="4877" width="7.7109375" style="12" customWidth="1"/>
    <col min="4878" max="4878" width="8.7109375" style="12" customWidth="1"/>
    <col min="4879" max="5118" width="9.140625" style="12"/>
    <col min="5119" max="5119" width="18.140625" style="12" customWidth="1"/>
    <col min="5120" max="5120" width="15.85546875" style="12" customWidth="1"/>
    <col min="5121" max="5122" width="6.7109375" style="12" customWidth="1"/>
    <col min="5123" max="5123" width="5.7109375" style="12" customWidth="1"/>
    <col min="5124" max="5124" width="7" style="12" customWidth="1"/>
    <col min="5125" max="5125" width="5.7109375" style="12" customWidth="1"/>
    <col min="5126" max="5126" width="7.7109375" style="12" customWidth="1"/>
    <col min="5127" max="5127" width="8.7109375" style="12" customWidth="1"/>
    <col min="5128" max="5128" width="7.7109375" style="12" customWidth="1"/>
    <col min="5129" max="5129" width="8.7109375" style="12" customWidth="1"/>
    <col min="5130" max="5130" width="16.28515625" style="12" customWidth="1"/>
    <col min="5131" max="5131" width="7.7109375" style="12" customWidth="1"/>
    <col min="5132" max="5132" width="8" style="12" customWidth="1"/>
    <col min="5133" max="5133" width="7.7109375" style="12" customWidth="1"/>
    <col min="5134" max="5134" width="8.7109375" style="12" customWidth="1"/>
    <col min="5135" max="5374" width="9.140625" style="12"/>
    <col min="5375" max="5375" width="18.140625" style="12" customWidth="1"/>
    <col min="5376" max="5376" width="15.85546875" style="12" customWidth="1"/>
    <col min="5377" max="5378" width="6.7109375" style="12" customWidth="1"/>
    <col min="5379" max="5379" width="5.7109375" style="12" customWidth="1"/>
    <col min="5380" max="5380" width="7" style="12" customWidth="1"/>
    <col min="5381" max="5381" width="5.7109375" style="12" customWidth="1"/>
    <col min="5382" max="5382" width="7.7109375" style="12" customWidth="1"/>
    <col min="5383" max="5383" width="8.7109375" style="12" customWidth="1"/>
    <col min="5384" max="5384" width="7.7109375" style="12" customWidth="1"/>
    <col min="5385" max="5385" width="8.7109375" style="12" customWidth="1"/>
    <col min="5386" max="5386" width="16.28515625" style="12" customWidth="1"/>
    <col min="5387" max="5387" width="7.7109375" style="12" customWidth="1"/>
    <col min="5388" max="5388" width="8" style="12" customWidth="1"/>
    <col min="5389" max="5389" width="7.7109375" style="12" customWidth="1"/>
    <col min="5390" max="5390" width="8.7109375" style="12" customWidth="1"/>
    <col min="5391" max="5630" width="9.140625" style="12"/>
    <col min="5631" max="5631" width="18.140625" style="12" customWidth="1"/>
    <col min="5632" max="5632" width="15.85546875" style="12" customWidth="1"/>
    <col min="5633" max="5634" width="6.7109375" style="12" customWidth="1"/>
    <col min="5635" max="5635" width="5.7109375" style="12" customWidth="1"/>
    <col min="5636" max="5636" width="7" style="12" customWidth="1"/>
    <col min="5637" max="5637" width="5.7109375" style="12" customWidth="1"/>
    <col min="5638" max="5638" width="7.7109375" style="12" customWidth="1"/>
    <col min="5639" max="5639" width="8.7109375" style="12" customWidth="1"/>
    <col min="5640" max="5640" width="7.7109375" style="12" customWidth="1"/>
    <col min="5641" max="5641" width="8.7109375" style="12" customWidth="1"/>
    <col min="5642" max="5642" width="16.28515625" style="12" customWidth="1"/>
    <col min="5643" max="5643" width="7.7109375" style="12" customWidth="1"/>
    <col min="5644" max="5644" width="8" style="12" customWidth="1"/>
    <col min="5645" max="5645" width="7.7109375" style="12" customWidth="1"/>
    <col min="5646" max="5646" width="8.7109375" style="12" customWidth="1"/>
    <col min="5647" max="5886" width="9.140625" style="12"/>
    <col min="5887" max="5887" width="18.140625" style="12" customWidth="1"/>
    <col min="5888" max="5888" width="15.85546875" style="12" customWidth="1"/>
    <col min="5889" max="5890" width="6.7109375" style="12" customWidth="1"/>
    <col min="5891" max="5891" width="5.7109375" style="12" customWidth="1"/>
    <col min="5892" max="5892" width="7" style="12" customWidth="1"/>
    <col min="5893" max="5893" width="5.7109375" style="12" customWidth="1"/>
    <col min="5894" max="5894" width="7.7109375" style="12" customWidth="1"/>
    <col min="5895" max="5895" width="8.7109375" style="12" customWidth="1"/>
    <col min="5896" max="5896" width="7.7109375" style="12" customWidth="1"/>
    <col min="5897" max="5897" width="8.7109375" style="12" customWidth="1"/>
    <col min="5898" max="5898" width="16.28515625" style="12" customWidth="1"/>
    <col min="5899" max="5899" width="7.7109375" style="12" customWidth="1"/>
    <col min="5900" max="5900" width="8" style="12" customWidth="1"/>
    <col min="5901" max="5901" width="7.7109375" style="12" customWidth="1"/>
    <col min="5902" max="5902" width="8.7109375" style="12" customWidth="1"/>
    <col min="5903" max="6142" width="9.140625" style="12"/>
    <col min="6143" max="6143" width="18.140625" style="12" customWidth="1"/>
    <col min="6144" max="6144" width="15.85546875" style="12" customWidth="1"/>
    <col min="6145" max="6146" width="6.7109375" style="12" customWidth="1"/>
    <col min="6147" max="6147" width="5.7109375" style="12" customWidth="1"/>
    <col min="6148" max="6148" width="7" style="12" customWidth="1"/>
    <col min="6149" max="6149" width="5.7109375" style="12" customWidth="1"/>
    <col min="6150" max="6150" width="7.7109375" style="12" customWidth="1"/>
    <col min="6151" max="6151" width="8.7109375" style="12" customWidth="1"/>
    <col min="6152" max="6152" width="7.7109375" style="12" customWidth="1"/>
    <col min="6153" max="6153" width="8.7109375" style="12" customWidth="1"/>
    <col min="6154" max="6154" width="16.28515625" style="12" customWidth="1"/>
    <col min="6155" max="6155" width="7.7109375" style="12" customWidth="1"/>
    <col min="6156" max="6156" width="8" style="12" customWidth="1"/>
    <col min="6157" max="6157" width="7.7109375" style="12" customWidth="1"/>
    <col min="6158" max="6158" width="8.7109375" style="12" customWidth="1"/>
    <col min="6159" max="6398" width="9.140625" style="12"/>
    <col min="6399" max="6399" width="18.140625" style="12" customWidth="1"/>
    <col min="6400" max="6400" width="15.85546875" style="12" customWidth="1"/>
    <col min="6401" max="6402" width="6.7109375" style="12" customWidth="1"/>
    <col min="6403" max="6403" width="5.7109375" style="12" customWidth="1"/>
    <col min="6404" max="6404" width="7" style="12" customWidth="1"/>
    <col min="6405" max="6405" width="5.7109375" style="12" customWidth="1"/>
    <col min="6406" max="6406" width="7.7109375" style="12" customWidth="1"/>
    <col min="6407" max="6407" width="8.7109375" style="12" customWidth="1"/>
    <col min="6408" max="6408" width="7.7109375" style="12" customWidth="1"/>
    <col min="6409" max="6409" width="8.7109375" style="12" customWidth="1"/>
    <col min="6410" max="6410" width="16.28515625" style="12" customWidth="1"/>
    <col min="6411" max="6411" width="7.7109375" style="12" customWidth="1"/>
    <col min="6412" max="6412" width="8" style="12" customWidth="1"/>
    <col min="6413" max="6413" width="7.7109375" style="12" customWidth="1"/>
    <col min="6414" max="6414" width="8.7109375" style="12" customWidth="1"/>
    <col min="6415" max="6654" width="9.140625" style="12"/>
    <col min="6655" max="6655" width="18.140625" style="12" customWidth="1"/>
    <col min="6656" max="6656" width="15.85546875" style="12" customWidth="1"/>
    <col min="6657" max="6658" width="6.7109375" style="12" customWidth="1"/>
    <col min="6659" max="6659" width="5.7109375" style="12" customWidth="1"/>
    <col min="6660" max="6660" width="7" style="12" customWidth="1"/>
    <col min="6661" max="6661" width="5.7109375" style="12" customWidth="1"/>
    <col min="6662" max="6662" width="7.7109375" style="12" customWidth="1"/>
    <col min="6663" max="6663" width="8.7109375" style="12" customWidth="1"/>
    <col min="6664" max="6664" width="7.7109375" style="12" customWidth="1"/>
    <col min="6665" max="6665" width="8.7109375" style="12" customWidth="1"/>
    <col min="6666" max="6666" width="16.28515625" style="12" customWidth="1"/>
    <col min="6667" max="6667" width="7.7109375" style="12" customWidth="1"/>
    <col min="6668" max="6668" width="8" style="12" customWidth="1"/>
    <col min="6669" max="6669" width="7.7109375" style="12" customWidth="1"/>
    <col min="6670" max="6670" width="8.7109375" style="12" customWidth="1"/>
    <col min="6671" max="6910" width="9.140625" style="12"/>
    <col min="6911" max="6911" width="18.140625" style="12" customWidth="1"/>
    <col min="6912" max="6912" width="15.85546875" style="12" customWidth="1"/>
    <col min="6913" max="6914" width="6.7109375" style="12" customWidth="1"/>
    <col min="6915" max="6915" width="5.7109375" style="12" customWidth="1"/>
    <col min="6916" max="6916" width="7" style="12" customWidth="1"/>
    <col min="6917" max="6917" width="5.7109375" style="12" customWidth="1"/>
    <col min="6918" max="6918" width="7.7109375" style="12" customWidth="1"/>
    <col min="6919" max="6919" width="8.7109375" style="12" customWidth="1"/>
    <col min="6920" max="6920" width="7.7109375" style="12" customWidth="1"/>
    <col min="6921" max="6921" width="8.7109375" style="12" customWidth="1"/>
    <col min="6922" max="6922" width="16.28515625" style="12" customWidth="1"/>
    <col min="6923" max="6923" width="7.7109375" style="12" customWidth="1"/>
    <col min="6924" max="6924" width="8" style="12" customWidth="1"/>
    <col min="6925" max="6925" width="7.7109375" style="12" customWidth="1"/>
    <col min="6926" max="6926" width="8.7109375" style="12" customWidth="1"/>
    <col min="6927" max="7166" width="9.140625" style="12"/>
    <col min="7167" max="7167" width="18.140625" style="12" customWidth="1"/>
    <col min="7168" max="7168" width="15.85546875" style="12" customWidth="1"/>
    <col min="7169" max="7170" width="6.7109375" style="12" customWidth="1"/>
    <col min="7171" max="7171" width="5.7109375" style="12" customWidth="1"/>
    <col min="7172" max="7172" width="7" style="12" customWidth="1"/>
    <col min="7173" max="7173" width="5.7109375" style="12" customWidth="1"/>
    <col min="7174" max="7174" width="7.7109375" style="12" customWidth="1"/>
    <col min="7175" max="7175" width="8.7109375" style="12" customWidth="1"/>
    <col min="7176" max="7176" width="7.7109375" style="12" customWidth="1"/>
    <col min="7177" max="7177" width="8.7109375" style="12" customWidth="1"/>
    <col min="7178" max="7178" width="16.28515625" style="12" customWidth="1"/>
    <col min="7179" max="7179" width="7.7109375" style="12" customWidth="1"/>
    <col min="7180" max="7180" width="8" style="12" customWidth="1"/>
    <col min="7181" max="7181" width="7.7109375" style="12" customWidth="1"/>
    <col min="7182" max="7182" width="8.7109375" style="12" customWidth="1"/>
    <col min="7183" max="7422" width="9.140625" style="12"/>
    <col min="7423" max="7423" width="18.140625" style="12" customWidth="1"/>
    <col min="7424" max="7424" width="15.85546875" style="12" customWidth="1"/>
    <col min="7425" max="7426" width="6.7109375" style="12" customWidth="1"/>
    <col min="7427" max="7427" width="5.7109375" style="12" customWidth="1"/>
    <col min="7428" max="7428" width="7" style="12" customWidth="1"/>
    <col min="7429" max="7429" width="5.7109375" style="12" customWidth="1"/>
    <col min="7430" max="7430" width="7.7109375" style="12" customWidth="1"/>
    <col min="7431" max="7431" width="8.7109375" style="12" customWidth="1"/>
    <col min="7432" max="7432" width="7.7109375" style="12" customWidth="1"/>
    <col min="7433" max="7433" width="8.7109375" style="12" customWidth="1"/>
    <col min="7434" max="7434" width="16.28515625" style="12" customWidth="1"/>
    <col min="7435" max="7435" width="7.7109375" style="12" customWidth="1"/>
    <col min="7436" max="7436" width="8" style="12" customWidth="1"/>
    <col min="7437" max="7437" width="7.7109375" style="12" customWidth="1"/>
    <col min="7438" max="7438" width="8.7109375" style="12" customWidth="1"/>
    <col min="7439" max="7678" width="9.140625" style="12"/>
    <col min="7679" max="7679" width="18.140625" style="12" customWidth="1"/>
    <col min="7680" max="7680" width="15.85546875" style="12" customWidth="1"/>
    <col min="7681" max="7682" width="6.7109375" style="12" customWidth="1"/>
    <col min="7683" max="7683" width="5.7109375" style="12" customWidth="1"/>
    <col min="7684" max="7684" width="7" style="12" customWidth="1"/>
    <col min="7685" max="7685" width="5.7109375" style="12" customWidth="1"/>
    <col min="7686" max="7686" width="7.7109375" style="12" customWidth="1"/>
    <col min="7687" max="7687" width="8.7109375" style="12" customWidth="1"/>
    <col min="7688" max="7688" width="7.7109375" style="12" customWidth="1"/>
    <col min="7689" max="7689" width="8.7109375" style="12" customWidth="1"/>
    <col min="7690" max="7690" width="16.28515625" style="12" customWidth="1"/>
    <col min="7691" max="7691" width="7.7109375" style="12" customWidth="1"/>
    <col min="7692" max="7692" width="8" style="12" customWidth="1"/>
    <col min="7693" max="7693" width="7.7109375" style="12" customWidth="1"/>
    <col min="7694" max="7694" width="8.7109375" style="12" customWidth="1"/>
    <col min="7695" max="7934" width="9.140625" style="12"/>
    <col min="7935" max="7935" width="18.140625" style="12" customWidth="1"/>
    <col min="7936" max="7936" width="15.85546875" style="12" customWidth="1"/>
    <col min="7937" max="7938" width="6.7109375" style="12" customWidth="1"/>
    <col min="7939" max="7939" width="5.7109375" style="12" customWidth="1"/>
    <col min="7940" max="7940" width="7" style="12" customWidth="1"/>
    <col min="7941" max="7941" width="5.7109375" style="12" customWidth="1"/>
    <col min="7942" max="7942" width="7.7109375" style="12" customWidth="1"/>
    <col min="7943" max="7943" width="8.7109375" style="12" customWidth="1"/>
    <col min="7944" max="7944" width="7.7109375" style="12" customWidth="1"/>
    <col min="7945" max="7945" width="8.7109375" style="12" customWidth="1"/>
    <col min="7946" max="7946" width="16.28515625" style="12" customWidth="1"/>
    <col min="7947" max="7947" width="7.7109375" style="12" customWidth="1"/>
    <col min="7948" max="7948" width="8" style="12" customWidth="1"/>
    <col min="7949" max="7949" width="7.7109375" style="12" customWidth="1"/>
    <col min="7950" max="7950" width="8.7109375" style="12" customWidth="1"/>
    <col min="7951" max="8190" width="9.140625" style="12"/>
    <col min="8191" max="8191" width="18.140625" style="12" customWidth="1"/>
    <col min="8192" max="8192" width="15.85546875" style="12" customWidth="1"/>
    <col min="8193" max="8194" width="6.7109375" style="12" customWidth="1"/>
    <col min="8195" max="8195" width="5.7109375" style="12" customWidth="1"/>
    <col min="8196" max="8196" width="7" style="12" customWidth="1"/>
    <col min="8197" max="8197" width="5.7109375" style="12" customWidth="1"/>
    <col min="8198" max="8198" width="7.7109375" style="12" customWidth="1"/>
    <col min="8199" max="8199" width="8.7109375" style="12" customWidth="1"/>
    <col min="8200" max="8200" width="7.7109375" style="12" customWidth="1"/>
    <col min="8201" max="8201" width="8.7109375" style="12" customWidth="1"/>
    <col min="8202" max="8202" width="16.28515625" style="12" customWidth="1"/>
    <col min="8203" max="8203" width="7.7109375" style="12" customWidth="1"/>
    <col min="8204" max="8204" width="8" style="12" customWidth="1"/>
    <col min="8205" max="8205" width="7.7109375" style="12" customWidth="1"/>
    <col min="8206" max="8206" width="8.7109375" style="12" customWidth="1"/>
    <col min="8207" max="8446" width="9.140625" style="12"/>
    <col min="8447" max="8447" width="18.140625" style="12" customWidth="1"/>
    <col min="8448" max="8448" width="15.85546875" style="12" customWidth="1"/>
    <col min="8449" max="8450" width="6.7109375" style="12" customWidth="1"/>
    <col min="8451" max="8451" width="5.7109375" style="12" customWidth="1"/>
    <col min="8452" max="8452" width="7" style="12" customWidth="1"/>
    <col min="8453" max="8453" width="5.7109375" style="12" customWidth="1"/>
    <col min="8454" max="8454" width="7.7109375" style="12" customWidth="1"/>
    <col min="8455" max="8455" width="8.7109375" style="12" customWidth="1"/>
    <col min="8456" max="8456" width="7.7109375" style="12" customWidth="1"/>
    <col min="8457" max="8457" width="8.7109375" style="12" customWidth="1"/>
    <col min="8458" max="8458" width="16.28515625" style="12" customWidth="1"/>
    <col min="8459" max="8459" width="7.7109375" style="12" customWidth="1"/>
    <col min="8460" max="8460" width="8" style="12" customWidth="1"/>
    <col min="8461" max="8461" width="7.7109375" style="12" customWidth="1"/>
    <col min="8462" max="8462" width="8.7109375" style="12" customWidth="1"/>
    <col min="8463" max="8702" width="9.140625" style="12"/>
    <col min="8703" max="8703" width="18.140625" style="12" customWidth="1"/>
    <col min="8704" max="8704" width="15.85546875" style="12" customWidth="1"/>
    <col min="8705" max="8706" width="6.7109375" style="12" customWidth="1"/>
    <col min="8707" max="8707" width="5.7109375" style="12" customWidth="1"/>
    <col min="8708" max="8708" width="7" style="12" customWidth="1"/>
    <col min="8709" max="8709" width="5.7109375" style="12" customWidth="1"/>
    <col min="8710" max="8710" width="7.7109375" style="12" customWidth="1"/>
    <col min="8711" max="8711" width="8.7109375" style="12" customWidth="1"/>
    <col min="8712" max="8712" width="7.7109375" style="12" customWidth="1"/>
    <col min="8713" max="8713" width="8.7109375" style="12" customWidth="1"/>
    <col min="8714" max="8714" width="16.28515625" style="12" customWidth="1"/>
    <col min="8715" max="8715" width="7.7109375" style="12" customWidth="1"/>
    <col min="8716" max="8716" width="8" style="12" customWidth="1"/>
    <col min="8717" max="8717" width="7.7109375" style="12" customWidth="1"/>
    <col min="8718" max="8718" width="8.7109375" style="12" customWidth="1"/>
    <col min="8719" max="8958" width="9.140625" style="12"/>
    <col min="8959" max="8959" width="18.140625" style="12" customWidth="1"/>
    <col min="8960" max="8960" width="15.85546875" style="12" customWidth="1"/>
    <col min="8961" max="8962" width="6.7109375" style="12" customWidth="1"/>
    <col min="8963" max="8963" width="5.7109375" style="12" customWidth="1"/>
    <col min="8964" max="8964" width="7" style="12" customWidth="1"/>
    <col min="8965" max="8965" width="5.7109375" style="12" customWidth="1"/>
    <col min="8966" max="8966" width="7.7109375" style="12" customWidth="1"/>
    <col min="8967" max="8967" width="8.7109375" style="12" customWidth="1"/>
    <col min="8968" max="8968" width="7.7109375" style="12" customWidth="1"/>
    <col min="8969" max="8969" width="8.7109375" style="12" customWidth="1"/>
    <col min="8970" max="8970" width="16.28515625" style="12" customWidth="1"/>
    <col min="8971" max="8971" width="7.7109375" style="12" customWidth="1"/>
    <col min="8972" max="8972" width="8" style="12" customWidth="1"/>
    <col min="8973" max="8973" width="7.7109375" style="12" customWidth="1"/>
    <col min="8974" max="8974" width="8.7109375" style="12" customWidth="1"/>
    <col min="8975" max="9214" width="9.140625" style="12"/>
    <col min="9215" max="9215" width="18.140625" style="12" customWidth="1"/>
    <col min="9216" max="9216" width="15.85546875" style="12" customWidth="1"/>
    <col min="9217" max="9218" width="6.7109375" style="12" customWidth="1"/>
    <col min="9219" max="9219" width="5.7109375" style="12" customWidth="1"/>
    <col min="9220" max="9220" width="7" style="12" customWidth="1"/>
    <col min="9221" max="9221" width="5.7109375" style="12" customWidth="1"/>
    <col min="9222" max="9222" width="7.7109375" style="12" customWidth="1"/>
    <col min="9223" max="9223" width="8.7109375" style="12" customWidth="1"/>
    <col min="9224" max="9224" width="7.7109375" style="12" customWidth="1"/>
    <col min="9225" max="9225" width="8.7109375" style="12" customWidth="1"/>
    <col min="9226" max="9226" width="16.28515625" style="12" customWidth="1"/>
    <col min="9227" max="9227" width="7.7109375" style="12" customWidth="1"/>
    <col min="9228" max="9228" width="8" style="12" customWidth="1"/>
    <col min="9229" max="9229" width="7.7109375" style="12" customWidth="1"/>
    <col min="9230" max="9230" width="8.7109375" style="12" customWidth="1"/>
    <col min="9231" max="9470" width="9.140625" style="12"/>
    <col min="9471" max="9471" width="18.140625" style="12" customWidth="1"/>
    <col min="9472" max="9472" width="15.85546875" style="12" customWidth="1"/>
    <col min="9473" max="9474" width="6.7109375" style="12" customWidth="1"/>
    <col min="9475" max="9475" width="5.7109375" style="12" customWidth="1"/>
    <col min="9476" max="9476" width="7" style="12" customWidth="1"/>
    <col min="9477" max="9477" width="5.7109375" style="12" customWidth="1"/>
    <col min="9478" max="9478" width="7.7109375" style="12" customWidth="1"/>
    <col min="9479" max="9479" width="8.7109375" style="12" customWidth="1"/>
    <col min="9480" max="9480" width="7.7109375" style="12" customWidth="1"/>
    <col min="9481" max="9481" width="8.7109375" style="12" customWidth="1"/>
    <col min="9482" max="9482" width="16.28515625" style="12" customWidth="1"/>
    <col min="9483" max="9483" width="7.7109375" style="12" customWidth="1"/>
    <col min="9484" max="9484" width="8" style="12" customWidth="1"/>
    <col min="9485" max="9485" width="7.7109375" style="12" customWidth="1"/>
    <col min="9486" max="9486" width="8.7109375" style="12" customWidth="1"/>
    <col min="9487" max="9726" width="9.140625" style="12"/>
    <col min="9727" max="9727" width="18.140625" style="12" customWidth="1"/>
    <col min="9728" max="9728" width="15.85546875" style="12" customWidth="1"/>
    <col min="9729" max="9730" width="6.7109375" style="12" customWidth="1"/>
    <col min="9731" max="9731" width="5.7109375" style="12" customWidth="1"/>
    <col min="9732" max="9732" width="7" style="12" customWidth="1"/>
    <col min="9733" max="9733" width="5.7109375" style="12" customWidth="1"/>
    <col min="9734" max="9734" width="7.7109375" style="12" customWidth="1"/>
    <col min="9735" max="9735" width="8.7109375" style="12" customWidth="1"/>
    <col min="9736" max="9736" width="7.7109375" style="12" customWidth="1"/>
    <col min="9737" max="9737" width="8.7109375" style="12" customWidth="1"/>
    <col min="9738" max="9738" width="16.28515625" style="12" customWidth="1"/>
    <col min="9739" max="9739" width="7.7109375" style="12" customWidth="1"/>
    <col min="9740" max="9740" width="8" style="12" customWidth="1"/>
    <col min="9741" max="9741" width="7.7109375" style="12" customWidth="1"/>
    <col min="9742" max="9742" width="8.7109375" style="12" customWidth="1"/>
    <col min="9743" max="9982" width="9.140625" style="12"/>
    <col min="9983" max="9983" width="18.140625" style="12" customWidth="1"/>
    <col min="9984" max="9984" width="15.85546875" style="12" customWidth="1"/>
    <col min="9985" max="9986" width="6.7109375" style="12" customWidth="1"/>
    <col min="9987" max="9987" width="5.7109375" style="12" customWidth="1"/>
    <col min="9988" max="9988" width="7" style="12" customWidth="1"/>
    <col min="9989" max="9989" width="5.7109375" style="12" customWidth="1"/>
    <col min="9990" max="9990" width="7.7109375" style="12" customWidth="1"/>
    <col min="9991" max="9991" width="8.7109375" style="12" customWidth="1"/>
    <col min="9992" max="9992" width="7.7109375" style="12" customWidth="1"/>
    <col min="9993" max="9993" width="8.7109375" style="12" customWidth="1"/>
    <col min="9994" max="9994" width="16.28515625" style="12" customWidth="1"/>
    <col min="9995" max="9995" width="7.7109375" style="12" customWidth="1"/>
    <col min="9996" max="9996" width="8" style="12" customWidth="1"/>
    <col min="9997" max="9997" width="7.7109375" style="12" customWidth="1"/>
    <col min="9998" max="9998" width="8.7109375" style="12" customWidth="1"/>
    <col min="9999" max="10238" width="9.140625" style="12"/>
    <col min="10239" max="10239" width="18.140625" style="12" customWidth="1"/>
    <col min="10240" max="10240" width="15.85546875" style="12" customWidth="1"/>
    <col min="10241" max="10242" width="6.7109375" style="12" customWidth="1"/>
    <col min="10243" max="10243" width="5.7109375" style="12" customWidth="1"/>
    <col min="10244" max="10244" width="7" style="12" customWidth="1"/>
    <col min="10245" max="10245" width="5.7109375" style="12" customWidth="1"/>
    <col min="10246" max="10246" width="7.7109375" style="12" customWidth="1"/>
    <col min="10247" max="10247" width="8.7109375" style="12" customWidth="1"/>
    <col min="10248" max="10248" width="7.7109375" style="12" customWidth="1"/>
    <col min="10249" max="10249" width="8.7109375" style="12" customWidth="1"/>
    <col min="10250" max="10250" width="16.28515625" style="12" customWidth="1"/>
    <col min="10251" max="10251" width="7.7109375" style="12" customWidth="1"/>
    <col min="10252" max="10252" width="8" style="12" customWidth="1"/>
    <col min="10253" max="10253" width="7.7109375" style="12" customWidth="1"/>
    <col min="10254" max="10254" width="8.7109375" style="12" customWidth="1"/>
    <col min="10255" max="10494" width="9.140625" style="12"/>
    <col min="10495" max="10495" width="18.140625" style="12" customWidth="1"/>
    <col min="10496" max="10496" width="15.85546875" style="12" customWidth="1"/>
    <col min="10497" max="10498" width="6.7109375" style="12" customWidth="1"/>
    <col min="10499" max="10499" width="5.7109375" style="12" customWidth="1"/>
    <col min="10500" max="10500" width="7" style="12" customWidth="1"/>
    <col min="10501" max="10501" width="5.7109375" style="12" customWidth="1"/>
    <col min="10502" max="10502" width="7.7109375" style="12" customWidth="1"/>
    <col min="10503" max="10503" width="8.7109375" style="12" customWidth="1"/>
    <col min="10504" max="10504" width="7.7109375" style="12" customWidth="1"/>
    <col min="10505" max="10505" width="8.7109375" style="12" customWidth="1"/>
    <col min="10506" max="10506" width="16.28515625" style="12" customWidth="1"/>
    <col min="10507" max="10507" width="7.7109375" style="12" customWidth="1"/>
    <col min="10508" max="10508" width="8" style="12" customWidth="1"/>
    <col min="10509" max="10509" width="7.7109375" style="12" customWidth="1"/>
    <col min="10510" max="10510" width="8.7109375" style="12" customWidth="1"/>
    <col min="10511" max="10750" width="9.140625" style="12"/>
    <col min="10751" max="10751" width="18.140625" style="12" customWidth="1"/>
    <col min="10752" max="10752" width="15.85546875" style="12" customWidth="1"/>
    <col min="10753" max="10754" width="6.7109375" style="12" customWidth="1"/>
    <col min="10755" max="10755" width="5.7109375" style="12" customWidth="1"/>
    <col min="10756" max="10756" width="7" style="12" customWidth="1"/>
    <col min="10757" max="10757" width="5.7109375" style="12" customWidth="1"/>
    <col min="10758" max="10758" width="7.7109375" style="12" customWidth="1"/>
    <col min="10759" max="10759" width="8.7109375" style="12" customWidth="1"/>
    <col min="10760" max="10760" width="7.7109375" style="12" customWidth="1"/>
    <col min="10761" max="10761" width="8.7109375" style="12" customWidth="1"/>
    <col min="10762" max="10762" width="16.28515625" style="12" customWidth="1"/>
    <col min="10763" max="10763" width="7.7109375" style="12" customWidth="1"/>
    <col min="10764" max="10764" width="8" style="12" customWidth="1"/>
    <col min="10765" max="10765" width="7.7109375" style="12" customWidth="1"/>
    <col min="10766" max="10766" width="8.7109375" style="12" customWidth="1"/>
    <col min="10767" max="11006" width="9.140625" style="12"/>
    <col min="11007" max="11007" width="18.140625" style="12" customWidth="1"/>
    <col min="11008" max="11008" width="15.85546875" style="12" customWidth="1"/>
    <col min="11009" max="11010" width="6.7109375" style="12" customWidth="1"/>
    <col min="11011" max="11011" width="5.7109375" style="12" customWidth="1"/>
    <col min="11012" max="11012" width="7" style="12" customWidth="1"/>
    <col min="11013" max="11013" width="5.7109375" style="12" customWidth="1"/>
    <col min="11014" max="11014" width="7.7109375" style="12" customWidth="1"/>
    <col min="11015" max="11015" width="8.7109375" style="12" customWidth="1"/>
    <col min="11016" max="11016" width="7.7109375" style="12" customWidth="1"/>
    <col min="11017" max="11017" width="8.7109375" style="12" customWidth="1"/>
    <col min="11018" max="11018" width="16.28515625" style="12" customWidth="1"/>
    <col min="11019" max="11019" width="7.7109375" style="12" customWidth="1"/>
    <col min="11020" max="11020" width="8" style="12" customWidth="1"/>
    <col min="11021" max="11021" width="7.7109375" style="12" customWidth="1"/>
    <col min="11022" max="11022" width="8.7109375" style="12" customWidth="1"/>
    <col min="11023" max="11262" width="9.140625" style="12"/>
    <col min="11263" max="11263" width="18.140625" style="12" customWidth="1"/>
    <col min="11264" max="11264" width="15.85546875" style="12" customWidth="1"/>
    <col min="11265" max="11266" width="6.7109375" style="12" customWidth="1"/>
    <col min="11267" max="11267" width="5.7109375" style="12" customWidth="1"/>
    <col min="11268" max="11268" width="7" style="12" customWidth="1"/>
    <col min="11269" max="11269" width="5.7109375" style="12" customWidth="1"/>
    <col min="11270" max="11270" width="7.7109375" style="12" customWidth="1"/>
    <col min="11271" max="11271" width="8.7109375" style="12" customWidth="1"/>
    <col min="11272" max="11272" width="7.7109375" style="12" customWidth="1"/>
    <col min="11273" max="11273" width="8.7109375" style="12" customWidth="1"/>
    <col min="11274" max="11274" width="16.28515625" style="12" customWidth="1"/>
    <col min="11275" max="11275" width="7.7109375" style="12" customWidth="1"/>
    <col min="11276" max="11276" width="8" style="12" customWidth="1"/>
    <col min="11277" max="11277" width="7.7109375" style="12" customWidth="1"/>
    <col min="11278" max="11278" width="8.7109375" style="12" customWidth="1"/>
    <col min="11279" max="11518" width="9.140625" style="12"/>
    <col min="11519" max="11519" width="18.140625" style="12" customWidth="1"/>
    <col min="11520" max="11520" width="15.85546875" style="12" customWidth="1"/>
    <col min="11521" max="11522" width="6.7109375" style="12" customWidth="1"/>
    <col min="11523" max="11523" width="5.7109375" style="12" customWidth="1"/>
    <col min="11524" max="11524" width="7" style="12" customWidth="1"/>
    <col min="11525" max="11525" width="5.7109375" style="12" customWidth="1"/>
    <col min="11526" max="11526" width="7.7109375" style="12" customWidth="1"/>
    <col min="11527" max="11527" width="8.7109375" style="12" customWidth="1"/>
    <col min="11528" max="11528" width="7.7109375" style="12" customWidth="1"/>
    <col min="11529" max="11529" width="8.7109375" style="12" customWidth="1"/>
    <col min="11530" max="11530" width="16.28515625" style="12" customWidth="1"/>
    <col min="11531" max="11531" width="7.7109375" style="12" customWidth="1"/>
    <col min="11532" max="11532" width="8" style="12" customWidth="1"/>
    <col min="11533" max="11533" width="7.7109375" style="12" customWidth="1"/>
    <col min="11534" max="11534" width="8.7109375" style="12" customWidth="1"/>
    <col min="11535" max="11774" width="9.140625" style="12"/>
    <col min="11775" max="11775" width="18.140625" style="12" customWidth="1"/>
    <col min="11776" max="11776" width="15.85546875" style="12" customWidth="1"/>
    <col min="11777" max="11778" width="6.7109375" style="12" customWidth="1"/>
    <col min="11779" max="11779" width="5.7109375" style="12" customWidth="1"/>
    <col min="11780" max="11780" width="7" style="12" customWidth="1"/>
    <col min="11781" max="11781" width="5.7109375" style="12" customWidth="1"/>
    <col min="11782" max="11782" width="7.7109375" style="12" customWidth="1"/>
    <col min="11783" max="11783" width="8.7109375" style="12" customWidth="1"/>
    <col min="11784" max="11784" width="7.7109375" style="12" customWidth="1"/>
    <col min="11785" max="11785" width="8.7109375" style="12" customWidth="1"/>
    <col min="11786" max="11786" width="16.28515625" style="12" customWidth="1"/>
    <col min="11787" max="11787" width="7.7109375" style="12" customWidth="1"/>
    <col min="11788" max="11788" width="8" style="12" customWidth="1"/>
    <col min="11789" max="11789" width="7.7109375" style="12" customWidth="1"/>
    <col min="11790" max="11790" width="8.7109375" style="12" customWidth="1"/>
    <col min="11791" max="12030" width="9.140625" style="12"/>
    <col min="12031" max="12031" width="18.140625" style="12" customWidth="1"/>
    <col min="12032" max="12032" width="15.85546875" style="12" customWidth="1"/>
    <col min="12033" max="12034" width="6.7109375" style="12" customWidth="1"/>
    <col min="12035" max="12035" width="5.7109375" style="12" customWidth="1"/>
    <col min="12036" max="12036" width="7" style="12" customWidth="1"/>
    <col min="12037" max="12037" width="5.7109375" style="12" customWidth="1"/>
    <col min="12038" max="12038" width="7.7109375" style="12" customWidth="1"/>
    <col min="12039" max="12039" width="8.7109375" style="12" customWidth="1"/>
    <col min="12040" max="12040" width="7.7109375" style="12" customWidth="1"/>
    <col min="12041" max="12041" width="8.7109375" style="12" customWidth="1"/>
    <col min="12042" max="12042" width="16.28515625" style="12" customWidth="1"/>
    <col min="12043" max="12043" width="7.7109375" style="12" customWidth="1"/>
    <col min="12044" max="12044" width="8" style="12" customWidth="1"/>
    <col min="12045" max="12045" width="7.7109375" style="12" customWidth="1"/>
    <col min="12046" max="12046" width="8.7109375" style="12" customWidth="1"/>
    <col min="12047" max="12286" width="9.140625" style="12"/>
    <col min="12287" max="12287" width="18.140625" style="12" customWidth="1"/>
    <col min="12288" max="12288" width="15.85546875" style="12" customWidth="1"/>
    <col min="12289" max="12290" width="6.7109375" style="12" customWidth="1"/>
    <col min="12291" max="12291" width="5.7109375" style="12" customWidth="1"/>
    <col min="12292" max="12292" width="7" style="12" customWidth="1"/>
    <col min="12293" max="12293" width="5.7109375" style="12" customWidth="1"/>
    <col min="12294" max="12294" width="7.7109375" style="12" customWidth="1"/>
    <col min="12295" max="12295" width="8.7109375" style="12" customWidth="1"/>
    <col min="12296" max="12296" width="7.7109375" style="12" customWidth="1"/>
    <col min="12297" max="12297" width="8.7109375" style="12" customWidth="1"/>
    <col min="12298" max="12298" width="16.28515625" style="12" customWidth="1"/>
    <col min="12299" max="12299" width="7.7109375" style="12" customWidth="1"/>
    <col min="12300" max="12300" width="8" style="12" customWidth="1"/>
    <col min="12301" max="12301" width="7.7109375" style="12" customWidth="1"/>
    <col min="12302" max="12302" width="8.7109375" style="12" customWidth="1"/>
    <col min="12303" max="12542" width="9.140625" style="12"/>
    <col min="12543" max="12543" width="18.140625" style="12" customWidth="1"/>
    <col min="12544" max="12544" width="15.85546875" style="12" customWidth="1"/>
    <col min="12545" max="12546" width="6.7109375" style="12" customWidth="1"/>
    <col min="12547" max="12547" width="5.7109375" style="12" customWidth="1"/>
    <col min="12548" max="12548" width="7" style="12" customWidth="1"/>
    <col min="12549" max="12549" width="5.7109375" style="12" customWidth="1"/>
    <col min="12550" max="12550" width="7.7109375" style="12" customWidth="1"/>
    <col min="12551" max="12551" width="8.7109375" style="12" customWidth="1"/>
    <col min="12552" max="12552" width="7.7109375" style="12" customWidth="1"/>
    <col min="12553" max="12553" width="8.7109375" style="12" customWidth="1"/>
    <col min="12554" max="12554" width="16.28515625" style="12" customWidth="1"/>
    <col min="12555" max="12555" width="7.7109375" style="12" customWidth="1"/>
    <col min="12556" max="12556" width="8" style="12" customWidth="1"/>
    <col min="12557" max="12557" width="7.7109375" style="12" customWidth="1"/>
    <col min="12558" max="12558" width="8.7109375" style="12" customWidth="1"/>
    <col min="12559" max="12798" width="9.140625" style="12"/>
    <col min="12799" max="12799" width="18.140625" style="12" customWidth="1"/>
    <col min="12800" max="12800" width="15.85546875" style="12" customWidth="1"/>
    <col min="12801" max="12802" width="6.7109375" style="12" customWidth="1"/>
    <col min="12803" max="12803" width="5.7109375" style="12" customWidth="1"/>
    <col min="12804" max="12804" width="7" style="12" customWidth="1"/>
    <col min="12805" max="12805" width="5.7109375" style="12" customWidth="1"/>
    <col min="12806" max="12806" width="7.7109375" style="12" customWidth="1"/>
    <col min="12807" max="12807" width="8.7109375" style="12" customWidth="1"/>
    <col min="12808" max="12808" width="7.7109375" style="12" customWidth="1"/>
    <col min="12809" max="12809" width="8.7109375" style="12" customWidth="1"/>
    <col min="12810" max="12810" width="16.28515625" style="12" customWidth="1"/>
    <col min="12811" max="12811" width="7.7109375" style="12" customWidth="1"/>
    <col min="12812" max="12812" width="8" style="12" customWidth="1"/>
    <col min="12813" max="12813" width="7.7109375" style="12" customWidth="1"/>
    <col min="12814" max="12814" width="8.7109375" style="12" customWidth="1"/>
    <col min="12815" max="13054" width="9.140625" style="12"/>
    <col min="13055" max="13055" width="18.140625" style="12" customWidth="1"/>
    <col min="13056" max="13056" width="15.85546875" style="12" customWidth="1"/>
    <col min="13057" max="13058" width="6.7109375" style="12" customWidth="1"/>
    <col min="13059" max="13059" width="5.7109375" style="12" customWidth="1"/>
    <col min="13060" max="13060" width="7" style="12" customWidth="1"/>
    <col min="13061" max="13061" width="5.7109375" style="12" customWidth="1"/>
    <col min="13062" max="13062" width="7.7109375" style="12" customWidth="1"/>
    <col min="13063" max="13063" width="8.7109375" style="12" customWidth="1"/>
    <col min="13064" max="13064" width="7.7109375" style="12" customWidth="1"/>
    <col min="13065" max="13065" width="8.7109375" style="12" customWidth="1"/>
    <col min="13066" max="13066" width="16.28515625" style="12" customWidth="1"/>
    <col min="13067" max="13067" width="7.7109375" style="12" customWidth="1"/>
    <col min="13068" max="13068" width="8" style="12" customWidth="1"/>
    <col min="13069" max="13069" width="7.7109375" style="12" customWidth="1"/>
    <col min="13070" max="13070" width="8.7109375" style="12" customWidth="1"/>
    <col min="13071" max="13310" width="9.140625" style="12"/>
    <col min="13311" max="13311" width="18.140625" style="12" customWidth="1"/>
    <col min="13312" max="13312" width="15.85546875" style="12" customWidth="1"/>
    <col min="13313" max="13314" width="6.7109375" style="12" customWidth="1"/>
    <col min="13315" max="13315" width="5.7109375" style="12" customWidth="1"/>
    <col min="13316" max="13316" width="7" style="12" customWidth="1"/>
    <col min="13317" max="13317" width="5.7109375" style="12" customWidth="1"/>
    <col min="13318" max="13318" width="7.7109375" style="12" customWidth="1"/>
    <col min="13319" max="13319" width="8.7109375" style="12" customWidth="1"/>
    <col min="13320" max="13320" width="7.7109375" style="12" customWidth="1"/>
    <col min="13321" max="13321" width="8.7109375" style="12" customWidth="1"/>
    <col min="13322" max="13322" width="16.28515625" style="12" customWidth="1"/>
    <col min="13323" max="13323" width="7.7109375" style="12" customWidth="1"/>
    <col min="13324" max="13324" width="8" style="12" customWidth="1"/>
    <col min="13325" max="13325" width="7.7109375" style="12" customWidth="1"/>
    <col min="13326" max="13326" width="8.7109375" style="12" customWidth="1"/>
    <col min="13327" max="13566" width="9.140625" style="12"/>
    <col min="13567" max="13567" width="18.140625" style="12" customWidth="1"/>
    <col min="13568" max="13568" width="15.85546875" style="12" customWidth="1"/>
    <col min="13569" max="13570" width="6.7109375" style="12" customWidth="1"/>
    <col min="13571" max="13571" width="5.7109375" style="12" customWidth="1"/>
    <col min="13572" max="13572" width="7" style="12" customWidth="1"/>
    <col min="13573" max="13573" width="5.7109375" style="12" customWidth="1"/>
    <col min="13574" max="13574" width="7.7109375" style="12" customWidth="1"/>
    <col min="13575" max="13575" width="8.7109375" style="12" customWidth="1"/>
    <col min="13576" max="13576" width="7.7109375" style="12" customWidth="1"/>
    <col min="13577" max="13577" width="8.7109375" style="12" customWidth="1"/>
    <col min="13578" max="13578" width="16.28515625" style="12" customWidth="1"/>
    <col min="13579" max="13579" width="7.7109375" style="12" customWidth="1"/>
    <col min="13580" max="13580" width="8" style="12" customWidth="1"/>
    <col min="13581" max="13581" width="7.7109375" style="12" customWidth="1"/>
    <col min="13582" max="13582" width="8.7109375" style="12" customWidth="1"/>
    <col min="13583" max="13822" width="9.140625" style="12"/>
    <col min="13823" max="13823" width="18.140625" style="12" customWidth="1"/>
    <col min="13824" max="13824" width="15.85546875" style="12" customWidth="1"/>
    <col min="13825" max="13826" width="6.7109375" style="12" customWidth="1"/>
    <col min="13827" max="13827" width="5.7109375" style="12" customWidth="1"/>
    <col min="13828" max="13828" width="7" style="12" customWidth="1"/>
    <col min="13829" max="13829" width="5.7109375" style="12" customWidth="1"/>
    <col min="13830" max="13830" width="7.7109375" style="12" customWidth="1"/>
    <col min="13831" max="13831" width="8.7109375" style="12" customWidth="1"/>
    <col min="13832" max="13832" width="7.7109375" style="12" customWidth="1"/>
    <col min="13833" max="13833" width="8.7109375" style="12" customWidth="1"/>
    <col min="13834" max="13834" width="16.28515625" style="12" customWidth="1"/>
    <col min="13835" max="13835" width="7.7109375" style="12" customWidth="1"/>
    <col min="13836" max="13836" width="8" style="12" customWidth="1"/>
    <col min="13837" max="13837" width="7.7109375" style="12" customWidth="1"/>
    <col min="13838" max="13838" width="8.7109375" style="12" customWidth="1"/>
    <col min="13839" max="14078" width="9.140625" style="12"/>
    <col min="14079" max="14079" width="18.140625" style="12" customWidth="1"/>
    <col min="14080" max="14080" width="15.85546875" style="12" customWidth="1"/>
    <col min="14081" max="14082" width="6.7109375" style="12" customWidth="1"/>
    <col min="14083" max="14083" width="5.7109375" style="12" customWidth="1"/>
    <col min="14084" max="14084" width="7" style="12" customWidth="1"/>
    <col min="14085" max="14085" width="5.7109375" style="12" customWidth="1"/>
    <col min="14086" max="14086" width="7.7109375" style="12" customWidth="1"/>
    <col min="14087" max="14087" width="8.7109375" style="12" customWidth="1"/>
    <col min="14088" max="14088" width="7.7109375" style="12" customWidth="1"/>
    <col min="14089" max="14089" width="8.7109375" style="12" customWidth="1"/>
    <col min="14090" max="14090" width="16.28515625" style="12" customWidth="1"/>
    <col min="14091" max="14091" width="7.7109375" style="12" customWidth="1"/>
    <col min="14092" max="14092" width="8" style="12" customWidth="1"/>
    <col min="14093" max="14093" width="7.7109375" style="12" customWidth="1"/>
    <col min="14094" max="14094" width="8.7109375" style="12" customWidth="1"/>
    <col min="14095" max="14334" width="9.140625" style="12"/>
    <col min="14335" max="14335" width="18.140625" style="12" customWidth="1"/>
    <col min="14336" max="14336" width="15.85546875" style="12" customWidth="1"/>
    <col min="14337" max="14338" width="6.7109375" style="12" customWidth="1"/>
    <col min="14339" max="14339" width="5.7109375" style="12" customWidth="1"/>
    <col min="14340" max="14340" width="7" style="12" customWidth="1"/>
    <col min="14341" max="14341" width="5.7109375" style="12" customWidth="1"/>
    <col min="14342" max="14342" width="7.7109375" style="12" customWidth="1"/>
    <col min="14343" max="14343" width="8.7109375" style="12" customWidth="1"/>
    <col min="14344" max="14344" width="7.7109375" style="12" customWidth="1"/>
    <col min="14345" max="14345" width="8.7109375" style="12" customWidth="1"/>
    <col min="14346" max="14346" width="16.28515625" style="12" customWidth="1"/>
    <col min="14347" max="14347" width="7.7109375" style="12" customWidth="1"/>
    <col min="14348" max="14348" width="8" style="12" customWidth="1"/>
    <col min="14349" max="14349" width="7.7109375" style="12" customWidth="1"/>
    <col min="14350" max="14350" width="8.7109375" style="12" customWidth="1"/>
    <col min="14351" max="14590" width="9.140625" style="12"/>
    <col min="14591" max="14591" width="18.140625" style="12" customWidth="1"/>
    <col min="14592" max="14592" width="15.85546875" style="12" customWidth="1"/>
    <col min="14593" max="14594" width="6.7109375" style="12" customWidth="1"/>
    <col min="14595" max="14595" width="5.7109375" style="12" customWidth="1"/>
    <col min="14596" max="14596" width="7" style="12" customWidth="1"/>
    <col min="14597" max="14597" width="5.7109375" style="12" customWidth="1"/>
    <col min="14598" max="14598" width="7.7109375" style="12" customWidth="1"/>
    <col min="14599" max="14599" width="8.7109375" style="12" customWidth="1"/>
    <col min="14600" max="14600" width="7.7109375" style="12" customWidth="1"/>
    <col min="14601" max="14601" width="8.7109375" style="12" customWidth="1"/>
    <col min="14602" max="14602" width="16.28515625" style="12" customWidth="1"/>
    <col min="14603" max="14603" width="7.7109375" style="12" customWidth="1"/>
    <col min="14604" max="14604" width="8" style="12" customWidth="1"/>
    <col min="14605" max="14605" width="7.7109375" style="12" customWidth="1"/>
    <col min="14606" max="14606" width="8.7109375" style="12" customWidth="1"/>
    <col min="14607" max="14846" width="9.140625" style="12"/>
    <col min="14847" max="14847" width="18.140625" style="12" customWidth="1"/>
    <col min="14848" max="14848" width="15.85546875" style="12" customWidth="1"/>
    <col min="14849" max="14850" width="6.7109375" style="12" customWidth="1"/>
    <col min="14851" max="14851" width="5.7109375" style="12" customWidth="1"/>
    <col min="14852" max="14852" width="7" style="12" customWidth="1"/>
    <col min="14853" max="14853" width="5.7109375" style="12" customWidth="1"/>
    <col min="14854" max="14854" width="7.7109375" style="12" customWidth="1"/>
    <col min="14855" max="14855" width="8.7109375" style="12" customWidth="1"/>
    <col min="14856" max="14856" width="7.7109375" style="12" customWidth="1"/>
    <col min="14857" max="14857" width="8.7109375" style="12" customWidth="1"/>
    <col min="14858" max="14858" width="16.28515625" style="12" customWidth="1"/>
    <col min="14859" max="14859" width="7.7109375" style="12" customWidth="1"/>
    <col min="14860" max="14860" width="8" style="12" customWidth="1"/>
    <col min="14861" max="14861" width="7.7109375" style="12" customWidth="1"/>
    <col min="14862" max="14862" width="8.7109375" style="12" customWidth="1"/>
    <col min="14863" max="15102" width="9.140625" style="12"/>
    <col min="15103" max="15103" width="18.140625" style="12" customWidth="1"/>
    <col min="15104" max="15104" width="15.85546875" style="12" customWidth="1"/>
    <col min="15105" max="15106" width="6.7109375" style="12" customWidth="1"/>
    <col min="15107" max="15107" width="5.7109375" style="12" customWidth="1"/>
    <col min="15108" max="15108" width="7" style="12" customWidth="1"/>
    <col min="15109" max="15109" width="5.7109375" style="12" customWidth="1"/>
    <col min="15110" max="15110" width="7.7109375" style="12" customWidth="1"/>
    <col min="15111" max="15111" width="8.7109375" style="12" customWidth="1"/>
    <col min="15112" max="15112" width="7.7109375" style="12" customWidth="1"/>
    <col min="15113" max="15113" width="8.7109375" style="12" customWidth="1"/>
    <col min="15114" max="15114" width="16.28515625" style="12" customWidth="1"/>
    <col min="15115" max="15115" width="7.7109375" style="12" customWidth="1"/>
    <col min="15116" max="15116" width="8" style="12" customWidth="1"/>
    <col min="15117" max="15117" width="7.7109375" style="12" customWidth="1"/>
    <col min="15118" max="15118" width="8.7109375" style="12" customWidth="1"/>
    <col min="15119" max="15358" width="9.140625" style="12"/>
    <col min="15359" max="15359" width="18.140625" style="12" customWidth="1"/>
    <col min="15360" max="15360" width="15.85546875" style="12" customWidth="1"/>
    <col min="15361" max="15362" width="6.7109375" style="12" customWidth="1"/>
    <col min="15363" max="15363" width="5.7109375" style="12" customWidth="1"/>
    <col min="15364" max="15364" width="7" style="12" customWidth="1"/>
    <col min="15365" max="15365" width="5.7109375" style="12" customWidth="1"/>
    <col min="15366" max="15366" width="7.7109375" style="12" customWidth="1"/>
    <col min="15367" max="15367" width="8.7109375" style="12" customWidth="1"/>
    <col min="15368" max="15368" width="7.7109375" style="12" customWidth="1"/>
    <col min="15369" max="15369" width="8.7109375" style="12" customWidth="1"/>
    <col min="15370" max="15370" width="16.28515625" style="12" customWidth="1"/>
    <col min="15371" max="15371" width="7.7109375" style="12" customWidth="1"/>
    <col min="15372" max="15372" width="8" style="12" customWidth="1"/>
    <col min="15373" max="15373" width="7.7109375" style="12" customWidth="1"/>
    <col min="15374" max="15374" width="8.7109375" style="12" customWidth="1"/>
    <col min="15375" max="15614" width="9.140625" style="12"/>
    <col min="15615" max="15615" width="18.140625" style="12" customWidth="1"/>
    <col min="15616" max="15616" width="15.85546875" style="12" customWidth="1"/>
    <col min="15617" max="15618" width="6.7109375" style="12" customWidth="1"/>
    <col min="15619" max="15619" width="5.7109375" style="12" customWidth="1"/>
    <col min="15620" max="15620" width="7" style="12" customWidth="1"/>
    <col min="15621" max="15621" width="5.7109375" style="12" customWidth="1"/>
    <col min="15622" max="15622" width="7.7109375" style="12" customWidth="1"/>
    <col min="15623" max="15623" width="8.7109375" style="12" customWidth="1"/>
    <col min="15624" max="15624" width="7.7109375" style="12" customWidth="1"/>
    <col min="15625" max="15625" width="8.7109375" style="12" customWidth="1"/>
    <col min="15626" max="15626" width="16.28515625" style="12" customWidth="1"/>
    <col min="15627" max="15627" width="7.7109375" style="12" customWidth="1"/>
    <col min="15628" max="15628" width="8" style="12" customWidth="1"/>
    <col min="15629" max="15629" width="7.7109375" style="12" customWidth="1"/>
    <col min="15630" max="15630" width="8.7109375" style="12" customWidth="1"/>
    <col min="15631" max="15870" width="9.140625" style="12"/>
    <col min="15871" max="15871" width="18.140625" style="12" customWidth="1"/>
    <col min="15872" max="15872" width="15.85546875" style="12" customWidth="1"/>
    <col min="15873" max="15874" width="6.7109375" style="12" customWidth="1"/>
    <col min="15875" max="15875" width="5.7109375" style="12" customWidth="1"/>
    <col min="15876" max="15876" width="7" style="12" customWidth="1"/>
    <col min="15877" max="15877" width="5.7109375" style="12" customWidth="1"/>
    <col min="15878" max="15878" width="7.7109375" style="12" customWidth="1"/>
    <col min="15879" max="15879" width="8.7109375" style="12" customWidth="1"/>
    <col min="15880" max="15880" width="7.7109375" style="12" customWidth="1"/>
    <col min="15881" max="15881" width="8.7109375" style="12" customWidth="1"/>
    <col min="15882" max="15882" width="16.28515625" style="12" customWidth="1"/>
    <col min="15883" max="15883" width="7.7109375" style="12" customWidth="1"/>
    <col min="15884" max="15884" width="8" style="12" customWidth="1"/>
    <col min="15885" max="15885" width="7.7109375" style="12" customWidth="1"/>
    <col min="15886" max="15886" width="8.7109375" style="12" customWidth="1"/>
    <col min="15887" max="16126" width="9.140625" style="12"/>
    <col min="16127" max="16127" width="18.140625" style="12" customWidth="1"/>
    <col min="16128" max="16128" width="15.85546875" style="12" customWidth="1"/>
    <col min="16129" max="16130" width="6.7109375" style="12" customWidth="1"/>
    <col min="16131" max="16131" width="5.7109375" style="12" customWidth="1"/>
    <col min="16132" max="16132" width="7" style="12" customWidth="1"/>
    <col min="16133" max="16133" width="5.7109375" style="12" customWidth="1"/>
    <col min="16134" max="16134" width="7.7109375" style="12" customWidth="1"/>
    <col min="16135" max="16135" width="8.7109375" style="12" customWidth="1"/>
    <col min="16136" max="16136" width="7.7109375" style="12" customWidth="1"/>
    <col min="16137" max="16137" width="8.7109375" style="12" customWidth="1"/>
    <col min="16138" max="16138" width="16.28515625" style="12" customWidth="1"/>
    <col min="16139" max="16139" width="7.7109375" style="12" customWidth="1"/>
    <col min="16140" max="16140" width="8" style="12" customWidth="1"/>
    <col min="16141" max="16141" width="7.7109375" style="12" customWidth="1"/>
    <col min="16142" max="16142" width="8.7109375" style="12" customWidth="1"/>
    <col min="16143" max="16382" width="9.140625" style="12"/>
    <col min="16383" max="16384" width="9.140625" style="12" customWidth="1"/>
  </cols>
  <sheetData>
    <row r="1" spans="1:16" s="53" customFormat="1" ht="15" customHeight="1" x14ac:dyDescent="0.2">
      <c r="D1" s="362" t="s">
        <v>199</v>
      </c>
      <c r="E1" s="339" t="str">
        <f>ORÇAMENTO!I4</f>
        <v>SENSE106</v>
      </c>
      <c r="F1" s="338"/>
      <c r="G1" s="338"/>
      <c r="H1" s="338"/>
      <c r="I1" s="338"/>
      <c r="J1" s="338"/>
      <c r="K1" s="338"/>
      <c r="L1" s="338"/>
      <c r="M1" s="338"/>
      <c r="N1" s="340"/>
      <c r="O1" s="345"/>
      <c r="P1" s="346"/>
    </row>
    <row r="2" spans="1:16" s="215" customFormat="1" ht="15" customHeight="1" x14ac:dyDescent="0.2">
      <c r="D2" s="362" t="s">
        <v>173</v>
      </c>
      <c r="E2" s="363" t="str">
        <f>ORÇAMENTO!I5</f>
        <v>HOLZE EMPREENDIMENTOS</v>
      </c>
      <c r="F2" s="339"/>
      <c r="G2" s="339"/>
      <c r="H2" s="339"/>
      <c r="I2" s="339"/>
      <c r="J2" s="339"/>
      <c r="K2" s="339"/>
      <c r="L2" s="339"/>
      <c r="M2" s="339"/>
      <c r="N2" s="398"/>
      <c r="O2" s="347"/>
      <c r="P2" s="348"/>
    </row>
    <row r="3" spans="1:16" s="215" customFormat="1" ht="15" customHeight="1" x14ac:dyDescent="0.2">
      <c r="D3" s="362" t="s">
        <v>174</v>
      </c>
      <c r="E3" s="339" t="s">
        <v>313</v>
      </c>
      <c r="F3" s="339"/>
      <c r="G3" s="339"/>
      <c r="H3" s="339"/>
      <c r="I3" s="339"/>
      <c r="J3" s="339"/>
      <c r="K3" s="341"/>
      <c r="L3" s="341"/>
      <c r="M3" s="341"/>
      <c r="N3" s="398"/>
      <c r="O3" s="349"/>
      <c r="P3" s="350"/>
    </row>
    <row r="4" spans="1:16" s="59" customFormat="1" ht="18.600000000000001" customHeight="1" x14ac:dyDescent="0.2">
      <c r="A4" s="1252" t="s">
        <v>1333</v>
      </c>
      <c r="B4" s="1252"/>
      <c r="C4" s="1252"/>
      <c r="D4" s="1252"/>
      <c r="E4" s="1252"/>
      <c r="F4" s="1252"/>
      <c r="G4" s="1252"/>
      <c r="H4" s="1252"/>
      <c r="I4" s="1252"/>
      <c r="J4" s="1252"/>
      <c r="K4" s="1252"/>
      <c r="L4" s="1252"/>
      <c r="M4" s="1252"/>
      <c r="N4" s="1252"/>
      <c r="O4" s="1252"/>
      <c r="P4" s="1252"/>
    </row>
    <row r="5" spans="1:16" s="153" customFormat="1" ht="15" customHeight="1" x14ac:dyDescent="0.2">
      <c r="A5" s="1289" t="s">
        <v>106</v>
      </c>
      <c r="B5" s="1290"/>
      <c r="C5" s="1290"/>
      <c r="D5" s="1290"/>
      <c r="E5" s="1290"/>
      <c r="F5" s="1290"/>
      <c r="G5" s="1290"/>
      <c r="H5" s="1290"/>
      <c r="I5" s="1290"/>
      <c r="J5" s="1290"/>
      <c r="K5" s="1290"/>
      <c r="L5" s="1290"/>
      <c r="M5" s="1290"/>
      <c r="N5" s="1290"/>
      <c r="O5" s="1290"/>
      <c r="P5" s="1290"/>
    </row>
    <row r="6" spans="1:16" s="848" customFormat="1" ht="36" x14ac:dyDescent="0.2">
      <c r="A6" s="1340" t="s">
        <v>1220</v>
      </c>
      <c r="B6" s="851" t="s">
        <v>1384</v>
      </c>
      <c r="C6" s="851" t="s">
        <v>1385</v>
      </c>
      <c r="D6" s="851" t="s">
        <v>1386</v>
      </c>
      <c r="E6" s="851" t="s">
        <v>1387</v>
      </c>
      <c r="F6" s="851" t="s">
        <v>1388</v>
      </c>
      <c r="G6" s="851" t="s">
        <v>1361</v>
      </c>
      <c r="H6" s="851" t="s">
        <v>1362</v>
      </c>
      <c r="I6" s="851" t="s">
        <v>1343</v>
      </c>
      <c r="J6" s="851" t="s">
        <v>1344</v>
      </c>
      <c r="K6" s="851" t="s">
        <v>1345</v>
      </c>
      <c r="L6" s="851" t="s">
        <v>1389</v>
      </c>
    </row>
    <row r="7" spans="1:16" s="848" customFormat="1" ht="12.75" customHeight="1" x14ac:dyDescent="0.2">
      <c r="A7" s="1340"/>
      <c r="B7" s="1339" t="s">
        <v>1363</v>
      </c>
      <c r="C7" s="849" t="s">
        <v>153</v>
      </c>
      <c r="D7" s="849" t="s">
        <v>1364</v>
      </c>
      <c r="E7" s="849" t="s">
        <v>1365</v>
      </c>
      <c r="F7" s="849" t="s">
        <v>7</v>
      </c>
      <c r="G7" s="849" t="s">
        <v>67</v>
      </c>
      <c r="H7" s="849" t="s">
        <v>52</v>
      </c>
      <c r="I7" s="849" t="s">
        <v>160</v>
      </c>
      <c r="J7" s="849" t="s">
        <v>161</v>
      </c>
      <c r="K7" s="849" t="s">
        <v>162</v>
      </c>
      <c r="L7" s="849" t="s">
        <v>163</v>
      </c>
    </row>
    <row r="8" spans="1:16" ht="13.5" customHeight="1" thickBot="1" x14ac:dyDescent="0.25">
      <c r="A8" s="1341"/>
      <c r="B8" s="1339"/>
      <c r="C8" s="850" t="s">
        <v>166</v>
      </c>
      <c r="D8" s="850" t="s">
        <v>3</v>
      </c>
      <c r="E8" s="850" t="s">
        <v>3</v>
      </c>
      <c r="F8" s="850" t="s">
        <v>3</v>
      </c>
      <c r="G8" s="850" t="s">
        <v>1</v>
      </c>
      <c r="H8" s="850" t="s">
        <v>4</v>
      </c>
      <c r="I8" s="850" t="s">
        <v>3</v>
      </c>
      <c r="J8" s="850" t="s">
        <v>4</v>
      </c>
      <c r="K8" s="850" t="s">
        <v>4</v>
      </c>
      <c r="L8" s="850" t="s">
        <v>4</v>
      </c>
    </row>
    <row r="9" spans="1:16" ht="12.75" customHeight="1" x14ac:dyDescent="0.2">
      <c r="A9" s="217" t="s">
        <v>228</v>
      </c>
      <c r="B9" s="217" t="s">
        <v>109</v>
      </c>
      <c r="C9" s="217">
        <v>1</v>
      </c>
      <c r="D9" s="217">
        <v>0.25</v>
      </c>
      <c r="E9" s="217">
        <v>0.5</v>
      </c>
      <c r="F9" s="217">
        <v>2.35</v>
      </c>
      <c r="G9" s="1336">
        <v>19.8</v>
      </c>
      <c r="H9" s="1336">
        <v>1.85</v>
      </c>
      <c r="I9" s="238">
        <f t="shared" ref="I9:I41" si="0">IF(F9&lt;=1,0.6,F9)</f>
        <v>2.35</v>
      </c>
      <c r="J9" s="238">
        <f>(D9+I9)*(E9+I9)*(F9)*C9</f>
        <v>17.413500000000003</v>
      </c>
      <c r="K9" s="238">
        <f>J9-D9*E9*F9*C9</f>
        <v>17.119750000000003</v>
      </c>
      <c r="L9" s="238">
        <f>(J9-K9)*1.3</f>
        <v>0.38187499999999908</v>
      </c>
    </row>
    <row r="10" spans="1:16" ht="12.75" customHeight="1" x14ac:dyDescent="0.2">
      <c r="A10" s="217" t="s">
        <v>228</v>
      </c>
      <c r="B10" s="217" t="s">
        <v>110</v>
      </c>
      <c r="C10" s="217">
        <v>1</v>
      </c>
      <c r="D10" s="217">
        <v>0.25</v>
      </c>
      <c r="E10" s="217">
        <v>0.5</v>
      </c>
      <c r="F10" s="217">
        <v>2.35</v>
      </c>
      <c r="G10" s="1336"/>
      <c r="H10" s="1336"/>
      <c r="I10" s="238">
        <f t="shared" si="0"/>
        <v>2.35</v>
      </c>
      <c r="J10" s="238">
        <f t="shared" ref="J10:J41" si="1">(D10+I10)*(E10+I10)*(F10)*C10</f>
        <v>17.413500000000003</v>
      </c>
      <c r="K10" s="238">
        <f t="shared" ref="K10:K41" si="2">J10-D10*E10*F10*C10</f>
        <v>17.119750000000003</v>
      </c>
      <c r="L10" s="238">
        <f>(J10-K10)*1.3</f>
        <v>0.38187499999999908</v>
      </c>
    </row>
    <row r="11" spans="1:16" ht="12.75" customHeight="1" x14ac:dyDescent="0.2">
      <c r="A11" s="217" t="s">
        <v>228</v>
      </c>
      <c r="B11" s="217" t="s">
        <v>111</v>
      </c>
      <c r="C11" s="217">
        <v>1</v>
      </c>
      <c r="D11" s="217">
        <v>0.25</v>
      </c>
      <c r="E11" s="217">
        <v>0.5</v>
      </c>
      <c r="F11" s="217">
        <v>2.35</v>
      </c>
      <c r="G11" s="1336"/>
      <c r="H11" s="1336"/>
      <c r="I11" s="238">
        <f t="shared" si="0"/>
        <v>2.35</v>
      </c>
      <c r="J11" s="238">
        <f t="shared" si="1"/>
        <v>17.413500000000003</v>
      </c>
      <c r="K11" s="238">
        <f t="shared" si="2"/>
        <v>17.119750000000003</v>
      </c>
      <c r="L11" s="238">
        <f t="shared" ref="L11:L24" si="3">(J11-K11)*1.3</f>
        <v>0.38187499999999908</v>
      </c>
    </row>
    <row r="12" spans="1:16" ht="12.75" customHeight="1" x14ac:dyDescent="0.2">
      <c r="A12" s="217" t="s">
        <v>228</v>
      </c>
      <c r="B12" s="217" t="s">
        <v>1185</v>
      </c>
      <c r="C12" s="217">
        <v>1</v>
      </c>
      <c r="D12" s="217">
        <v>0.25</v>
      </c>
      <c r="E12" s="217">
        <v>0.5</v>
      </c>
      <c r="F12" s="217">
        <v>2.35</v>
      </c>
      <c r="G12" s="1336"/>
      <c r="H12" s="1336"/>
      <c r="I12" s="238">
        <f t="shared" si="0"/>
        <v>2.35</v>
      </c>
      <c r="J12" s="238">
        <f t="shared" si="1"/>
        <v>17.413500000000003</v>
      </c>
      <c r="K12" s="238">
        <f t="shared" si="2"/>
        <v>17.119750000000003</v>
      </c>
      <c r="L12" s="238">
        <f t="shared" si="3"/>
        <v>0.38187499999999908</v>
      </c>
    </row>
    <row r="13" spans="1:16" ht="12.75" customHeight="1" x14ac:dyDescent="0.2">
      <c r="A13" s="217" t="s">
        <v>228</v>
      </c>
      <c r="B13" s="217" t="s">
        <v>1186</v>
      </c>
      <c r="C13" s="217">
        <v>1</v>
      </c>
      <c r="D13" s="217">
        <v>0.25</v>
      </c>
      <c r="E13" s="217">
        <v>0.5</v>
      </c>
      <c r="F13" s="217">
        <v>2.35</v>
      </c>
      <c r="G13" s="1336"/>
      <c r="H13" s="1336"/>
      <c r="I13" s="238">
        <f t="shared" si="0"/>
        <v>2.35</v>
      </c>
      <c r="J13" s="238">
        <f t="shared" si="1"/>
        <v>17.413500000000003</v>
      </c>
      <c r="K13" s="238">
        <f t="shared" si="2"/>
        <v>17.119750000000003</v>
      </c>
      <c r="L13" s="238">
        <f t="shared" si="3"/>
        <v>0.38187499999999908</v>
      </c>
    </row>
    <row r="14" spans="1:16" ht="12.75" customHeight="1" x14ac:dyDescent="0.2">
      <c r="A14" s="217" t="s">
        <v>228</v>
      </c>
      <c r="B14" s="217" t="s">
        <v>1187</v>
      </c>
      <c r="C14" s="217">
        <v>1</v>
      </c>
      <c r="D14" s="217">
        <v>0.25</v>
      </c>
      <c r="E14" s="217">
        <v>0.5</v>
      </c>
      <c r="F14" s="217">
        <v>2.35</v>
      </c>
      <c r="G14" s="1336"/>
      <c r="H14" s="1336"/>
      <c r="I14" s="238">
        <f t="shared" si="0"/>
        <v>2.35</v>
      </c>
      <c r="J14" s="238">
        <f t="shared" si="1"/>
        <v>17.413500000000003</v>
      </c>
      <c r="K14" s="238">
        <f t="shared" si="2"/>
        <v>17.119750000000003</v>
      </c>
      <c r="L14" s="238">
        <f t="shared" si="3"/>
        <v>0.38187499999999908</v>
      </c>
    </row>
    <row r="15" spans="1:16" ht="12.75" customHeight="1" x14ac:dyDescent="0.2">
      <c r="A15" s="217" t="s">
        <v>228</v>
      </c>
      <c r="B15" s="217" t="s">
        <v>1188</v>
      </c>
      <c r="C15" s="217">
        <v>1</v>
      </c>
      <c r="D15" s="217">
        <v>0.25</v>
      </c>
      <c r="E15" s="217">
        <v>0.5</v>
      </c>
      <c r="F15" s="217">
        <v>2.35</v>
      </c>
      <c r="G15" s="1336"/>
      <c r="H15" s="1336"/>
      <c r="I15" s="238">
        <f t="shared" si="0"/>
        <v>2.35</v>
      </c>
      <c r="J15" s="238">
        <f t="shared" si="1"/>
        <v>17.413500000000003</v>
      </c>
      <c r="K15" s="238">
        <f t="shared" si="2"/>
        <v>17.119750000000003</v>
      </c>
      <c r="L15" s="238">
        <f t="shared" si="3"/>
        <v>0.38187499999999908</v>
      </c>
    </row>
    <row r="16" spans="1:16" ht="12.75" customHeight="1" x14ac:dyDescent="0.2">
      <c r="A16" s="217" t="s">
        <v>228</v>
      </c>
      <c r="B16" s="217" t="s">
        <v>1189</v>
      </c>
      <c r="C16" s="217">
        <v>1</v>
      </c>
      <c r="D16" s="217">
        <v>0.25</v>
      </c>
      <c r="E16" s="217">
        <v>0.5</v>
      </c>
      <c r="F16" s="217">
        <v>2.35</v>
      </c>
      <c r="G16" s="1336"/>
      <c r="H16" s="1336"/>
      <c r="I16" s="238">
        <f t="shared" si="0"/>
        <v>2.35</v>
      </c>
      <c r="J16" s="238">
        <f t="shared" si="1"/>
        <v>17.413500000000003</v>
      </c>
      <c r="K16" s="238">
        <f t="shared" si="2"/>
        <v>17.119750000000003</v>
      </c>
      <c r="L16" s="238">
        <f t="shared" si="3"/>
        <v>0.38187499999999908</v>
      </c>
    </row>
    <row r="17" spans="1:12" ht="12.75" customHeight="1" x14ac:dyDescent="0.2">
      <c r="A17" s="217" t="s">
        <v>228</v>
      </c>
      <c r="B17" s="217" t="s">
        <v>1190</v>
      </c>
      <c r="C17" s="217">
        <v>1</v>
      </c>
      <c r="D17" s="217">
        <v>0.25</v>
      </c>
      <c r="E17" s="217">
        <v>0.5</v>
      </c>
      <c r="F17" s="217">
        <v>2.35</v>
      </c>
      <c r="G17" s="1336"/>
      <c r="H17" s="1336"/>
      <c r="I17" s="238">
        <f t="shared" si="0"/>
        <v>2.35</v>
      </c>
      <c r="J17" s="238">
        <f t="shared" si="1"/>
        <v>17.413500000000003</v>
      </c>
      <c r="K17" s="238">
        <f t="shared" si="2"/>
        <v>17.119750000000003</v>
      </c>
      <c r="L17" s="238">
        <f t="shared" si="3"/>
        <v>0.38187499999999908</v>
      </c>
    </row>
    <row r="18" spans="1:12" ht="12.75" customHeight="1" x14ac:dyDescent="0.2">
      <c r="A18" s="217" t="s">
        <v>228</v>
      </c>
      <c r="B18" s="217" t="s">
        <v>1191</v>
      </c>
      <c r="C18" s="217">
        <v>1</v>
      </c>
      <c r="D18" s="217">
        <v>0.25</v>
      </c>
      <c r="E18" s="217">
        <v>0.5</v>
      </c>
      <c r="F18" s="217">
        <v>2.35</v>
      </c>
      <c r="G18" s="1336"/>
      <c r="H18" s="1336"/>
      <c r="I18" s="238">
        <f t="shared" si="0"/>
        <v>2.35</v>
      </c>
      <c r="J18" s="238">
        <f t="shared" si="1"/>
        <v>17.413500000000003</v>
      </c>
      <c r="K18" s="238">
        <f t="shared" si="2"/>
        <v>17.119750000000003</v>
      </c>
      <c r="L18" s="238">
        <f t="shared" si="3"/>
        <v>0.38187499999999908</v>
      </c>
    </row>
    <row r="19" spans="1:12" ht="12.75" customHeight="1" x14ac:dyDescent="0.2">
      <c r="A19" s="217" t="s">
        <v>228</v>
      </c>
      <c r="B19" s="217" t="s">
        <v>1192</v>
      </c>
      <c r="C19" s="217">
        <v>1</v>
      </c>
      <c r="D19" s="217">
        <v>0.25</v>
      </c>
      <c r="E19" s="217">
        <v>0.5</v>
      </c>
      <c r="F19" s="217">
        <v>2.35</v>
      </c>
      <c r="G19" s="1336"/>
      <c r="H19" s="1336"/>
      <c r="I19" s="238">
        <f t="shared" si="0"/>
        <v>2.35</v>
      </c>
      <c r="J19" s="238">
        <f t="shared" si="1"/>
        <v>17.413500000000003</v>
      </c>
      <c r="K19" s="238">
        <f t="shared" si="2"/>
        <v>17.119750000000003</v>
      </c>
      <c r="L19" s="238">
        <f t="shared" si="3"/>
        <v>0.38187499999999908</v>
      </c>
    </row>
    <row r="20" spans="1:12" ht="12.75" customHeight="1" x14ac:dyDescent="0.2">
      <c r="A20" s="217" t="s">
        <v>228</v>
      </c>
      <c r="B20" s="217" t="s">
        <v>1193</v>
      </c>
      <c r="C20" s="217">
        <v>1</v>
      </c>
      <c r="D20" s="217">
        <v>0.25</v>
      </c>
      <c r="E20" s="217">
        <v>0.5</v>
      </c>
      <c r="F20" s="217">
        <v>2.35</v>
      </c>
      <c r="G20" s="1336"/>
      <c r="H20" s="1336"/>
      <c r="I20" s="238">
        <f t="shared" si="0"/>
        <v>2.35</v>
      </c>
      <c r="J20" s="238">
        <f t="shared" si="1"/>
        <v>17.413500000000003</v>
      </c>
      <c r="K20" s="238">
        <f t="shared" si="2"/>
        <v>17.119750000000003</v>
      </c>
      <c r="L20" s="238">
        <f t="shared" si="3"/>
        <v>0.38187499999999908</v>
      </c>
    </row>
    <row r="21" spans="1:12" ht="12.75" customHeight="1" x14ac:dyDescent="0.2">
      <c r="A21" s="217" t="s">
        <v>228</v>
      </c>
      <c r="B21" s="217" t="s">
        <v>1194</v>
      </c>
      <c r="C21" s="217">
        <v>1</v>
      </c>
      <c r="D21" s="217">
        <v>0.25</v>
      </c>
      <c r="E21" s="217">
        <v>0.5</v>
      </c>
      <c r="F21" s="217">
        <v>2.35</v>
      </c>
      <c r="G21" s="1336"/>
      <c r="H21" s="1336"/>
      <c r="I21" s="238">
        <f t="shared" si="0"/>
        <v>2.35</v>
      </c>
      <c r="J21" s="238">
        <f t="shared" si="1"/>
        <v>17.413500000000003</v>
      </c>
      <c r="K21" s="238">
        <f t="shared" si="2"/>
        <v>17.119750000000003</v>
      </c>
      <c r="L21" s="238">
        <f t="shared" si="3"/>
        <v>0.38187499999999908</v>
      </c>
    </row>
    <row r="22" spans="1:12" ht="12.75" customHeight="1" x14ac:dyDescent="0.2">
      <c r="A22" s="217" t="s">
        <v>228</v>
      </c>
      <c r="B22" s="217" t="s">
        <v>1195</v>
      </c>
      <c r="C22" s="217">
        <v>1</v>
      </c>
      <c r="D22" s="217">
        <v>0.25</v>
      </c>
      <c r="E22" s="217">
        <v>0.5</v>
      </c>
      <c r="F22" s="217">
        <v>2.35</v>
      </c>
      <c r="G22" s="1336"/>
      <c r="H22" s="1336"/>
      <c r="I22" s="238">
        <f t="shared" si="0"/>
        <v>2.35</v>
      </c>
      <c r="J22" s="238">
        <f t="shared" si="1"/>
        <v>17.413500000000003</v>
      </c>
      <c r="K22" s="238">
        <f t="shared" si="2"/>
        <v>17.119750000000003</v>
      </c>
      <c r="L22" s="238">
        <f t="shared" si="3"/>
        <v>0.38187499999999908</v>
      </c>
    </row>
    <row r="23" spans="1:12" ht="12.75" customHeight="1" x14ac:dyDescent="0.2">
      <c r="A23" s="217" t="s">
        <v>228</v>
      </c>
      <c r="B23" s="217" t="s">
        <v>1196</v>
      </c>
      <c r="C23" s="217">
        <v>1</v>
      </c>
      <c r="D23" s="217">
        <v>0.25</v>
      </c>
      <c r="E23" s="217">
        <v>0.5</v>
      </c>
      <c r="F23" s="217">
        <v>2.35</v>
      </c>
      <c r="G23" s="1336"/>
      <c r="H23" s="1336"/>
      <c r="I23" s="238">
        <f t="shared" si="0"/>
        <v>2.35</v>
      </c>
      <c r="J23" s="238">
        <f t="shared" si="1"/>
        <v>17.413500000000003</v>
      </c>
      <c r="K23" s="238">
        <f t="shared" si="2"/>
        <v>17.119750000000003</v>
      </c>
      <c r="L23" s="238">
        <f t="shared" si="3"/>
        <v>0.38187499999999908</v>
      </c>
    </row>
    <row r="24" spans="1:12" ht="12.75" customHeight="1" x14ac:dyDescent="0.2">
      <c r="A24" s="217" t="s">
        <v>228</v>
      </c>
      <c r="B24" s="217" t="s">
        <v>1197</v>
      </c>
      <c r="C24" s="217">
        <v>1</v>
      </c>
      <c r="D24" s="217">
        <v>0.25</v>
      </c>
      <c r="E24" s="217">
        <v>0.5</v>
      </c>
      <c r="F24" s="217">
        <v>2.35</v>
      </c>
      <c r="G24" s="1336"/>
      <c r="H24" s="1336"/>
      <c r="I24" s="238">
        <f t="shared" si="0"/>
        <v>2.35</v>
      </c>
      <c r="J24" s="238">
        <f t="shared" si="1"/>
        <v>17.413500000000003</v>
      </c>
      <c r="K24" s="238">
        <f t="shared" si="2"/>
        <v>17.119750000000003</v>
      </c>
      <c r="L24" s="238">
        <f t="shared" si="3"/>
        <v>0.38187499999999908</v>
      </c>
    </row>
    <row r="25" spans="1:12" ht="12.75" customHeight="1" x14ac:dyDescent="0.2">
      <c r="A25" s="217" t="s">
        <v>228</v>
      </c>
      <c r="B25" s="217" t="s">
        <v>1198</v>
      </c>
      <c r="C25" s="217">
        <v>1</v>
      </c>
      <c r="D25" s="217">
        <v>0.3</v>
      </c>
      <c r="E25" s="217">
        <v>1.2</v>
      </c>
      <c r="F25" s="217">
        <v>2.35</v>
      </c>
      <c r="G25" s="1336"/>
      <c r="H25" s="1336"/>
      <c r="I25" s="238">
        <f t="shared" si="0"/>
        <v>2.35</v>
      </c>
      <c r="J25" s="238">
        <f t="shared" si="1"/>
        <v>22.107624999999999</v>
      </c>
      <c r="K25" s="238">
        <f t="shared" si="2"/>
        <v>21.261624999999999</v>
      </c>
      <c r="L25" s="238">
        <f>(J25-K25)*1.3</f>
        <v>1.0998000000000001</v>
      </c>
    </row>
    <row r="26" spans="1:12" ht="12.75" customHeight="1" x14ac:dyDescent="0.2">
      <c r="A26" s="217" t="s">
        <v>228</v>
      </c>
      <c r="B26" s="217" t="s">
        <v>1199</v>
      </c>
      <c r="C26" s="217">
        <v>1</v>
      </c>
      <c r="D26" s="217">
        <v>0.3</v>
      </c>
      <c r="E26" s="217">
        <v>1.2</v>
      </c>
      <c r="F26" s="217">
        <v>2.35</v>
      </c>
      <c r="G26" s="1336"/>
      <c r="H26" s="1336"/>
      <c r="I26" s="238">
        <f t="shared" si="0"/>
        <v>2.35</v>
      </c>
      <c r="J26" s="238">
        <f t="shared" si="1"/>
        <v>22.107624999999999</v>
      </c>
      <c r="K26" s="238">
        <f t="shared" si="2"/>
        <v>21.261624999999999</v>
      </c>
      <c r="L26" s="238">
        <f>(J26-K26)*1.3</f>
        <v>1.0998000000000001</v>
      </c>
    </row>
    <row r="27" spans="1:12" ht="12.75" customHeight="1" x14ac:dyDescent="0.2">
      <c r="A27" s="217" t="s">
        <v>228</v>
      </c>
      <c r="B27" s="217" t="s">
        <v>1207</v>
      </c>
      <c r="C27" s="217">
        <v>1</v>
      </c>
      <c r="D27" s="217">
        <v>0.3</v>
      </c>
      <c r="E27" s="217">
        <v>1.2</v>
      </c>
      <c r="F27" s="217">
        <v>2.35</v>
      </c>
      <c r="G27" s="1337"/>
      <c r="H27" s="1337"/>
      <c r="I27" s="238">
        <f t="shared" si="0"/>
        <v>2.35</v>
      </c>
      <c r="J27" s="238">
        <f t="shared" si="1"/>
        <v>22.107624999999999</v>
      </c>
      <c r="K27" s="238">
        <f t="shared" si="2"/>
        <v>21.261624999999999</v>
      </c>
      <c r="L27" s="238">
        <f t="shared" ref="L27:L39" si="4">(J27-K27)*1.3</f>
        <v>1.0998000000000001</v>
      </c>
    </row>
    <row r="28" spans="1:12" ht="12.75" customHeight="1" x14ac:dyDescent="0.2">
      <c r="A28" s="217" t="s">
        <v>228</v>
      </c>
      <c r="B28" s="217" t="s">
        <v>1200</v>
      </c>
      <c r="C28" s="217">
        <v>1</v>
      </c>
      <c r="D28" s="217">
        <v>0.25</v>
      </c>
      <c r="E28" s="217">
        <v>4.2</v>
      </c>
      <c r="F28" s="217">
        <v>2.35</v>
      </c>
      <c r="G28" s="1335">
        <v>32.97</v>
      </c>
      <c r="H28" s="1335">
        <v>3.9</v>
      </c>
      <c r="I28" s="238">
        <f t="shared" si="0"/>
        <v>2.35</v>
      </c>
      <c r="J28" s="238">
        <f t="shared" si="1"/>
        <v>40.020500000000006</v>
      </c>
      <c r="K28" s="238">
        <f t="shared" si="2"/>
        <v>37.553000000000004</v>
      </c>
      <c r="L28" s="238">
        <f t="shared" si="4"/>
        <v>3.2077500000000017</v>
      </c>
    </row>
    <row r="29" spans="1:12" ht="12.75" customHeight="1" x14ac:dyDescent="0.2">
      <c r="A29" s="217" t="s">
        <v>228</v>
      </c>
      <c r="B29" s="217" t="s">
        <v>1201</v>
      </c>
      <c r="C29" s="217">
        <v>1</v>
      </c>
      <c r="D29" s="217">
        <v>0.25</v>
      </c>
      <c r="E29" s="217">
        <v>4.2</v>
      </c>
      <c r="F29" s="217">
        <v>2.35</v>
      </c>
      <c r="G29" s="1336"/>
      <c r="H29" s="1336"/>
      <c r="I29" s="238">
        <f t="shared" si="0"/>
        <v>2.35</v>
      </c>
      <c r="J29" s="238">
        <f t="shared" si="1"/>
        <v>40.020500000000006</v>
      </c>
      <c r="K29" s="238">
        <f t="shared" si="2"/>
        <v>37.553000000000004</v>
      </c>
      <c r="L29" s="238">
        <f t="shared" si="4"/>
        <v>3.2077500000000017</v>
      </c>
    </row>
    <row r="30" spans="1:12" ht="12.75" customHeight="1" x14ac:dyDescent="0.2">
      <c r="A30" s="217" t="s">
        <v>228</v>
      </c>
      <c r="B30" s="217" t="s">
        <v>1202</v>
      </c>
      <c r="C30" s="217">
        <v>1</v>
      </c>
      <c r="D30" s="217">
        <v>0.3</v>
      </c>
      <c r="E30" s="217">
        <v>1.2</v>
      </c>
      <c r="F30" s="217">
        <v>2.35</v>
      </c>
      <c r="G30" s="1336"/>
      <c r="H30" s="1336"/>
      <c r="I30" s="238">
        <f t="shared" si="0"/>
        <v>2.35</v>
      </c>
      <c r="J30" s="238">
        <f t="shared" si="1"/>
        <v>22.107624999999999</v>
      </c>
      <c r="K30" s="238">
        <f t="shared" si="2"/>
        <v>21.261624999999999</v>
      </c>
      <c r="L30" s="238">
        <f t="shared" si="4"/>
        <v>1.0998000000000001</v>
      </c>
    </row>
    <row r="31" spans="1:12" ht="12.75" customHeight="1" x14ac:dyDescent="0.2">
      <c r="A31" s="217" t="s">
        <v>228</v>
      </c>
      <c r="B31" s="217" t="s">
        <v>1203</v>
      </c>
      <c r="C31" s="217">
        <v>1</v>
      </c>
      <c r="D31" s="217">
        <v>0.3</v>
      </c>
      <c r="E31" s="217">
        <v>1.2</v>
      </c>
      <c r="F31" s="217">
        <v>2.35</v>
      </c>
      <c r="G31" s="1337"/>
      <c r="H31" s="1337"/>
      <c r="I31" s="238">
        <f t="shared" si="0"/>
        <v>2.35</v>
      </c>
      <c r="J31" s="238">
        <f t="shared" si="1"/>
        <v>22.107624999999999</v>
      </c>
      <c r="K31" s="238">
        <f t="shared" si="2"/>
        <v>21.261624999999999</v>
      </c>
      <c r="L31" s="238">
        <f t="shared" si="4"/>
        <v>1.0998000000000001</v>
      </c>
    </row>
    <row r="32" spans="1:12" ht="12.75" customHeight="1" x14ac:dyDescent="0.2">
      <c r="A32" s="217" t="s">
        <v>228</v>
      </c>
      <c r="B32" s="217" t="s">
        <v>1204</v>
      </c>
      <c r="C32" s="217">
        <v>1</v>
      </c>
      <c r="D32" s="217">
        <v>0.25</v>
      </c>
      <c r="E32" s="217">
        <v>2.0499999999999998</v>
      </c>
      <c r="F32" s="217">
        <v>3.55</v>
      </c>
      <c r="G32" s="1335">
        <v>24.6</v>
      </c>
      <c r="H32" s="1335">
        <v>3.03</v>
      </c>
      <c r="I32" s="238">
        <f t="shared" si="0"/>
        <v>3.55</v>
      </c>
      <c r="J32" s="238">
        <f t="shared" si="1"/>
        <v>75.543999999999983</v>
      </c>
      <c r="K32" s="238">
        <f t="shared" si="2"/>
        <v>73.724624999999989</v>
      </c>
      <c r="L32" s="238">
        <f t="shared" si="4"/>
        <v>2.3651874999999918</v>
      </c>
    </row>
    <row r="33" spans="1:12" ht="12.75" customHeight="1" x14ac:dyDescent="0.2">
      <c r="A33" s="217" t="s">
        <v>228</v>
      </c>
      <c r="B33" s="217" t="s">
        <v>1205</v>
      </c>
      <c r="C33" s="217">
        <v>1</v>
      </c>
      <c r="D33" s="217">
        <v>0.25</v>
      </c>
      <c r="E33" s="217">
        <v>4.25</v>
      </c>
      <c r="F33" s="217">
        <v>3.55</v>
      </c>
      <c r="G33" s="1336"/>
      <c r="H33" s="1336"/>
      <c r="I33" s="238">
        <f t="shared" si="0"/>
        <v>3.55</v>
      </c>
      <c r="J33" s="238">
        <f t="shared" si="1"/>
        <v>105.22199999999998</v>
      </c>
      <c r="K33" s="238">
        <f t="shared" si="2"/>
        <v>101.45012499999999</v>
      </c>
      <c r="L33" s="238">
        <f t="shared" si="4"/>
        <v>4.9034374999999928</v>
      </c>
    </row>
    <row r="34" spans="1:12" ht="12.75" customHeight="1" x14ac:dyDescent="0.2">
      <c r="A34" s="217" t="s">
        <v>228</v>
      </c>
      <c r="B34" s="217" t="s">
        <v>1206</v>
      </c>
      <c r="C34" s="217">
        <v>1</v>
      </c>
      <c r="D34" s="217">
        <v>0.3</v>
      </c>
      <c r="E34" s="217">
        <v>1.5</v>
      </c>
      <c r="F34" s="217">
        <v>2.35</v>
      </c>
      <c r="G34" s="1337"/>
      <c r="H34" s="1337"/>
      <c r="I34" s="238">
        <f t="shared" si="0"/>
        <v>2.35</v>
      </c>
      <c r="J34" s="238">
        <f t="shared" si="1"/>
        <v>23.975875000000002</v>
      </c>
      <c r="K34" s="238">
        <f t="shared" si="2"/>
        <v>22.918375000000001</v>
      </c>
      <c r="L34" s="238">
        <f t="shared" si="4"/>
        <v>1.3747500000000012</v>
      </c>
    </row>
    <row r="35" spans="1:12" ht="12.75" customHeight="1" x14ac:dyDescent="0.2">
      <c r="A35" s="217" t="s">
        <v>228</v>
      </c>
      <c r="B35" s="217" t="s">
        <v>1208</v>
      </c>
      <c r="C35" s="217">
        <v>1</v>
      </c>
      <c r="D35" s="217">
        <v>0.3</v>
      </c>
      <c r="E35" s="217">
        <v>1.2</v>
      </c>
      <c r="F35" s="217">
        <v>2.35</v>
      </c>
      <c r="G35" s="1335">
        <v>14.4</v>
      </c>
      <c r="H35" s="1335">
        <v>1.73</v>
      </c>
      <c r="I35" s="238">
        <f t="shared" si="0"/>
        <v>2.35</v>
      </c>
      <c r="J35" s="238">
        <f t="shared" si="1"/>
        <v>22.107624999999999</v>
      </c>
      <c r="K35" s="238">
        <f t="shared" si="2"/>
        <v>21.261624999999999</v>
      </c>
      <c r="L35" s="238">
        <f t="shared" si="4"/>
        <v>1.0998000000000001</v>
      </c>
    </row>
    <row r="36" spans="1:12" ht="12.75" customHeight="1" x14ac:dyDescent="0.2">
      <c r="A36" s="217" t="s">
        <v>228</v>
      </c>
      <c r="B36" s="217" t="s">
        <v>1390</v>
      </c>
      <c r="C36" s="217">
        <v>1</v>
      </c>
      <c r="D36" s="217">
        <v>0.3</v>
      </c>
      <c r="E36" s="217">
        <v>1.2</v>
      </c>
      <c r="F36" s="217">
        <v>2.35</v>
      </c>
      <c r="G36" s="1336"/>
      <c r="H36" s="1336"/>
      <c r="I36" s="238">
        <f t="shared" si="0"/>
        <v>2.35</v>
      </c>
      <c r="J36" s="238">
        <f t="shared" si="1"/>
        <v>22.107624999999999</v>
      </c>
      <c r="K36" s="238">
        <f t="shared" si="2"/>
        <v>21.261624999999999</v>
      </c>
      <c r="L36" s="238">
        <f t="shared" si="4"/>
        <v>1.0998000000000001</v>
      </c>
    </row>
    <row r="37" spans="1:12" ht="12.75" customHeight="1" x14ac:dyDescent="0.2">
      <c r="A37" s="217" t="s">
        <v>228</v>
      </c>
      <c r="B37" s="217" t="s">
        <v>1391</v>
      </c>
      <c r="C37" s="217">
        <v>1</v>
      </c>
      <c r="D37" s="217">
        <v>0.3</v>
      </c>
      <c r="E37" s="217">
        <v>1.2</v>
      </c>
      <c r="F37" s="217">
        <v>2.35</v>
      </c>
      <c r="G37" s="1336"/>
      <c r="H37" s="1336"/>
      <c r="I37" s="238">
        <f t="shared" si="0"/>
        <v>2.35</v>
      </c>
      <c r="J37" s="238">
        <f t="shared" si="1"/>
        <v>22.107624999999999</v>
      </c>
      <c r="K37" s="238">
        <f t="shared" si="2"/>
        <v>21.261624999999999</v>
      </c>
      <c r="L37" s="238">
        <f t="shared" si="4"/>
        <v>1.0998000000000001</v>
      </c>
    </row>
    <row r="38" spans="1:12" ht="12.75" customHeight="1" x14ac:dyDescent="0.2">
      <c r="A38" s="217" t="s">
        <v>228</v>
      </c>
      <c r="B38" s="217" t="s">
        <v>1209</v>
      </c>
      <c r="C38" s="217">
        <v>1</v>
      </c>
      <c r="D38" s="217">
        <v>0.3</v>
      </c>
      <c r="E38" s="217">
        <v>1.2</v>
      </c>
      <c r="F38" s="217">
        <v>2.35</v>
      </c>
      <c r="G38" s="1336"/>
      <c r="H38" s="1336"/>
      <c r="I38" s="238">
        <f t="shared" si="0"/>
        <v>2.35</v>
      </c>
      <c r="J38" s="238">
        <f t="shared" si="1"/>
        <v>22.107624999999999</v>
      </c>
      <c r="K38" s="238">
        <f t="shared" si="2"/>
        <v>21.261624999999999</v>
      </c>
      <c r="L38" s="238">
        <f t="shared" si="4"/>
        <v>1.0998000000000001</v>
      </c>
    </row>
    <row r="39" spans="1:12" ht="12.75" customHeight="1" x14ac:dyDescent="0.2">
      <c r="A39" s="217" t="s">
        <v>228</v>
      </c>
      <c r="B39" s="217" t="s">
        <v>1210</v>
      </c>
      <c r="C39" s="217">
        <v>1</v>
      </c>
      <c r="D39" s="217">
        <v>0.3</v>
      </c>
      <c r="E39" s="217">
        <v>1.2</v>
      </c>
      <c r="F39" s="217">
        <v>2.35</v>
      </c>
      <c r="G39" s="1336"/>
      <c r="H39" s="1336"/>
      <c r="I39" s="238">
        <f t="shared" si="0"/>
        <v>2.35</v>
      </c>
      <c r="J39" s="238">
        <f t="shared" si="1"/>
        <v>22.107624999999999</v>
      </c>
      <c r="K39" s="238">
        <f t="shared" si="2"/>
        <v>21.261624999999999</v>
      </c>
      <c r="L39" s="238">
        <f t="shared" si="4"/>
        <v>1.0998000000000001</v>
      </c>
    </row>
    <row r="40" spans="1:12" ht="12.75" customHeight="1" x14ac:dyDescent="0.2">
      <c r="A40" s="217" t="s">
        <v>228</v>
      </c>
      <c r="B40" s="217" t="s">
        <v>1392</v>
      </c>
      <c r="C40" s="217">
        <v>1</v>
      </c>
      <c r="D40" s="217">
        <v>0.3</v>
      </c>
      <c r="E40" s="217">
        <v>1.2</v>
      </c>
      <c r="F40" s="217">
        <v>2.35</v>
      </c>
      <c r="G40" s="1336"/>
      <c r="H40" s="1336"/>
      <c r="I40" s="238">
        <f t="shared" si="0"/>
        <v>2.35</v>
      </c>
      <c r="J40" s="238">
        <f t="shared" si="1"/>
        <v>22.107624999999999</v>
      </c>
      <c r="K40" s="238">
        <f t="shared" si="2"/>
        <v>21.261624999999999</v>
      </c>
      <c r="L40" s="238">
        <f>(J40-K40)*1.3</f>
        <v>1.0998000000000001</v>
      </c>
    </row>
    <row r="41" spans="1:12" ht="12.75" customHeight="1" x14ac:dyDescent="0.2">
      <c r="A41" s="217" t="s">
        <v>228</v>
      </c>
      <c r="B41" s="217" t="s">
        <v>1393</v>
      </c>
      <c r="C41" s="217">
        <v>1</v>
      </c>
      <c r="D41" s="217">
        <v>0.3</v>
      </c>
      <c r="E41" s="217">
        <v>1.2</v>
      </c>
      <c r="F41" s="217">
        <v>2.35</v>
      </c>
      <c r="G41" s="1338"/>
      <c r="H41" s="1338"/>
      <c r="I41" s="238">
        <f t="shared" si="0"/>
        <v>2.35</v>
      </c>
      <c r="J41" s="238">
        <f t="shared" si="1"/>
        <v>22.107624999999999</v>
      </c>
      <c r="K41" s="238">
        <f t="shared" si="2"/>
        <v>21.261624999999999</v>
      </c>
      <c r="L41" s="238">
        <f>(J41-K41)*1.3</f>
        <v>1.0998000000000001</v>
      </c>
    </row>
    <row r="42" spans="1:12" ht="13.5" thickBot="1" x14ac:dyDescent="0.25">
      <c r="A42" s="464" t="s">
        <v>19</v>
      </c>
      <c r="B42" s="465"/>
      <c r="C42" s="465"/>
      <c r="D42" s="465"/>
      <c r="E42" s="465"/>
      <c r="F42" s="465"/>
      <c r="G42" s="465">
        <f>SUM(G9:G41)</f>
        <v>91.77000000000001</v>
      </c>
      <c r="H42" s="465">
        <f>SUM(H9:H41)</f>
        <v>10.51</v>
      </c>
      <c r="I42" s="465"/>
      <c r="J42" s="465">
        <f>SUM(J9:J41)</f>
        <v>828.6903749999999</v>
      </c>
      <c r="K42" s="465">
        <f>SUM(K9:K41)</f>
        <v>802.25462499999981</v>
      </c>
      <c r="L42" s="465">
        <f>SUM(L9:L41)</f>
        <v>34.366474999999987</v>
      </c>
    </row>
    <row r="43" spans="1:12" ht="13.5" thickTop="1" x14ac:dyDescent="0.2"/>
  </sheetData>
  <mergeCells count="12">
    <mergeCell ref="B7:B8"/>
    <mergeCell ref="A4:P4"/>
    <mergeCell ref="A5:P5"/>
    <mergeCell ref="A6:A8"/>
    <mergeCell ref="G28:G31"/>
    <mergeCell ref="G32:G34"/>
    <mergeCell ref="G35:G41"/>
    <mergeCell ref="G9:G27"/>
    <mergeCell ref="H9:H27"/>
    <mergeCell ref="H28:H31"/>
    <mergeCell ref="H35:H41"/>
    <mergeCell ref="H32:H34"/>
  </mergeCells>
  <printOptions horizontalCentered="1"/>
  <pageMargins left="0.39370078740157483" right="0" top="0.39370078740157483" bottom="0.39370078740157483" header="0.51181102362204722" footer="0.19685039370078741"/>
  <pageSetup paperSize="9" scale="52" orientation="portrait" r:id="rId1"/>
  <headerFooter alignWithMargins="0">
    <oddFooter>&amp;L&amp;8&amp;F - &amp;A&amp;R&amp;8&amp;P / 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ilha9">
    <tabColor rgb="FFF43800"/>
    <pageSetUpPr fitToPage="1"/>
  </sheetPr>
  <dimension ref="A1:W23"/>
  <sheetViews>
    <sheetView showGridLines="0" view="pageBreakPreview" zoomScaleNormal="100" zoomScaleSheetLayoutView="100" workbookViewId="0">
      <pane ySplit="6" topLeftCell="A7" activePane="bottomLeft" state="frozen"/>
      <selection activeCell="B18" sqref="B18:E18"/>
      <selection pane="bottomLeft" activeCell="F19" sqref="F19"/>
    </sheetView>
  </sheetViews>
  <sheetFormatPr defaultRowHeight="11.25" x14ac:dyDescent="0.2"/>
  <cols>
    <col min="1" max="1" width="28.85546875" style="4" customWidth="1"/>
    <col min="2" max="2" width="10.28515625" style="4" customWidth="1"/>
    <col min="3" max="3" width="7.5703125" style="4" customWidth="1"/>
    <col min="4" max="14" width="8.140625" style="4" customWidth="1"/>
    <col min="15" max="15" width="9.140625" style="4" customWidth="1"/>
    <col min="16" max="16" width="7.42578125" style="4" customWidth="1"/>
    <col min="17" max="17" width="21.42578125" style="4" bestFit="1" customWidth="1"/>
    <col min="18" max="18" width="10.28515625" style="4" bestFit="1" customWidth="1"/>
    <col min="19" max="250" width="9.140625" style="4"/>
    <col min="251" max="251" width="14.5703125" style="4" customWidth="1"/>
    <col min="252" max="252" width="20.7109375" style="4" customWidth="1"/>
    <col min="253" max="253" width="9.140625" style="4"/>
    <col min="254" max="265" width="8.42578125" style="4" customWidth="1"/>
    <col min="266" max="506" width="9.140625" style="4"/>
    <col min="507" max="507" width="14.5703125" style="4" customWidth="1"/>
    <col min="508" max="508" width="20.7109375" style="4" customWidth="1"/>
    <col min="509" max="509" width="9.140625" style="4"/>
    <col min="510" max="521" width="8.42578125" style="4" customWidth="1"/>
    <col min="522" max="762" width="9.140625" style="4"/>
    <col min="763" max="763" width="14.5703125" style="4" customWidth="1"/>
    <col min="764" max="764" width="20.7109375" style="4" customWidth="1"/>
    <col min="765" max="765" width="9.140625" style="4"/>
    <col min="766" max="777" width="8.42578125" style="4" customWidth="1"/>
    <col min="778" max="1018" width="9.140625" style="4"/>
    <col min="1019" max="1019" width="14.5703125" style="4" customWidth="1"/>
    <col min="1020" max="1020" width="20.7109375" style="4" customWidth="1"/>
    <col min="1021" max="1021" width="9.140625" style="4"/>
    <col min="1022" max="1033" width="8.42578125" style="4" customWidth="1"/>
    <col min="1034" max="1274" width="9.140625" style="4"/>
    <col min="1275" max="1275" width="14.5703125" style="4" customWidth="1"/>
    <col min="1276" max="1276" width="20.7109375" style="4" customWidth="1"/>
    <col min="1277" max="1277" width="9.140625" style="4"/>
    <col min="1278" max="1289" width="8.42578125" style="4" customWidth="1"/>
    <col min="1290" max="1530" width="9.140625" style="4"/>
    <col min="1531" max="1531" width="14.5703125" style="4" customWidth="1"/>
    <col min="1532" max="1532" width="20.7109375" style="4" customWidth="1"/>
    <col min="1533" max="1533" width="9.140625" style="4"/>
    <col min="1534" max="1545" width="8.42578125" style="4" customWidth="1"/>
    <col min="1546" max="1786" width="9.140625" style="4"/>
    <col min="1787" max="1787" width="14.5703125" style="4" customWidth="1"/>
    <col min="1788" max="1788" width="20.7109375" style="4" customWidth="1"/>
    <col min="1789" max="1789" width="9.140625" style="4"/>
    <col min="1790" max="1801" width="8.42578125" style="4" customWidth="1"/>
    <col min="1802" max="2042" width="9.140625" style="4"/>
    <col min="2043" max="2043" width="14.5703125" style="4" customWidth="1"/>
    <col min="2044" max="2044" width="20.7109375" style="4" customWidth="1"/>
    <col min="2045" max="2045" width="9.140625" style="4"/>
    <col min="2046" max="2057" width="8.42578125" style="4" customWidth="1"/>
    <col min="2058" max="2298" width="9.140625" style="4"/>
    <col min="2299" max="2299" width="14.5703125" style="4" customWidth="1"/>
    <col min="2300" max="2300" width="20.7109375" style="4" customWidth="1"/>
    <col min="2301" max="2301" width="9.140625" style="4"/>
    <col min="2302" max="2313" width="8.42578125" style="4" customWidth="1"/>
    <col min="2314" max="2554" width="9.140625" style="4"/>
    <col min="2555" max="2555" width="14.5703125" style="4" customWidth="1"/>
    <col min="2556" max="2556" width="20.7109375" style="4" customWidth="1"/>
    <col min="2557" max="2557" width="9.140625" style="4"/>
    <col min="2558" max="2569" width="8.42578125" style="4" customWidth="1"/>
    <col min="2570" max="2810" width="9.140625" style="4"/>
    <col min="2811" max="2811" width="14.5703125" style="4" customWidth="1"/>
    <col min="2812" max="2812" width="20.7109375" style="4" customWidth="1"/>
    <col min="2813" max="2813" width="9.140625" style="4"/>
    <col min="2814" max="2825" width="8.42578125" style="4" customWidth="1"/>
    <col min="2826" max="3066" width="9.140625" style="4"/>
    <col min="3067" max="3067" width="14.5703125" style="4" customWidth="1"/>
    <col min="3068" max="3068" width="20.7109375" style="4" customWidth="1"/>
    <col min="3069" max="3069" width="9.140625" style="4"/>
    <col min="3070" max="3081" width="8.42578125" style="4" customWidth="1"/>
    <col min="3082" max="3322" width="9.140625" style="4"/>
    <col min="3323" max="3323" width="14.5703125" style="4" customWidth="1"/>
    <col min="3324" max="3324" width="20.7109375" style="4" customWidth="1"/>
    <col min="3325" max="3325" width="9.140625" style="4"/>
    <col min="3326" max="3337" width="8.42578125" style="4" customWidth="1"/>
    <col min="3338" max="3578" width="9.140625" style="4"/>
    <col min="3579" max="3579" width="14.5703125" style="4" customWidth="1"/>
    <col min="3580" max="3580" width="20.7109375" style="4" customWidth="1"/>
    <col min="3581" max="3581" width="9.140625" style="4"/>
    <col min="3582" max="3593" width="8.42578125" style="4" customWidth="1"/>
    <col min="3594" max="3834" width="9.140625" style="4"/>
    <col min="3835" max="3835" width="14.5703125" style="4" customWidth="1"/>
    <col min="3836" max="3836" width="20.7109375" style="4" customWidth="1"/>
    <col min="3837" max="3837" width="9.140625" style="4"/>
    <col min="3838" max="3849" width="8.42578125" style="4" customWidth="1"/>
    <col min="3850" max="4090" width="9.140625" style="4"/>
    <col min="4091" max="4091" width="14.5703125" style="4" customWidth="1"/>
    <col min="4092" max="4092" width="20.7109375" style="4" customWidth="1"/>
    <col min="4093" max="4093" width="9.140625" style="4"/>
    <col min="4094" max="4105" width="8.42578125" style="4" customWidth="1"/>
    <col min="4106" max="4346" width="9.140625" style="4"/>
    <col min="4347" max="4347" width="14.5703125" style="4" customWidth="1"/>
    <col min="4348" max="4348" width="20.7109375" style="4" customWidth="1"/>
    <col min="4349" max="4349" width="9.140625" style="4"/>
    <col min="4350" max="4361" width="8.42578125" style="4" customWidth="1"/>
    <col min="4362" max="4602" width="9.140625" style="4"/>
    <col min="4603" max="4603" width="14.5703125" style="4" customWidth="1"/>
    <col min="4604" max="4604" width="20.7109375" style="4" customWidth="1"/>
    <col min="4605" max="4605" width="9.140625" style="4"/>
    <col min="4606" max="4617" width="8.42578125" style="4" customWidth="1"/>
    <col min="4618" max="4858" width="9.140625" style="4"/>
    <col min="4859" max="4859" width="14.5703125" style="4" customWidth="1"/>
    <col min="4860" max="4860" width="20.7109375" style="4" customWidth="1"/>
    <col min="4861" max="4861" width="9.140625" style="4"/>
    <col min="4862" max="4873" width="8.42578125" style="4" customWidth="1"/>
    <col min="4874" max="5114" width="9.140625" style="4"/>
    <col min="5115" max="5115" width="14.5703125" style="4" customWidth="1"/>
    <col min="5116" max="5116" width="20.7109375" style="4" customWidth="1"/>
    <col min="5117" max="5117" width="9.140625" style="4"/>
    <col min="5118" max="5129" width="8.42578125" style="4" customWidth="1"/>
    <col min="5130" max="5370" width="9.140625" style="4"/>
    <col min="5371" max="5371" width="14.5703125" style="4" customWidth="1"/>
    <col min="5372" max="5372" width="20.7109375" style="4" customWidth="1"/>
    <col min="5373" max="5373" width="9.140625" style="4"/>
    <col min="5374" max="5385" width="8.42578125" style="4" customWidth="1"/>
    <col min="5386" max="5626" width="9.140625" style="4"/>
    <col min="5627" max="5627" width="14.5703125" style="4" customWidth="1"/>
    <col min="5628" max="5628" width="20.7109375" style="4" customWidth="1"/>
    <col min="5629" max="5629" width="9.140625" style="4"/>
    <col min="5630" max="5641" width="8.42578125" style="4" customWidth="1"/>
    <col min="5642" max="5882" width="9.140625" style="4"/>
    <col min="5883" max="5883" width="14.5703125" style="4" customWidth="1"/>
    <col min="5884" max="5884" width="20.7109375" style="4" customWidth="1"/>
    <col min="5885" max="5885" width="9.140625" style="4"/>
    <col min="5886" max="5897" width="8.42578125" style="4" customWidth="1"/>
    <col min="5898" max="6138" width="9.140625" style="4"/>
    <col min="6139" max="6139" width="14.5703125" style="4" customWidth="1"/>
    <col min="6140" max="6140" width="20.7109375" style="4" customWidth="1"/>
    <col min="6141" max="6141" width="9.140625" style="4"/>
    <col min="6142" max="6153" width="8.42578125" style="4" customWidth="1"/>
    <col min="6154" max="6394" width="9.140625" style="4"/>
    <col min="6395" max="6395" width="14.5703125" style="4" customWidth="1"/>
    <col min="6396" max="6396" width="20.7109375" style="4" customWidth="1"/>
    <col min="6397" max="6397" width="9.140625" style="4"/>
    <col min="6398" max="6409" width="8.42578125" style="4" customWidth="1"/>
    <col min="6410" max="6650" width="9.140625" style="4"/>
    <col min="6651" max="6651" width="14.5703125" style="4" customWidth="1"/>
    <col min="6652" max="6652" width="20.7109375" style="4" customWidth="1"/>
    <col min="6653" max="6653" width="9.140625" style="4"/>
    <col min="6654" max="6665" width="8.42578125" style="4" customWidth="1"/>
    <col min="6666" max="6906" width="9.140625" style="4"/>
    <col min="6907" max="6907" width="14.5703125" style="4" customWidth="1"/>
    <col min="6908" max="6908" width="20.7109375" style="4" customWidth="1"/>
    <col min="6909" max="6909" width="9.140625" style="4"/>
    <col min="6910" max="6921" width="8.42578125" style="4" customWidth="1"/>
    <col min="6922" max="7162" width="9.140625" style="4"/>
    <col min="7163" max="7163" width="14.5703125" style="4" customWidth="1"/>
    <col min="7164" max="7164" width="20.7109375" style="4" customWidth="1"/>
    <col min="7165" max="7165" width="9.140625" style="4"/>
    <col min="7166" max="7177" width="8.42578125" style="4" customWidth="1"/>
    <col min="7178" max="7418" width="9.140625" style="4"/>
    <col min="7419" max="7419" width="14.5703125" style="4" customWidth="1"/>
    <col min="7420" max="7420" width="20.7109375" style="4" customWidth="1"/>
    <col min="7421" max="7421" width="9.140625" style="4"/>
    <col min="7422" max="7433" width="8.42578125" style="4" customWidth="1"/>
    <col min="7434" max="7674" width="9.140625" style="4"/>
    <col min="7675" max="7675" width="14.5703125" style="4" customWidth="1"/>
    <col min="7676" max="7676" width="20.7109375" style="4" customWidth="1"/>
    <col min="7677" max="7677" width="9.140625" style="4"/>
    <col min="7678" max="7689" width="8.42578125" style="4" customWidth="1"/>
    <col min="7690" max="7930" width="9.140625" style="4"/>
    <col min="7931" max="7931" width="14.5703125" style="4" customWidth="1"/>
    <col min="7932" max="7932" width="20.7109375" style="4" customWidth="1"/>
    <col min="7933" max="7933" width="9.140625" style="4"/>
    <col min="7934" max="7945" width="8.42578125" style="4" customWidth="1"/>
    <col min="7946" max="8186" width="9.140625" style="4"/>
    <col min="8187" max="8187" width="14.5703125" style="4" customWidth="1"/>
    <col min="8188" max="8188" width="20.7109375" style="4" customWidth="1"/>
    <col min="8189" max="8189" width="9.140625" style="4"/>
    <col min="8190" max="8201" width="8.42578125" style="4" customWidth="1"/>
    <col min="8202" max="8442" width="9.140625" style="4"/>
    <col min="8443" max="8443" width="14.5703125" style="4" customWidth="1"/>
    <col min="8444" max="8444" width="20.7109375" style="4" customWidth="1"/>
    <col min="8445" max="8445" width="9.140625" style="4"/>
    <col min="8446" max="8457" width="8.42578125" style="4" customWidth="1"/>
    <col min="8458" max="8698" width="9.140625" style="4"/>
    <col min="8699" max="8699" width="14.5703125" style="4" customWidth="1"/>
    <col min="8700" max="8700" width="20.7109375" style="4" customWidth="1"/>
    <col min="8701" max="8701" width="9.140625" style="4"/>
    <col min="8702" max="8713" width="8.42578125" style="4" customWidth="1"/>
    <col min="8714" max="8954" width="9.140625" style="4"/>
    <col min="8955" max="8955" width="14.5703125" style="4" customWidth="1"/>
    <col min="8956" max="8956" width="20.7109375" style="4" customWidth="1"/>
    <col min="8957" max="8957" width="9.140625" style="4"/>
    <col min="8958" max="8969" width="8.42578125" style="4" customWidth="1"/>
    <col min="8970" max="9210" width="9.140625" style="4"/>
    <col min="9211" max="9211" width="14.5703125" style="4" customWidth="1"/>
    <col min="9212" max="9212" width="20.7109375" style="4" customWidth="1"/>
    <col min="9213" max="9213" width="9.140625" style="4"/>
    <col min="9214" max="9225" width="8.42578125" style="4" customWidth="1"/>
    <col min="9226" max="9466" width="9.140625" style="4"/>
    <col min="9467" max="9467" width="14.5703125" style="4" customWidth="1"/>
    <col min="9468" max="9468" width="20.7109375" style="4" customWidth="1"/>
    <col min="9469" max="9469" width="9.140625" style="4"/>
    <col min="9470" max="9481" width="8.42578125" style="4" customWidth="1"/>
    <col min="9482" max="9722" width="9.140625" style="4"/>
    <col min="9723" max="9723" width="14.5703125" style="4" customWidth="1"/>
    <col min="9724" max="9724" width="20.7109375" style="4" customWidth="1"/>
    <col min="9725" max="9725" width="9.140625" style="4"/>
    <col min="9726" max="9737" width="8.42578125" style="4" customWidth="1"/>
    <col min="9738" max="9978" width="9.140625" style="4"/>
    <col min="9979" max="9979" width="14.5703125" style="4" customWidth="1"/>
    <col min="9980" max="9980" width="20.7109375" style="4" customWidth="1"/>
    <col min="9981" max="9981" width="9.140625" style="4"/>
    <col min="9982" max="9993" width="8.42578125" style="4" customWidth="1"/>
    <col min="9994" max="10234" width="9.140625" style="4"/>
    <col min="10235" max="10235" width="14.5703125" style="4" customWidth="1"/>
    <col min="10236" max="10236" width="20.7109375" style="4" customWidth="1"/>
    <col min="10237" max="10237" width="9.140625" style="4"/>
    <col min="10238" max="10249" width="8.42578125" style="4" customWidth="1"/>
    <col min="10250" max="10490" width="9.140625" style="4"/>
    <col min="10491" max="10491" width="14.5703125" style="4" customWidth="1"/>
    <col min="10492" max="10492" width="20.7109375" style="4" customWidth="1"/>
    <col min="10493" max="10493" width="9.140625" style="4"/>
    <col min="10494" max="10505" width="8.42578125" style="4" customWidth="1"/>
    <col min="10506" max="10746" width="9.140625" style="4"/>
    <col min="10747" max="10747" width="14.5703125" style="4" customWidth="1"/>
    <col min="10748" max="10748" width="20.7109375" style="4" customWidth="1"/>
    <col min="10749" max="10749" width="9.140625" style="4"/>
    <col min="10750" max="10761" width="8.42578125" style="4" customWidth="1"/>
    <col min="10762" max="11002" width="9.140625" style="4"/>
    <col min="11003" max="11003" width="14.5703125" style="4" customWidth="1"/>
    <col min="11004" max="11004" width="20.7109375" style="4" customWidth="1"/>
    <col min="11005" max="11005" width="9.140625" style="4"/>
    <col min="11006" max="11017" width="8.42578125" style="4" customWidth="1"/>
    <col min="11018" max="11258" width="9.140625" style="4"/>
    <col min="11259" max="11259" width="14.5703125" style="4" customWidth="1"/>
    <col min="11260" max="11260" width="20.7109375" style="4" customWidth="1"/>
    <col min="11261" max="11261" width="9.140625" style="4"/>
    <col min="11262" max="11273" width="8.42578125" style="4" customWidth="1"/>
    <col min="11274" max="11514" width="9.140625" style="4"/>
    <col min="11515" max="11515" width="14.5703125" style="4" customWidth="1"/>
    <col min="11516" max="11516" width="20.7109375" style="4" customWidth="1"/>
    <col min="11517" max="11517" width="9.140625" style="4"/>
    <col min="11518" max="11529" width="8.42578125" style="4" customWidth="1"/>
    <col min="11530" max="11770" width="9.140625" style="4"/>
    <col min="11771" max="11771" width="14.5703125" style="4" customWidth="1"/>
    <col min="11772" max="11772" width="20.7109375" style="4" customWidth="1"/>
    <col min="11773" max="11773" width="9.140625" style="4"/>
    <col min="11774" max="11785" width="8.42578125" style="4" customWidth="1"/>
    <col min="11786" max="12026" width="9.140625" style="4"/>
    <col min="12027" max="12027" width="14.5703125" style="4" customWidth="1"/>
    <col min="12028" max="12028" width="20.7109375" style="4" customWidth="1"/>
    <col min="12029" max="12029" width="9.140625" style="4"/>
    <col min="12030" max="12041" width="8.42578125" style="4" customWidth="1"/>
    <col min="12042" max="12282" width="9.140625" style="4"/>
    <col min="12283" max="12283" width="14.5703125" style="4" customWidth="1"/>
    <col min="12284" max="12284" width="20.7109375" style="4" customWidth="1"/>
    <col min="12285" max="12285" width="9.140625" style="4"/>
    <col min="12286" max="12297" width="8.42578125" style="4" customWidth="1"/>
    <col min="12298" max="12538" width="9.140625" style="4"/>
    <col min="12539" max="12539" width="14.5703125" style="4" customWidth="1"/>
    <col min="12540" max="12540" width="20.7109375" style="4" customWidth="1"/>
    <col min="12541" max="12541" width="9.140625" style="4"/>
    <col min="12542" max="12553" width="8.42578125" style="4" customWidth="1"/>
    <col min="12554" max="12794" width="9.140625" style="4"/>
    <col min="12795" max="12795" width="14.5703125" style="4" customWidth="1"/>
    <col min="12796" max="12796" width="20.7109375" style="4" customWidth="1"/>
    <col min="12797" max="12797" width="9.140625" style="4"/>
    <col min="12798" max="12809" width="8.42578125" style="4" customWidth="1"/>
    <col min="12810" max="13050" width="9.140625" style="4"/>
    <col min="13051" max="13051" width="14.5703125" style="4" customWidth="1"/>
    <col min="13052" max="13052" width="20.7109375" style="4" customWidth="1"/>
    <col min="13053" max="13053" width="9.140625" style="4"/>
    <col min="13054" max="13065" width="8.42578125" style="4" customWidth="1"/>
    <col min="13066" max="13306" width="9.140625" style="4"/>
    <col min="13307" max="13307" width="14.5703125" style="4" customWidth="1"/>
    <col min="13308" max="13308" width="20.7109375" style="4" customWidth="1"/>
    <col min="13309" max="13309" width="9.140625" style="4"/>
    <col min="13310" max="13321" width="8.42578125" style="4" customWidth="1"/>
    <col min="13322" max="13562" width="9.140625" style="4"/>
    <col min="13563" max="13563" width="14.5703125" style="4" customWidth="1"/>
    <col min="13564" max="13564" width="20.7109375" style="4" customWidth="1"/>
    <col min="13565" max="13565" width="9.140625" style="4"/>
    <col min="13566" max="13577" width="8.42578125" style="4" customWidth="1"/>
    <col min="13578" max="13818" width="9.140625" style="4"/>
    <col min="13819" max="13819" width="14.5703125" style="4" customWidth="1"/>
    <col min="13820" max="13820" width="20.7109375" style="4" customWidth="1"/>
    <col min="13821" max="13821" width="9.140625" style="4"/>
    <col min="13822" max="13833" width="8.42578125" style="4" customWidth="1"/>
    <col min="13834" max="14074" width="9.140625" style="4"/>
    <col min="14075" max="14075" width="14.5703125" style="4" customWidth="1"/>
    <col min="14076" max="14076" width="20.7109375" style="4" customWidth="1"/>
    <col min="14077" max="14077" width="9.140625" style="4"/>
    <col min="14078" max="14089" width="8.42578125" style="4" customWidth="1"/>
    <col min="14090" max="14330" width="9.140625" style="4"/>
    <col min="14331" max="14331" width="14.5703125" style="4" customWidth="1"/>
    <col min="14332" max="14332" width="20.7109375" style="4" customWidth="1"/>
    <col min="14333" max="14333" width="9.140625" style="4"/>
    <col min="14334" max="14345" width="8.42578125" style="4" customWidth="1"/>
    <col min="14346" max="14586" width="9.140625" style="4"/>
    <col min="14587" max="14587" width="14.5703125" style="4" customWidth="1"/>
    <col min="14588" max="14588" width="20.7109375" style="4" customWidth="1"/>
    <col min="14589" max="14589" width="9.140625" style="4"/>
    <col min="14590" max="14601" width="8.42578125" style="4" customWidth="1"/>
    <col min="14602" max="14842" width="9.140625" style="4"/>
    <col min="14843" max="14843" width="14.5703125" style="4" customWidth="1"/>
    <col min="14844" max="14844" width="20.7109375" style="4" customWidth="1"/>
    <col min="14845" max="14845" width="9.140625" style="4"/>
    <col min="14846" max="14857" width="8.42578125" style="4" customWidth="1"/>
    <col min="14858" max="15098" width="9.140625" style="4"/>
    <col min="15099" max="15099" width="14.5703125" style="4" customWidth="1"/>
    <col min="15100" max="15100" width="20.7109375" style="4" customWidth="1"/>
    <col min="15101" max="15101" width="9.140625" style="4"/>
    <col min="15102" max="15113" width="8.42578125" style="4" customWidth="1"/>
    <col min="15114" max="15354" width="9.140625" style="4"/>
    <col min="15355" max="15355" width="14.5703125" style="4" customWidth="1"/>
    <col min="15356" max="15356" width="20.7109375" style="4" customWidth="1"/>
    <col min="15357" max="15357" width="9.140625" style="4"/>
    <col min="15358" max="15369" width="8.42578125" style="4" customWidth="1"/>
    <col min="15370" max="15610" width="9.140625" style="4"/>
    <col min="15611" max="15611" width="14.5703125" style="4" customWidth="1"/>
    <col min="15612" max="15612" width="20.7109375" style="4" customWidth="1"/>
    <col min="15613" max="15613" width="9.140625" style="4"/>
    <col min="15614" max="15625" width="8.42578125" style="4" customWidth="1"/>
    <col min="15626" max="15866" width="9.140625" style="4"/>
    <col min="15867" max="15867" width="14.5703125" style="4" customWidth="1"/>
    <col min="15868" max="15868" width="20.7109375" style="4" customWidth="1"/>
    <col min="15869" max="15869" width="9.140625" style="4"/>
    <col min="15870" max="15881" width="8.42578125" style="4" customWidth="1"/>
    <col min="15882" max="16122" width="9.140625" style="4"/>
    <col min="16123" max="16123" width="14.5703125" style="4" customWidth="1"/>
    <col min="16124" max="16124" width="20.7109375" style="4" customWidth="1"/>
    <col min="16125" max="16125" width="9.140625" style="4"/>
    <col min="16126" max="16137" width="8.42578125" style="4" customWidth="1"/>
    <col min="16138" max="16378" width="9.140625" style="4"/>
    <col min="16379" max="16384" width="9.140625" style="4" customWidth="1"/>
  </cols>
  <sheetData>
    <row r="1" spans="1:23" s="53" customFormat="1" ht="15" customHeight="1" x14ac:dyDescent="0.2">
      <c r="A1" s="343"/>
      <c r="B1" s="362" t="s">
        <v>199</v>
      </c>
      <c r="C1" s="339" t="str">
        <f>ORÇAMENTO!I4</f>
        <v>SENSE106</v>
      </c>
      <c r="D1" s="338"/>
      <c r="E1" s="338"/>
      <c r="F1" s="338"/>
      <c r="G1" s="338"/>
      <c r="H1" s="338"/>
      <c r="I1" s="338"/>
      <c r="J1" s="338"/>
      <c r="K1" s="338"/>
      <c r="L1" s="339"/>
      <c r="M1" s="340"/>
      <c r="N1" s="345"/>
      <c r="O1" s="346"/>
      <c r="P1" s="416"/>
    </row>
    <row r="2" spans="1:23" s="215" customFormat="1" ht="15" customHeight="1" x14ac:dyDescent="0.2">
      <c r="A2" s="397"/>
      <c r="B2" s="362" t="s">
        <v>173</v>
      </c>
      <c r="C2" s="363" t="str">
        <f>ORÇAMENTO!I5</f>
        <v>HOLZE EMPREENDIMENTOS</v>
      </c>
      <c r="D2" s="339"/>
      <c r="E2" s="339"/>
      <c r="F2" s="339"/>
      <c r="G2" s="339"/>
      <c r="H2" s="339"/>
      <c r="I2" s="339"/>
      <c r="J2" s="339"/>
      <c r="K2" s="339"/>
      <c r="L2" s="399"/>
      <c r="M2" s="398"/>
      <c r="N2" s="347"/>
      <c r="O2" s="348"/>
      <c r="P2" s="414"/>
    </row>
    <row r="3" spans="1:23" s="53" customFormat="1" ht="15" customHeight="1" x14ac:dyDescent="0.2">
      <c r="A3" s="344"/>
      <c r="B3" s="362" t="s">
        <v>174</v>
      </c>
      <c r="C3" s="339" t="s">
        <v>327</v>
      </c>
      <c r="D3" s="339"/>
      <c r="E3" s="339"/>
      <c r="F3" s="339"/>
      <c r="G3" s="339"/>
      <c r="H3" s="339"/>
      <c r="I3" s="339"/>
      <c r="J3" s="339"/>
      <c r="K3" s="341"/>
      <c r="L3" s="339"/>
      <c r="M3" s="340"/>
      <c r="N3" s="349"/>
      <c r="O3" s="350"/>
      <c r="P3" s="415"/>
      <c r="Q3" s="415"/>
    </row>
    <row r="4" spans="1:23" s="2" customFormat="1" ht="21.6" customHeight="1" x14ac:dyDescent="0.2">
      <c r="A4" s="1272" t="s">
        <v>177</v>
      </c>
      <c r="B4" s="1272"/>
      <c r="C4" s="1272"/>
      <c r="D4" s="1272"/>
      <c r="E4" s="1272"/>
      <c r="F4" s="1272"/>
      <c r="G4" s="1272"/>
      <c r="H4" s="1272"/>
      <c r="I4" s="1272"/>
      <c r="J4" s="1272"/>
      <c r="K4" s="1272"/>
      <c r="L4" s="1272"/>
      <c r="M4" s="1272"/>
      <c r="N4" s="1272"/>
      <c r="O4" s="1272"/>
      <c r="P4" s="415"/>
      <c r="Q4" s="198"/>
      <c r="R4" s="1"/>
      <c r="S4" s="1"/>
      <c r="T4" s="1"/>
      <c r="U4" s="1"/>
      <c r="V4" s="1"/>
      <c r="W4" s="1"/>
    </row>
    <row r="5" spans="1:23" s="2" customFormat="1" ht="15" customHeight="1" x14ac:dyDescent="0.2">
      <c r="A5" s="1275" t="s">
        <v>6</v>
      </c>
      <c r="B5" s="1276"/>
      <c r="C5" s="1279" t="s">
        <v>18</v>
      </c>
      <c r="D5" s="317" t="s">
        <v>73</v>
      </c>
      <c r="E5" s="318"/>
      <c r="F5" s="319"/>
      <c r="G5" s="319"/>
      <c r="H5" s="319"/>
      <c r="I5" s="319"/>
      <c r="J5" s="320"/>
      <c r="K5" s="317" t="s">
        <v>20</v>
      </c>
      <c r="L5" s="319"/>
      <c r="M5" s="319"/>
      <c r="N5" s="319"/>
      <c r="O5" s="321"/>
      <c r="P5" s="198"/>
      <c r="Q5" s="198"/>
      <c r="R5" s="1"/>
      <c r="S5" s="1"/>
      <c r="T5" s="1"/>
      <c r="U5" s="1"/>
      <c r="V5" s="1"/>
      <c r="W5" s="1"/>
    </row>
    <row r="6" spans="1:23" s="3" customFormat="1" ht="16.899999999999999" customHeight="1" x14ac:dyDescent="0.2">
      <c r="A6" s="1277"/>
      <c r="B6" s="1278"/>
      <c r="C6" s="1280"/>
      <c r="D6" s="316">
        <v>6.3</v>
      </c>
      <c r="E6" s="316">
        <v>8</v>
      </c>
      <c r="F6" s="316">
        <v>10</v>
      </c>
      <c r="G6" s="316">
        <v>12.5</v>
      </c>
      <c r="H6" s="316">
        <v>16</v>
      </c>
      <c r="I6" s="316">
        <v>20</v>
      </c>
      <c r="J6" s="316">
        <v>25</v>
      </c>
      <c r="K6" s="316">
        <v>5</v>
      </c>
      <c r="L6" s="316">
        <v>0</v>
      </c>
      <c r="M6" s="316">
        <v>0</v>
      </c>
      <c r="N6" s="316">
        <v>0</v>
      </c>
      <c r="O6" s="325">
        <v>0</v>
      </c>
      <c r="P6" s="52"/>
      <c r="Q6" s="1"/>
      <c r="R6" s="1"/>
      <c r="S6" s="1"/>
      <c r="T6" s="1"/>
      <c r="U6" s="1"/>
      <c r="V6" s="1"/>
      <c r="W6" s="1"/>
    </row>
    <row r="7" spans="1:23" s="47" customFormat="1" ht="13.9" customHeight="1" x14ac:dyDescent="0.2">
      <c r="A7" s="322" t="str">
        <f>Blocos!A8</f>
        <v>Sense - Blocos de Fundação.dwg</v>
      </c>
      <c r="B7" s="323"/>
      <c r="C7" s="323"/>
      <c r="D7" s="323"/>
      <c r="E7" s="323"/>
      <c r="F7" s="324"/>
      <c r="G7" s="324"/>
      <c r="H7" s="324"/>
      <c r="I7" s="324"/>
      <c r="J7" s="324"/>
      <c r="K7" s="324"/>
      <c r="L7" s="324"/>
      <c r="M7" s="324"/>
      <c r="N7" s="324"/>
      <c r="O7" s="332"/>
      <c r="P7" s="52"/>
      <c r="Q7" s="46"/>
      <c r="R7" s="46"/>
      <c r="S7" s="46"/>
      <c r="T7" s="46"/>
      <c r="U7" s="46"/>
      <c r="V7" s="46"/>
      <c r="W7" s="46"/>
    </row>
    <row r="8" spans="1:23" s="47" customFormat="1" ht="13.9" customHeight="1" x14ac:dyDescent="0.2">
      <c r="A8" s="326" t="s">
        <v>328</v>
      </c>
      <c r="B8" s="327"/>
      <c r="C8" s="328">
        <v>1</v>
      </c>
      <c r="D8" s="329"/>
      <c r="E8" s="329"/>
      <c r="F8" s="329">
        <v>245</v>
      </c>
      <c r="G8" s="329">
        <v>1780</v>
      </c>
      <c r="H8" s="329">
        <v>5045</v>
      </c>
      <c r="I8" s="329">
        <v>14115</v>
      </c>
      <c r="J8" s="329"/>
      <c r="K8" s="329"/>
      <c r="L8" s="329"/>
      <c r="M8" s="329"/>
      <c r="N8" s="329"/>
      <c r="O8" s="330"/>
      <c r="P8" s="52"/>
      <c r="Q8" s="46"/>
      <c r="R8" s="46"/>
      <c r="S8" s="46"/>
      <c r="T8" s="46"/>
      <c r="U8" s="46"/>
      <c r="V8" s="46"/>
      <c r="W8" s="46"/>
    </row>
    <row r="9" spans="1:23" s="47" customFormat="1" ht="13.9" customHeight="1" x14ac:dyDescent="0.2">
      <c r="A9" s="322"/>
      <c r="B9" s="323"/>
      <c r="C9" s="323"/>
      <c r="D9" s="323"/>
      <c r="E9" s="323"/>
      <c r="F9" s="324"/>
      <c r="G9" s="324"/>
      <c r="H9" s="324"/>
      <c r="I9" s="324"/>
      <c r="J9" s="324"/>
      <c r="K9" s="324"/>
      <c r="L9" s="324"/>
      <c r="M9" s="324"/>
      <c r="N9" s="324"/>
      <c r="O9" s="332"/>
      <c r="P9" s="52"/>
      <c r="Q9" s="46"/>
      <c r="R9" s="46"/>
      <c r="S9" s="46"/>
      <c r="T9" s="46"/>
      <c r="U9" s="46"/>
      <c r="V9" s="46"/>
      <c r="W9" s="46"/>
    </row>
    <row r="10" spans="1:23" s="3" customFormat="1" ht="13.9" customHeight="1" x14ac:dyDescent="0.2">
      <c r="A10" s="326" t="s">
        <v>1370</v>
      </c>
      <c r="B10" s="327"/>
      <c r="C10" s="328">
        <v>1</v>
      </c>
      <c r="D10" s="329">
        <v>285</v>
      </c>
      <c r="E10" s="329">
        <v>195</v>
      </c>
      <c r="F10" s="329">
        <v>540</v>
      </c>
      <c r="G10" s="329">
        <v>0</v>
      </c>
      <c r="H10" s="329">
        <v>385</v>
      </c>
      <c r="I10" s="329">
        <v>5295</v>
      </c>
      <c r="J10" s="329"/>
      <c r="K10" s="329"/>
      <c r="L10" s="329"/>
      <c r="M10" s="329"/>
      <c r="N10" s="329"/>
      <c r="O10" s="330"/>
      <c r="P10" s="52"/>
      <c r="Q10" s="1"/>
      <c r="R10" s="1"/>
      <c r="S10" s="1"/>
      <c r="T10" s="1"/>
      <c r="U10" s="1"/>
      <c r="V10" s="1"/>
      <c r="W10" s="1"/>
    </row>
    <row r="11" spans="1:23" s="47" customFormat="1" ht="13.9" customHeight="1" x14ac:dyDescent="0.2">
      <c r="A11" s="322"/>
      <c r="B11" s="323"/>
      <c r="C11" s="323"/>
      <c r="D11" s="323"/>
      <c r="E11" s="323"/>
      <c r="F11" s="324"/>
      <c r="G11" s="324"/>
      <c r="H11" s="324"/>
      <c r="I11" s="324"/>
      <c r="J11" s="324"/>
      <c r="K11" s="324"/>
      <c r="L11" s="324"/>
      <c r="M11" s="324"/>
      <c r="N11" s="324"/>
      <c r="O11" s="332"/>
      <c r="P11" s="52"/>
      <c r="Q11" s="46"/>
      <c r="R11" s="46"/>
      <c r="S11" s="46"/>
      <c r="T11" s="46"/>
      <c r="U11" s="46"/>
      <c r="V11" s="46"/>
      <c r="W11" s="46"/>
    </row>
    <row r="12" spans="1:23" s="3" customFormat="1" ht="13.9" customHeight="1" x14ac:dyDescent="0.2">
      <c r="A12" s="522" t="s">
        <v>1369</v>
      </c>
      <c r="B12" s="523"/>
      <c r="C12" s="524">
        <v>1</v>
      </c>
      <c r="D12" s="525">
        <v>400</v>
      </c>
      <c r="E12" s="525">
        <v>865</v>
      </c>
      <c r="F12" s="525">
        <v>740</v>
      </c>
      <c r="G12" s="525">
        <v>45</v>
      </c>
      <c r="H12" s="525">
        <v>2920</v>
      </c>
      <c r="I12" s="525">
        <v>3000</v>
      </c>
      <c r="J12" s="525"/>
      <c r="K12" s="525"/>
      <c r="L12" s="525"/>
      <c r="M12" s="525"/>
      <c r="N12" s="525"/>
      <c r="O12" s="526"/>
      <c r="P12" s="52"/>
      <c r="Q12" s="1"/>
      <c r="R12" s="1"/>
      <c r="S12" s="1"/>
      <c r="T12" s="1"/>
      <c r="U12" s="1"/>
      <c r="V12" s="1"/>
      <c r="W12" s="1"/>
    </row>
    <row r="13" spans="1:23" s="47" customFormat="1" ht="13.9" customHeight="1" x14ac:dyDescent="0.2">
      <c r="A13" s="322"/>
      <c r="B13" s="323"/>
      <c r="C13" s="323"/>
      <c r="D13" s="323"/>
      <c r="E13" s="323"/>
      <c r="F13" s="324"/>
      <c r="G13" s="324"/>
      <c r="H13" s="324"/>
      <c r="I13" s="324"/>
      <c r="J13" s="324"/>
      <c r="K13" s="324"/>
      <c r="L13" s="324"/>
      <c r="M13" s="324"/>
      <c r="N13" s="324"/>
      <c r="O13" s="332"/>
      <c r="P13" s="52"/>
      <c r="Q13" s="46"/>
      <c r="R13" s="46"/>
      <c r="S13" s="46"/>
      <c r="T13" s="46"/>
      <c r="U13" s="46"/>
      <c r="V13" s="46"/>
      <c r="W13" s="46"/>
    </row>
    <row r="14" spans="1:23" s="3" customFormat="1" ht="13.9" customHeight="1" x14ac:dyDescent="0.2">
      <c r="A14" s="522" t="s">
        <v>1371</v>
      </c>
      <c r="B14" s="523"/>
      <c r="C14" s="524">
        <v>1</v>
      </c>
      <c r="D14" s="525"/>
      <c r="E14" s="525">
        <v>2140</v>
      </c>
      <c r="F14" s="525">
        <v>600</v>
      </c>
      <c r="G14" s="525">
        <v>570</v>
      </c>
      <c r="H14" s="525"/>
      <c r="I14" s="525"/>
      <c r="J14" s="525"/>
      <c r="K14" s="525"/>
      <c r="L14" s="525"/>
      <c r="M14" s="525"/>
      <c r="N14" s="525"/>
      <c r="O14" s="526"/>
      <c r="P14" s="52"/>
      <c r="Q14" s="1"/>
      <c r="R14" s="1"/>
      <c r="S14" s="1"/>
      <c r="T14" s="1"/>
      <c r="U14" s="1"/>
      <c r="V14" s="1"/>
      <c r="W14" s="1"/>
    </row>
    <row r="15" spans="1:23" ht="15" customHeight="1" x14ac:dyDescent="0.2">
      <c r="A15" s="322"/>
      <c r="B15" s="471"/>
      <c r="C15" s="471"/>
      <c r="D15" s="471"/>
      <c r="E15" s="471"/>
      <c r="F15" s="472"/>
      <c r="G15" s="472"/>
      <c r="H15" s="472"/>
      <c r="I15" s="472"/>
      <c r="J15" s="472"/>
      <c r="K15" s="472"/>
      <c r="L15" s="324"/>
      <c r="M15" s="324"/>
      <c r="N15" s="324"/>
      <c r="O15" s="332"/>
    </row>
    <row r="16" spans="1:23" ht="15" customHeight="1" x14ac:dyDescent="0.2">
      <c r="A16" s="333" t="s">
        <v>1394</v>
      </c>
      <c r="B16" s="334"/>
      <c r="C16" s="335">
        <v>1</v>
      </c>
      <c r="D16" s="336"/>
      <c r="E16" s="336">
        <v>72.7</v>
      </c>
      <c r="F16" s="336"/>
      <c r="G16" s="336"/>
      <c r="H16" s="336"/>
      <c r="I16" s="336"/>
      <c r="J16" s="336"/>
      <c r="K16" s="336"/>
      <c r="L16" s="336"/>
      <c r="M16" s="336"/>
      <c r="N16" s="336"/>
      <c r="O16" s="337"/>
      <c r="P16" s="52"/>
    </row>
    <row r="17" spans="1:16" ht="15" customHeight="1" x14ac:dyDescent="0.2">
      <c r="A17" s="322"/>
      <c r="B17" s="471"/>
      <c r="C17" s="471"/>
      <c r="D17" s="471"/>
      <c r="E17" s="471"/>
      <c r="F17" s="472"/>
      <c r="G17" s="472"/>
      <c r="H17" s="472"/>
      <c r="I17" s="472"/>
      <c r="J17" s="472"/>
      <c r="K17" s="472"/>
      <c r="L17" s="324"/>
      <c r="M17" s="324"/>
      <c r="N17" s="324"/>
      <c r="O17" s="332"/>
    </row>
    <row r="18" spans="1:16" ht="15" customHeight="1" x14ac:dyDescent="0.2">
      <c r="A18" s="333" t="s">
        <v>1395</v>
      </c>
      <c r="B18" s="334"/>
      <c r="C18" s="335">
        <v>1</v>
      </c>
      <c r="D18" s="336"/>
      <c r="E18" s="329">
        <v>3087.3</v>
      </c>
      <c r="F18" s="336"/>
      <c r="G18" s="336"/>
      <c r="H18" s="336"/>
      <c r="I18" s="336"/>
      <c r="J18" s="336"/>
      <c r="K18" s="336"/>
      <c r="L18" s="336"/>
      <c r="M18" s="336"/>
      <c r="N18" s="336"/>
      <c r="O18" s="337"/>
      <c r="P18" s="52"/>
    </row>
    <row r="19" spans="1:16" ht="15" customHeight="1" x14ac:dyDescent="0.2">
      <c r="A19" s="270"/>
      <c r="B19" s="271" t="s">
        <v>21</v>
      </c>
      <c r="C19" s="272">
        <f>SUM(D19:O19)</f>
        <v>42325</v>
      </c>
      <c r="D19" s="272">
        <f t="shared" ref="D19:I19" si="0">SUMPRODUCT(D7:D18,$C7:$C18)</f>
        <v>685</v>
      </c>
      <c r="E19" s="272">
        <f t="shared" si="0"/>
        <v>6360</v>
      </c>
      <c r="F19" s="272">
        <f t="shared" si="0"/>
        <v>2125</v>
      </c>
      <c r="G19" s="272">
        <f t="shared" si="0"/>
        <v>2395</v>
      </c>
      <c r="H19" s="272">
        <f t="shared" si="0"/>
        <v>8350</v>
      </c>
      <c r="I19" s="272">
        <f t="shared" si="0"/>
        <v>22410</v>
      </c>
      <c r="J19" s="272">
        <f t="shared" ref="J19:O19" si="1">SUMPRODUCT(J7:J16,$C7:$C16)</f>
        <v>0</v>
      </c>
      <c r="K19" s="272">
        <f t="shared" si="1"/>
        <v>0</v>
      </c>
      <c r="L19" s="272">
        <f t="shared" si="1"/>
        <v>0</v>
      </c>
      <c r="M19" s="272">
        <f t="shared" si="1"/>
        <v>0</v>
      </c>
      <c r="N19" s="272">
        <f t="shared" si="1"/>
        <v>0</v>
      </c>
      <c r="O19" s="272">
        <f t="shared" si="1"/>
        <v>0</v>
      </c>
    </row>
    <row r="20" spans="1:16" ht="15" customHeight="1" thickBot="1" x14ac:dyDescent="0.25">
      <c r="A20" s="274"/>
      <c r="B20" s="200" t="s">
        <v>22</v>
      </c>
      <c r="C20" s="201"/>
      <c r="D20" s="202">
        <v>1</v>
      </c>
      <c r="E20" s="202">
        <v>1</v>
      </c>
      <c r="F20" s="202">
        <v>1</v>
      </c>
      <c r="G20" s="202">
        <v>1</v>
      </c>
      <c r="H20" s="202">
        <v>1</v>
      </c>
      <c r="I20" s="202">
        <v>1</v>
      </c>
      <c r="J20" s="202">
        <v>1</v>
      </c>
      <c r="K20" s="202">
        <v>1</v>
      </c>
      <c r="L20" s="202">
        <v>1</v>
      </c>
      <c r="M20" s="202">
        <v>1</v>
      </c>
      <c r="N20" s="202">
        <v>1</v>
      </c>
      <c r="O20" s="202">
        <v>1</v>
      </c>
    </row>
    <row r="21" spans="1:16" ht="15" customHeight="1" thickTop="1" thickBot="1" x14ac:dyDescent="0.25">
      <c r="A21" s="115"/>
      <c r="B21" s="115" t="s">
        <v>23</v>
      </c>
      <c r="C21" s="203">
        <f>SUM(D21:O21)</f>
        <v>42325</v>
      </c>
      <c r="D21" s="203">
        <f>D20*D19</f>
        <v>685</v>
      </c>
      <c r="E21" s="203">
        <f t="shared" ref="E21:O21" si="2">E20*E19</f>
        <v>6360</v>
      </c>
      <c r="F21" s="203">
        <f t="shared" si="2"/>
        <v>2125</v>
      </c>
      <c r="G21" s="203">
        <f t="shared" si="2"/>
        <v>2395</v>
      </c>
      <c r="H21" s="203">
        <f t="shared" si="2"/>
        <v>8350</v>
      </c>
      <c r="I21" s="203">
        <f t="shared" si="2"/>
        <v>22410</v>
      </c>
      <c r="J21" s="203">
        <f t="shared" si="2"/>
        <v>0</v>
      </c>
      <c r="K21" s="203">
        <f t="shared" si="2"/>
        <v>0</v>
      </c>
      <c r="L21" s="203">
        <f t="shared" si="2"/>
        <v>0</v>
      </c>
      <c r="M21" s="203">
        <f t="shared" si="2"/>
        <v>0</v>
      </c>
      <c r="N21" s="203">
        <f t="shared" si="2"/>
        <v>0</v>
      </c>
      <c r="O21" s="203">
        <f t="shared" si="2"/>
        <v>0</v>
      </c>
    </row>
    <row r="22" spans="1:16" ht="12.75" thickTop="1" x14ac:dyDescent="0.2">
      <c r="A22" s="145"/>
      <c r="B22" s="276"/>
      <c r="C22" s="277"/>
      <c r="D22" s="278"/>
      <c r="E22" s="278"/>
      <c r="F22" s="278"/>
      <c r="G22" s="278"/>
      <c r="H22" s="278"/>
      <c r="I22" s="278"/>
      <c r="J22" s="278"/>
      <c r="K22" s="143"/>
      <c r="L22" s="143"/>
      <c r="M22" s="143"/>
      <c r="N22" s="143"/>
      <c r="O22" s="143"/>
    </row>
    <row r="23" spans="1:16" ht="12" x14ac:dyDescent="0.2">
      <c r="A23" s="145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</row>
  </sheetData>
  <mergeCells count="3">
    <mergeCell ref="A5:B6"/>
    <mergeCell ref="C5:C6"/>
    <mergeCell ref="A4:O4"/>
  </mergeCells>
  <printOptions horizontalCentered="1"/>
  <pageMargins left="0.19685039370078741" right="0.19685039370078741" top="0.39370078740157483" bottom="0.39370078740157483" header="0.51181102362204722" footer="0.19685039370078741"/>
  <pageSetup paperSize="9" scale="98" orientation="landscape" r:id="rId1"/>
  <headerFooter alignWithMargins="0">
    <oddFooter>&amp;L&amp;"Arial,Normal"&amp;F  - &amp;A&amp;R&amp;"Arial,Normal"&amp;P / 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ilha20">
    <tabColor theme="1"/>
    <pageSetUpPr fitToPage="1"/>
  </sheetPr>
  <dimension ref="A1:V107"/>
  <sheetViews>
    <sheetView showGridLines="0" view="pageBreakPreview" zoomScaleNormal="100" zoomScaleSheetLayoutView="100" workbookViewId="0">
      <pane ySplit="5" topLeftCell="A90" activePane="bottomLeft" state="frozen"/>
      <selection activeCell="M8" sqref="M8:M9"/>
      <selection pane="bottomLeft" activeCell="J106" sqref="B106:J106"/>
    </sheetView>
  </sheetViews>
  <sheetFormatPr defaultRowHeight="12.75" x14ac:dyDescent="0.2"/>
  <cols>
    <col min="1" max="1" width="41" style="19" bestFit="1" customWidth="1"/>
    <col min="2" max="3" width="7.7109375" style="19" customWidth="1"/>
    <col min="4" max="4" width="8.85546875" style="19" customWidth="1"/>
    <col min="5" max="5" width="8.42578125" style="19" bestFit="1" customWidth="1"/>
    <col min="6" max="6" width="8.28515625" style="19" customWidth="1"/>
    <col min="7" max="7" width="5.85546875" style="19" customWidth="1"/>
    <col min="8" max="8" width="7.7109375" style="19" customWidth="1"/>
    <col min="9" max="9" width="9.140625" style="19"/>
    <col min="10" max="10" width="8.140625" style="19" customWidth="1"/>
    <col min="11" max="11" width="7.7109375" style="19" customWidth="1"/>
    <col min="12" max="12" width="16.85546875" style="19" bestFit="1" customWidth="1"/>
    <col min="13" max="13" width="3.85546875" style="19" customWidth="1"/>
    <col min="14" max="14" width="9.7109375" style="19" customWidth="1"/>
    <col min="15" max="15" width="16.85546875" style="19" bestFit="1" customWidth="1"/>
    <col min="16" max="16" width="3.28515625" style="12" customWidth="1"/>
    <col min="17" max="17" width="9.140625" style="19"/>
    <col min="18" max="18" width="16.85546875" style="19" bestFit="1" customWidth="1"/>
    <col min="19" max="252" width="9.140625" style="19"/>
    <col min="253" max="254" width="15.7109375" style="19" customWidth="1"/>
    <col min="255" max="257" width="7.7109375" style="19" customWidth="1"/>
    <col min="258" max="258" width="6.28515625" style="19" customWidth="1"/>
    <col min="259" max="259" width="7" style="19" customWidth="1"/>
    <col min="260" max="260" width="5.85546875" style="19" customWidth="1"/>
    <col min="261" max="261" width="7.7109375" style="19" customWidth="1"/>
    <col min="262" max="262" width="9.140625" style="19"/>
    <col min="263" max="263" width="6.7109375" style="19" customWidth="1"/>
    <col min="264" max="264" width="7.7109375" style="19" customWidth="1"/>
    <col min="265" max="508" width="9.140625" style="19"/>
    <col min="509" max="510" width="15.7109375" style="19" customWidth="1"/>
    <col min="511" max="513" width="7.7109375" style="19" customWidth="1"/>
    <col min="514" max="514" width="6.28515625" style="19" customWidth="1"/>
    <col min="515" max="515" width="7" style="19" customWidth="1"/>
    <col min="516" max="516" width="5.85546875" style="19" customWidth="1"/>
    <col min="517" max="517" width="7.7109375" style="19" customWidth="1"/>
    <col min="518" max="518" width="9.140625" style="19"/>
    <col min="519" max="519" width="6.7109375" style="19" customWidth="1"/>
    <col min="520" max="520" width="7.7109375" style="19" customWidth="1"/>
    <col min="521" max="764" width="9.140625" style="19"/>
    <col min="765" max="766" width="15.7109375" style="19" customWidth="1"/>
    <col min="767" max="769" width="7.7109375" style="19" customWidth="1"/>
    <col min="770" max="770" width="6.28515625" style="19" customWidth="1"/>
    <col min="771" max="771" width="7" style="19" customWidth="1"/>
    <col min="772" max="772" width="5.85546875" style="19" customWidth="1"/>
    <col min="773" max="773" width="7.7109375" style="19" customWidth="1"/>
    <col min="774" max="774" width="9.140625" style="19"/>
    <col min="775" max="775" width="6.7109375" style="19" customWidth="1"/>
    <col min="776" max="776" width="7.7109375" style="19" customWidth="1"/>
    <col min="777" max="1020" width="9.140625" style="19"/>
    <col min="1021" max="1022" width="15.7109375" style="19" customWidth="1"/>
    <col min="1023" max="1025" width="7.7109375" style="19" customWidth="1"/>
    <col min="1026" max="1026" width="6.28515625" style="19" customWidth="1"/>
    <col min="1027" max="1027" width="7" style="19" customWidth="1"/>
    <col min="1028" max="1028" width="5.85546875" style="19" customWidth="1"/>
    <col min="1029" max="1029" width="7.7109375" style="19" customWidth="1"/>
    <col min="1030" max="1030" width="9.140625" style="19"/>
    <col min="1031" max="1031" width="6.7109375" style="19" customWidth="1"/>
    <col min="1032" max="1032" width="7.7109375" style="19" customWidth="1"/>
    <col min="1033" max="1276" width="9.140625" style="19"/>
    <col min="1277" max="1278" width="15.7109375" style="19" customWidth="1"/>
    <col min="1279" max="1281" width="7.7109375" style="19" customWidth="1"/>
    <col min="1282" max="1282" width="6.28515625" style="19" customWidth="1"/>
    <col min="1283" max="1283" width="7" style="19" customWidth="1"/>
    <col min="1284" max="1284" width="5.85546875" style="19" customWidth="1"/>
    <col min="1285" max="1285" width="7.7109375" style="19" customWidth="1"/>
    <col min="1286" max="1286" width="9.140625" style="19"/>
    <col min="1287" max="1287" width="6.7109375" style="19" customWidth="1"/>
    <col min="1288" max="1288" width="7.7109375" style="19" customWidth="1"/>
    <col min="1289" max="1532" width="9.140625" style="19"/>
    <col min="1533" max="1534" width="15.7109375" style="19" customWidth="1"/>
    <col min="1535" max="1537" width="7.7109375" style="19" customWidth="1"/>
    <col min="1538" max="1538" width="6.28515625" style="19" customWidth="1"/>
    <col min="1539" max="1539" width="7" style="19" customWidth="1"/>
    <col min="1540" max="1540" width="5.85546875" style="19" customWidth="1"/>
    <col min="1541" max="1541" width="7.7109375" style="19" customWidth="1"/>
    <col min="1542" max="1542" width="9.140625" style="19"/>
    <col min="1543" max="1543" width="6.7109375" style="19" customWidth="1"/>
    <col min="1544" max="1544" width="7.7109375" style="19" customWidth="1"/>
    <col min="1545" max="1788" width="9.140625" style="19"/>
    <col min="1789" max="1790" width="15.7109375" style="19" customWidth="1"/>
    <col min="1791" max="1793" width="7.7109375" style="19" customWidth="1"/>
    <col min="1794" max="1794" width="6.28515625" style="19" customWidth="1"/>
    <col min="1795" max="1795" width="7" style="19" customWidth="1"/>
    <col min="1796" max="1796" width="5.85546875" style="19" customWidth="1"/>
    <col min="1797" max="1797" width="7.7109375" style="19" customWidth="1"/>
    <col min="1798" max="1798" width="9.140625" style="19"/>
    <col min="1799" max="1799" width="6.7109375" style="19" customWidth="1"/>
    <col min="1800" max="1800" width="7.7109375" style="19" customWidth="1"/>
    <col min="1801" max="2044" width="9.140625" style="19"/>
    <col min="2045" max="2046" width="15.7109375" style="19" customWidth="1"/>
    <col min="2047" max="2049" width="7.7109375" style="19" customWidth="1"/>
    <col min="2050" max="2050" width="6.28515625" style="19" customWidth="1"/>
    <col min="2051" max="2051" width="7" style="19" customWidth="1"/>
    <col min="2052" max="2052" width="5.85546875" style="19" customWidth="1"/>
    <col min="2053" max="2053" width="7.7109375" style="19" customWidth="1"/>
    <col min="2054" max="2054" width="9.140625" style="19"/>
    <col min="2055" max="2055" width="6.7109375" style="19" customWidth="1"/>
    <col min="2056" max="2056" width="7.7109375" style="19" customWidth="1"/>
    <col min="2057" max="2300" width="9.140625" style="19"/>
    <col min="2301" max="2302" width="15.7109375" style="19" customWidth="1"/>
    <col min="2303" max="2305" width="7.7109375" style="19" customWidth="1"/>
    <col min="2306" max="2306" width="6.28515625" style="19" customWidth="1"/>
    <col min="2307" max="2307" width="7" style="19" customWidth="1"/>
    <col min="2308" max="2308" width="5.85546875" style="19" customWidth="1"/>
    <col min="2309" max="2309" width="7.7109375" style="19" customWidth="1"/>
    <col min="2310" max="2310" width="9.140625" style="19"/>
    <col min="2311" max="2311" width="6.7109375" style="19" customWidth="1"/>
    <col min="2312" max="2312" width="7.7109375" style="19" customWidth="1"/>
    <col min="2313" max="2556" width="9.140625" style="19"/>
    <col min="2557" max="2558" width="15.7109375" style="19" customWidth="1"/>
    <col min="2559" max="2561" width="7.7109375" style="19" customWidth="1"/>
    <col min="2562" max="2562" width="6.28515625" style="19" customWidth="1"/>
    <col min="2563" max="2563" width="7" style="19" customWidth="1"/>
    <col min="2564" max="2564" width="5.85546875" style="19" customWidth="1"/>
    <col min="2565" max="2565" width="7.7109375" style="19" customWidth="1"/>
    <col min="2566" max="2566" width="9.140625" style="19"/>
    <col min="2567" max="2567" width="6.7109375" style="19" customWidth="1"/>
    <col min="2568" max="2568" width="7.7109375" style="19" customWidth="1"/>
    <col min="2569" max="2812" width="9.140625" style="19"/>
    <col min="2813" max="2814" width="15.7109375" style="19" customWidth="1"/>
    <col min="2815" max="2817" width="7.7109375" style="19" customWidth="1"/>
    <col min="2818" max="2818" width="6.28515625" style="19" customWidth="1"/>
    <col min="2819" max="2819" width="7" style="19" customWidth="1"/>
    <col min="2820" max="2820" width="5.85546875" style="19" customWidth="1"/>
    <col min="2821" max="2821" width="7.7109375" style="19" customWidth="1"/>
    <col min="2822" max="2822" width="9.140625" style="19"/>
    <col min="2823" max="2823" width="6.7109375" style="19" customWidth="1"/>
    <col min="2824" max="2824" width="7.7109375" style="19" customWidth="1"/>
    <col min="2825" max="3068" width="9.140625" style="19"/>
    <col min="3069" max="3070" width="15.7109375" style="19" customWidth="1"/>
    <col min="3071" max="3073" width="7.7109375" style="19" customWidth="1"/>
    <col min="3074" max="3074" width="6.28515625" style="19" customWidth="1"/>
    <col min="3075" max="3075" width="7" style="19" customWidth="1"/>
    <col min="3076" max="3076" width="5.85546875" style="19" customWidth="1"/>
    <col min="3077" max="3077" width="7.7109375" style="19" customWidth="1"/>
    <col min="3078" max="3078" width="9.140625" style="19"/>
    <col min="3079" max="3079" width="6.7109375" style="19" customWidth="1"/>
    <col min="3080" max="3080" width="7.7109375" style="19" customWidth="1"/>
    <col min="3081" max="3324" width="9.140625" style="19"/>
    <col min="3325" max="3326" width="15.7109375" style="19" customWidth="1"/>
    <col min="3327" max="3329" width="7.7109375" style="19" customWidth="1"/>
    <col min="3330" max="3330" width="6.28515625" style="19" customWidth="1"/>
    <col min="3331" max="3331" width="7" style="19" customWidth="1"/>
    <col min="3332" max="3332" width="5.85546875" style="19" customWidth="1"/>
    <col min="3333" max="3333" width="7.7109375" style="19" customWidth="1"/>
    <col min="3334" max="3334" width="9.140625" style="19"/>
    <col min="3335" max="3335" width="6.7109375" style="19" customWidth="1"/>
    <col min="3336" max="3336" width="7.7109375" style="19" customWidth="1"/>
    <col min="3337" max="3580" width="9.140625" style="19"/>
    <col min="3581" max="3582" width="15.7109375" style="19" customWidth="1"/>
    <col min="3583" max="3585" width="7.7109375" style="19" customWidth="1"/>
    <col min="3586" max="3586" width="6.28515625" style="19" customWidth="1"/>
    <col min="3587" max="3587" width="7" style="19" customWidth="1"/>
    <col min="3588" max="3588" width="5.85546875" style="19" customWidth="1"/>
    <col min="3589" max="3589" width="7.7109375" style="19" customWidth="1"/>
    <col min="3590" max="3590" width="9.140625" style="19"/>
    <col min="3591" max="3591" width="6.7109375" style="19" customWidth="1"/>
    <col min="3592" max="3592" width="7.7109375" style="19" customWidth="1"/>
    <col min="3593" max="3836" width="9.140625" style="19"/>
    <col min="3837" max="3838" width="15.7109375" style="19" customWidth="1"/>
    <col min="3839" max="3841" width="7.7109375" style="19" customWidth="1"/>
    <col min="3842" max="3842" width="6.28515625" style="19" customWidth="1"/>
    <col min="3843" max="3843" width="7" style="19" customWidth="1"/>
    <col min="3844" max="3844" width="5.85546875" style="19" customWidth="1"/>
    <col min="3845" max="3845" width="7.7109375" style="19" customWidth="1"/>
    <col min="3846" max="3846" width="9.140625" style="19"/>
    <col min="3847" max="3847" width="6.7109375" style="19" customWidth="1"/>
    <col min="3848" max="3848" width="7.7109375" style="19" customWidth="1"/>
    <col min="3849" max="4092" width="9.140625" style="19"/>
    <col min="4093" max="4094" width="15.7109375" style="19" customWidth="1"/>
    <col min="4095" max="4097" width="7.7109375" style="19" customWidth="1"/>
    <col min="4098" max="4098" width="6.28515625" style="19" customWidth="1"/>
    <col min="4099" max="4099" width="7" style="19" customWidth="1"/>
    <col min="4100" max="4100" width="5.85546875" style="19" customWidth="1"/>
    <col min="4101" max="4101" width="7.7109375" style="19" customWidth="1"/>
    <col min="4102" max="4102" width="9.140625" style="19"/>
    <col min="4103" max="4103" width="6.7109375" style="19" customWidth="1"/>
    <col min="4104" max="4104" width="7.7109375" style="19" customWidth="1"/>
    <col min="4105" max="4348" width="9.140625" style="19"/>
    <col min="4349" max="4350" width="15.7109375" style="19" customWidth="1"/>
    <col min="4351" max="4353" width="7.7109375" style="19" customWidth="1"/>
    <col min="4354" max="4354" width="6.28515625" style="19" customWidth="1"/>
    <col min="4355" max="4355" width="7" style="19" customWidth="1"/>
    <col min="4356" max="4356" width="5.85546875" style="19" customWidth="1"/>
    <col min="4357" max="4357" width="7.7109375" style="19" customWidth="1"/>
    <col min="4358" max="4358" width="9.140625" style="19"/>
    <col min="4359" max="4359" width="6.7109375" style="19" customWidth="1"/>
    <col min="4360" max="4360" width="7.7109375" style="19" customWidth="1"/>
    <col min="4361" max="4604" width="9.140625" style="19"/>
    <col min="4605" max="4606" width="15.7109375" style="19" customWidth="1"/>
    <col min="4607" max="4609" width="7.7109375" style="19" customWidth="1"/>
    <col min="4610" max="4610" width="6.28515625" style="19" customWidth="1"/>
    <col min="4611" max="4611" width="7" style="19" customWidth="1"/>
    <col min="4612" max="4612" width="5.85546875" style="19" customWidth="1"/>
    <col min="4613" max="4613" width="7.7109375" style="19" customWidth="1"/>
    <col min="4614" max="4614" width="9.140625" style="19"/>
    <col min="4615" max="4615" width="6.7109375" style="19" customWidth="1"/>
    <col min="4616" max="4616" width="7.7109375" style="19" customWidth="1"/>
    <col min="4617" max="4860" width="9.140625" style="19"/>
    <col min="4861" max="4862" width="15.7109375" style="19" customWidth="1"/>
    <col min="4863" max="4865" width="7.7109375" style="19" customWidth="1"/>
    <col min="4866" max="4866" width="6.28515625" style="19" customWidth="1"/>
    <col min="4867" max="4867" width="7" style="19" customWidth="1"/>
    <col min="4868" max="4868" width="5.85546875" style="19" customWidth="1"/>
    <col min="4869" max="4869" width="7.7109375" style="19" customWidth="1"/>
    <col min="4870" max="4870" width="9.140625" style="19"/>
    <col min="4871" max="4871" width="6.7109375" style="19" customWidth="1"/>
    <col min="4872" max="4872" width="7.7109375" style="19" customWidth="1"/>
    <col min="4873" max="5116" width="9.140625" style="19"/>
    <col min="5117" max="5118" width="15.7109375" style="19" customWidth="1"/>
    <col min="5119" max="5121" width="7.7109375" style="19" customWidth="1"/>
    <col min="5122" max="5122" width="6.28515625" style="19" customWidth="1"/>
    <col min="5123" max="5123" width="7" style="19" customWidth="1"/>
    <col min="5124" max="5124" width="5.85546875" style="19" customWidth="1"/>
    <col min="5125" max="5125" width="7.7109375" style="19" customWidth="1"/>
    <col min="5126" max="5126" width="9.140625" style="19"/>
    <col min="5127" max="5127" width="6.7109375" style="19" customWidth="1"/>
    <col min="5128" max="5128" width="7.7109375" style="19" customWidth="1"/>
    <col min="5129" max="5372" width="9.140625" style="19"/>
    <col min="5373" max="5374" width="15.7109375" style="19" customWidth="1"/>
    <col min="5375" max="5377" width="7.7109375" style="19" customWidth="1"/>
    <col min="5378" max="5378" width="6.28515625" style="19" customWidth="1"/>
    <col min="5379" max="5379" width="7" style="19" customWidth="1"/>
    <col min="5380" max="5380" width="5.85546875" style="19" customWidth="1"/>
    <col min="5381" max="5381" width="7.7109375" style="19" customWidth="1"/>
    <col min="5382" max="5382" width="9.140625" style="19"/>
    <col min="5383" max="5383" width="6.7109375" style="19" customWidth="1"/>
    <col min="5384" max="5384" width="7.7109375" style="19" customWidth="1"/>
    <col min="5385" max="5628" width="9.140625" style="19"/>
    <col min="5629" max="5630" width="15.7109375" style="19" customWidth="1"/>
    <col min="5631" max="5633" width="7.7109375" style="19" customWidth="1"/>
    <col min="5634" max="5634" width="6.28515625" style="19" customWidth="1"/>
    <col min="5635" max="5635" width="7" style="19" customWidth="1"/>
    <col min="5636" max="5636" width="5.85546875" style="19" customWidth="1"/>
    <col min="5637" max="5637" width="7.7109375" style="19" customWidth="1"/>
    <col min="5638" max="5638" width="9.140625" style="19"/>
    <col min="5639" max="5639" width="6.7109375" style="19" customWidth="1"/>
    <col min="5640" max="5640" width="7.7109375" style="19" customWidth="1"/>
    <col min="5641" max="5884" width="9.140625" style="19"/>
    <col min="5885" max="5886" width="15.7109375" style="19" customWidth="1"/>
    <col min="5887" max="5889" width="7.7109375" style="19" customWidth="1"/>
    <col min="5890" max="5890" width="6.28515625" style="19" customWidth="1"/>
    <col min="5891" max="5891" width="7" style="19" customWidth="1"/>
    <col min="5892" max="5892" width="5.85546875" style="19" customWidth="1"/>
    <col min="5893" max="5893" width="7.7109375" style="19" customWidth="1"/>
    <col min="5894" max="5894" width="9.140625" style="19"/>
    <col min="5895" max="5895" width="6.7109375" style="19" customWidth="1"/>
    <col min="5896" max="5896" width="7.7109375" style="19" customWidth="1"/>
    <col min="5897" max="6140" width="9.140625" style="19"/>
    <col min="6141" max="6142" width="15.7109375" style="19" customWidth="1"/>
    <col min="6143" max="6145" width="7.7109375" style="19" customWidth="1"/>
    <col min="6146" max="6146" width="6.28515625" style="19" customWidth="1"/>
    <col min="6147" max="6147" width="7" style="19" customWidth="1"/>
    <col min="6148" max="6148" width="5.85546875" style="19" customWidth="1"/>
    <col min="6149" max="6149" width="7.7109375" style="19" customWidth="1"/>
    <col min="6150" max="6150" width="9.140625" style="19"/>
    <col min="6151" max="6151" width="6.7109375" style="19" customWidth="1"/>
    <col min="6152" max="6152" width="7.7109375" style="19" customWidth="1"/>
    <col min="6153" max="6396" width="9.140625" style="19"/>
    <col min="6397" max="6398" width="15.7109375" style="19" customWidth="1"/>
    <col min="6399" max="6401" width="7.7109375" style="19" customWidth="1"/>
    <col min="6402" max="6402" width="6.28515625" style="19" customWidth="1"/>
    <col min="6403" max="6403" width="7" style="19" customWidth="1"/>
    <col min="6404" max="6404" width="5.85546875" style="19" customWidth="1"/>
    <col min="6405" max="6405" width="7.7109375" style="19" customWidth="1"/>
    <col min="6406" max="6406" width="9.140625" style="19"/>
    <col min="6407" max="6407" width="6.7109375" style="19" customWidth="1"/>
    <col min="6408" max="6408" width="7.7109375" style="19" customWidth="1"/>
    <col min="6409" max="6652" width="9.140625" style="19"/>
    <col min="6653" max="6654" width="15.7109375" style="19" customWidth="1"/>
    <col min="6655" max="6657" width="7.7109375" style="19" customWidth="1"/>
    <col min="6658" max="6658" width="6.28515625" style="19" customWidth="1"/>
    <col min="6659" max="6659" width="7" style="19" customWidth="1"/>
    <col min="6660" max="6660" width="5.85546875" style="19" customWidth="1"/>
    <col min="6661" max="6661" width="7.7109375" style="19" customWidth="1"/>
    <col min="6662" max="6662" width="9.140625" style="19"/>
    <col min="6663" max="6663" width="6.7109375" style="19" customWidth="1"/>
    <col min="6664" max="6664" width="7.7109375" style="19" customWidth="1"/>
    <col min="6665" max="6908" width="9.140625" style="19"/>
    <col min="6909" max="6910" width="15.7109375" style="19" customWidth="1"/>
    <col min="6911" max="6913" width="7.7109375" style="19" customWidth="1"/>
    <col min="6914" max="6914" width="6.28515625" style="19" customWidth="1"/>
    <col min="6915" max="6915" width="7" style="19" customWidth="1"/>
    <col min="6916" max="6916" width="5.85546875" style="19" customWidth="1"/>
    <col min="6917" max="6917" width="7.7109375" style="19" customWidth="1"/>
    <col min="6918" max="6918" width="9.140625" style="19"/>
    <col min="6919" max="6919" width="6.7109375" style="19" customWidth="1"/>
    <col min="6920" max="6920" width="7.7109375" style="19" customWidth="1"/>
    <col min="6921" max="7164" width="9.140625" style="19"/>
    <col min="7165" max="7166" width="15.7109375" style="19" customWidth="1"/>
    <col min="7167" max="7169" width="7.7109375" style="19" customWidth="1"/>
    <col min="7170" max="7170" width="6.28515625" style="19" customWidth="1"/>
    <col min="7171" max="7171" width="7" style="19" customWidth="1"/>
    <col min="7172" max="7172" width="5.85546875" style="19" customWidth="1"/>
    <col min="7173" max="7173" width="7.7109375" style="19" customWidth="1"/>
    <col min="7174" max="7174" width="9.140625" style="19"/>
    <col min="7175" max="7175" width="6.7109375" style="19" customWidth="1"/>
    <col min="7176" max="7176" width="7.7109375" style="19" customWidth="1"/>
    <col min="7177" max="7420" width="9.140625" style="19"/>
    <col min="7421" max="7422" width="15.7109375" style="19" customWidth="1"/>
    <col min="7423" max="7425" width="7.7109375" style="19" customWidth="1"/>
    <col min="7426" max="7426" width="6.28515625" style="19" customWidth="1"/>
    <col min="7427" max="7427" width="7" style="19" customWidth="1"/>
    <col min="7428" max="7428" width="5.85546875" style="19" customWidth="1"/>
    <col min="7429" max="7429" width="7.7109375" style="19" customWidth="1"/>
    <col min="7430" max="7430" width="9.140625" style="19"/>
    <col min="7431" max="7431" width="6.7109375" style="19" customWidth="1"/>
    <col min="7432" max="7432" width="7.7109375" style="19" customWidth="1"/>
    <col min="7433" max="7676" width="9.140625" style="19"/>
    <col min="7677" max="7678" width="15.7109375" style="19" customWidth="1"/>
    <col min="7679" max="7681" width="7.7109375" style="19" customWidth="1"/>
    <col min="7682" max="7682" width="6.28515625" style="19" customWidth="1"/>
    <col min="7683" max="7683" width="7" style="19" customWidth="1"/>
    <col min="7684" max="7684" width="5.85546875" style="19" customWidth="1"/>
    <col min="7685" max="7685" width="7.7109375" style="19" customWidth="1"/>
    <col min="7686" max="7686" width="9.140625" style="19"/>
    <col min="7687" max="7687" width="6.7109375" style="19" customWidth="1"/>
    <col min="7688" max="7688" width="7.7109375" style="19" customWidth="1"/>
    <col min="7689" max="7932" width="9.140625" style="19"/>
    <col min="7933" max="7934" width="15.7109375" style="19" customWidth="1"/>
    <col min="7935" max="7937" width="7.7109375" style="19" customWidth="1"/>
    <col min="7938" max="7938" width="6.28515625" style="19" customWidth="1"/>
    <col min="7939" max="7939" width="7" style="19" customWidth="1"/>
    <col min="7940" max="7940" width="5.85546875" style="19" customWidth="1"/>
    <col min="7941" max="7941" width="7.7109375" style="19" customWidth="1"/>
    <col min="7942" max="7942" width="9.140625" style="19"/>
    <col min="7943" max="7943" width="6.7109375" style="19" customWidth="1"/>
    <col min="7944" max="7944" width="7.7109375" style="19" customWidth="1"/>
    <col min="7945" max="8188" width="9.140625" style="19"/>
    <col min="8189" max="8190" width="15.7109375" style="19" customWidth="1"/>
    <col min="8191" max="8193" width="7.7109375" style="19" customWidth="1"/>
    <col min="8194" max="8194" width="6.28515625" style="19" customWidth="1"/>
    <col min="8195" max="8195" width="7" style="19" customWidth="1"/>
    <col min="8196" max="8196" width="5.85546875" style="19" customWidth="1"/>
    <col min="8197" max="8197" width="7.7109375" style="19" customWidth="1"/>
    <col min="8198" max="8198" width="9.140625" style="19"/>
    <col min="8199" max="8199" width="6.7109375" style="19" customWidth="1"/>
    <col min="8200" max="8200" width="7.7109375" style="19" customWidth="1"/>
    <col min="8201" max="8444" width="9.140625" style="19"/>
    <col min="8445" max="8446" width="15.7109375" style="19" customWidth="1"/>
    <col min="8447" max="8449" width="7.7109375" style="19" customWidth="1"/>
    <col min="8450" max="8450" width="6.28515625" style="19" customWidth="1"/>
    <col min="8451" max="8451" width="7" style="19" customWidth="1"/>
    <col min="8452" max="8452" width="5.85546875" style="19" customWidth="1"/>
    <col min="8453" max="8453" width="7.7109375" style="19" customWidth="1"/>
    <col min="8454" max="8454" width="9.140625" style="19"/>
    <col min="8455" max="8455" width="6.7109375" style="19" customWidth="1"/>
    <col min="8456" max="8456" width="7.7109375" style="19" customWidth="1"/>
    <col min="8457" max="8700" width="9.140625" style="19"/>
    <col min="8701" max="8702" width="15.7109375" style="19" customWidth="1"/>
    <col min="8703" max="8705" width="7.7109375" style="19" customWidth="1"/>
    <col min="8706" max="8706" width="6.28515625" style="19" customWidth="1"/>
    <col min="8707" max="8707" width="7" style="19" customWidth="1"/>
    <col min="8708" max="8708" width="5.85546875" style="19" customWidth="1"/>
    <col min="8709" max="8709" width="7.7109375" style="19" customWidth="1"/>
    <col min="8710" max="8710" width="9.140625" style="19"/>
    <col min="8711" max="8711" width="6.7109375" style="19" customWidth="1"/>
    <col min="8712" max="8712" width="7.7109375" style="19" customWidth="1"/>
    <col min="8713" max="8956" width="9.140625" style="19"/>
    <col min="8957" max="8958" width="15.7109375" style="19" customWidth="1"/>
    <col min="8959" max="8961" width="7.7109375" style="19" customWidth="1"/>
    <col min="8962" max="8962" width="6.28515625" style="19" customWidth="1"/>
    <col min="8963" max="8963" width="7" style="19" customWidth="1"/>
    <col min="8964" max="8964" width="5.85546875" style="19" customWidth="1"/>
    <col min="8965" max="8965" width="7.7109375" style="19" customWidth="1"/>
    <col min="8966" max="8966" width="9.140625" style="19"/>
    <col min="8967" max="8967" width="6.7109375" style="19" customWidth="1"/>
    <col min="8968" max="8968" width="7.7109375" style="19" customWidth="1"/>
    <col min="8969" max="9212" width="9.140625" style="19"/>
    <col min="9213" max="9214" width="15.7109375" style="19" customWidth="1"/>
    <col min="9215" max="9217" width="7.7109375" style="19" customWidth="1"/>
    <col min="9218" max="9218" width="6.28515625" style="19" customWidth="1"/>
    <col min="9219" max="9219" width="7" style="19" customWidth="1"/>
    <col min="9220" max="9220" width="5.85546875" style="19" customWidth="1"/>
    <col min="9221" max="9221" width="7.7109375" style="19" customWidth="1"/>
    <col min="9222" max="9222" width="9.140625" style="19"/>
    <col min="9223" max="9223" width="6.7109375" style="19" customWidth="1"/>
    <col min="9224" max="9224" width="7.7109375" style="19" customWidth="1"/>
    <col min="9225" max="9468" width="9.140625" style="19"/>
    <col min="9469" max="9470" width="15.7109375" style="19" customWidth="1"/>
    <col min="9471" max="9473" width="7.7109375" style="19" customWidth="1"/>
    <col min="9474" max="9474" width="6.28515625" style="19" customWidth="1"/>
    <col min="9475" max="9475" width="7" style="19" customWidth="1"/>
    <col min="9476" max="9476" width="5.85546875" style="19" customWidth="1"/>
    <col min="9477" max="9477" width="7.7109375" style="19" customWidth="1"/>
    <col min="9478" max="9478" width="9.140625" style="19"/>
    <col min="9479" max="9479" width="6.7109375" style="19" customWidth="1"/>
    <col min="9480" max="9480" width="7.7109375" style="19" customWidth="1"/>
    <col min="9481" max="9724" width="9.140625" style="19"/>
    <col min="9725" max="9726" width="15.7109375" style="19" customWidth="1"/>
    <col min="9727" max="9729" width="7.7109375" style="19" customWidth="1"/>
    <col min="9730" max="9730" width="6.28515625" style="19" customWidth="1"/>
    <col min="9731" max="9731" width="7" style="19" customWidth="1"/>
    <col min="9732" max="9732" width="5.85546875" style="19" customWidth="1"/>
    <col min="9733" max="9733" width="7.7109375" style="19" customWidth="1"/>
    <col min="9734" max="9734" width="9.140625" style="19"/>
    <col min="9735" max="9735" width="6.7109375" style="19" customWidth="1"/>
    <col min="9736" max="9736" width="7.7109375" style="19" customWidth="1"/>
    <col min="9737" max="9980" width="9.140625" style="19"/>
    <col min="9981" max="9982" width="15.7109375" style="19" customWidth="1"/>
    <col min="9983" max="9985" width="7.7109375" style="19" customWidth="1"/>
    <col min="9986" max="9986" width="6.28515625" style="19" customWidth="1"/>
    <col min="9987" max="9987" width="7" style="19" customWidth="1"/>
    <col min="9988" max="9988" width="5.85546875" style="19" customWidth="1"/>
    <col min="9989" max="9989" width="7.7109375" style="19" customWidth="1"/>
    <col min="9990" max="9990" width="9.140625" style="19"/>
    <col min="9991" max="9991" width="6.7109375" style="19" customWidth="1"/>
    <col min="9992" max="9992" width="7.7109375" style="19" customWidth="1"/>
    <col min="9993" max="10236" width="9.140625" style="19"/>
    <col min="10237" max="10238" width="15.7109375" style="19" customWidth="1"/>
    <col min="10239" max="10241" width="7.7109375" style="19" customWidth="1"/>
    <col min="10242" max="10242" width="6.28515625" style="19" customWidth="1"/>
    <col min="10243" max="10243" width="7" style="19" customWidth="1"/>
    <col min="10244" max="10244" width="5.85546875" style="19" customWidth="1"/>
    <col min="10245" max="10245" width="7.7109375" style="19" customWidth="1"/>
    <col min="10246" max="10246" width="9.140625" style="19"/>
    <col min="10247" max="10247" width="6.7109375" style="19" customWidth="1"/>
    <col min="10248" max="10248" width="7.7109375" style="19" customWidth="1"/>
    <col min="10249" max="10492" width="9.140625" style="19"/>
    <col min="10493" max="10494" width="15.7109375" style="19" customWidth="1"/>
    <col min="10495" max="10497" width="7.7109375" style="19" customWidth="1"/>
    <col min="10498" max="10498" width="6.28515625" style="19" customWidth="1"/>
    <col min="10499" max="10499" width="7" style="19" customWidth="1"/>
    <col min="10500" max="10500" width="5.85546875" style="19" customWidth="1"/>
    <col min="10501" max="10501" width="7.7109375" style="19" customWidth="1"/>
    <col min="10502" max="10502" width="9.140625" style="19"/>
    <col min="10503" max="10503" width="6.7109375" style="19" customWidth="1"/>
    <col min="10504" max="10504" width="7.7109375" style="19" customWidth="1"/>
    <col min="10505" max="10748" width="9.140625" style="19"/>
    <col min="10749" max="10750" width="15.7109375" style="19" customWidth="1"/>
    <col min="10751" max="10753" width="7.7109375" style="19" customWidth="1"/>
    <col min="10754" max="10754" width="6.28515625" style="19" customWidth="1"/>
    <col min="10755" max="10755" width="7" style="19" customWidth="1"/>
    <col min="10756" max="10756" width="5.85546875" style="19" customWidth="1"/>
    <col min="10757" max="10757" width="7.7109375" style="19" customWidth="1"/>
    <col min="10758" max="10758" width="9.140625" style="19"/>
    <col min="10759" max="10759" width="6.7109375" style="19" customWidth="1"/>
    <col min="10760" max="10760" width="7.7109375" style="19" customWidth="1"/>
    <col min="10761" max="11004" width="9.140625" style="19"/>
    <col min="11005" max="11006" width="15.7109375" style="19" customWidth="1"/>
    <col min="11007" max="11009" width="7.7109375" style="19" customWidth="1"/>
    <col min="11010" max="11010" width="6.28515625" style="19" customWidth="1"/>
    <col min="11011" max="11011" width="7" style="19" customWidth="1"/>
    <col min="11012" max="11012" width="5.85546875" style="19" customWidth="1"/>
    <col min="11013" max="11013" width="7.7109375" style="19" customWidth="1"/>
    <col min="11014" max="11014" width="9.140625" style="19"/>
    <col min="11015" max="11015" width="6.7109375" style="19" customWidth="1"/>
    <col min="11016" max="11016" width="7.7109375" style="19" customWidth="1"/>
    <col min="11017" max="11260" width="9.140625" style="19"/>
    <col min="11261" max="11262" width="15.7109375" style="19" customWidth="1"/>
    <col min="11263" max="11265" width="7.7109375" style="19" customWidth="1"/>
    <col min="11266" max="11266" width="6.28515625" style="19" customWidth="1"/>
    <col min="11267" max="11267" width="7" style="19" customWidth="1"/>
    <col min="11268" max="11268" width="5.85546875" style="19" customWidth="1"/>
    <col min="11269" max="11269" width="7.7109375" style="19" customWidth="1"/>
    <col min="11270" max="11270" width="9.140625" style="19"/>
    <col min="11271" max="11271" width="6.7109375" style="19" customWidth="1"/>
    <col min="11272" max="11272" width="7.7109375" style="19" customWidth="1"/>
    <col min="11273" max="11516" width="9.140625" style="19"/>
    <col min="11517" max="11518" width="15.7109375" style="19" customWidth="1"/>
    <col min="11519" max="11521" width="7.7109375" style="19" customWidth="1"/>
    <col min="11522" max="11522" width="6.28515625" style="19" customWidth="1"/>
    <col min="11523" max="11523" width="7" style="19" customWidth="1"/>
    <col min="11524" max="11524" width="5.85546875" style="19" customWidth="1"/>
    <col min="11525" max="11525" width="7.7109375" style="19" customWidth="1"/>
    <col min="11526" max="11526" width="9.140625" style="19"/>
    <col min="11527" max="11527" width="6.7109375" style="19" customWidth="1"/>
    <col min="11528" max="11528" width="7.7109375" style="19" customWidth="1"/>
    <col min="11529" max="11772" width="9.140625" style="19"/>
    <col min="11773" max="11774" width="15.7109375" style="19" customWidth="1"/>
    <col min="11775" max="11777" width="7.7109375" style="19" customWidth="1"/>
    <col min="11778" max="11778" width="6.28515625" style="19" customWidth="1"/>
    <col min="11779" max="11779" width="7" style="19" customWidth="1"/>
    <col min="11780" max="11780" width="5.85546875" style="19" customWidth="1"/>
    <col min="11781" max="11781" width="7.7109375" style="19" customWidth="1"/>
    <col min="11782" max="11782" width="9.140625" style="19"/>
    <col min="11783" max="11783" width="6.7109375" style="19" customWidth="1"/>
    <col min="11784" max="11784" width="7.7109375" style="19" customWidth="1"/>
    <col min="11785" max="12028" width="9.140625" style="19"/>
    <col min="12029" max="12030" width="15.7109375" style="19" customWidth="1"/>
    <col min="12031" max="12033" width="7.7109375" style="19" customWidth="1"/>
    <col min="12034" max="12034" width="6.28515625" style="19" customWidth="1"/>
    <col min="12035" max="12035" width="7" style="19" customWidth="1"/>
    <col min="12036" max="12036" width="5.85546875" style="19" customWidth="1"/>
    <col min="12037" max="12037" width="7.7109375" style="19" customWidth="1"/>
    <col min="12038" max="12038" width="9.140625" style="19"/>
    <col min="12039" max="12039" width="6.7109375" style="19" customWidth="1"/>
    <col min="12040" max="12040" width="7.7109375" style="19" customWidth="1"/>
    <col min="12041" max="12284" width="9.140625" style="19"/>
    <col min="12285" max="12286" width="15.7109375" style="19" customWidth="1"/>
    <col min="12287" max="12289" width="7.7109375" style="19" customWidth="1"/>
    <col min="12290" max="12290" width="6.28515625" style="19" customWidth="1"/>
    <col min="12291" max="12291" width="7" style="19" customWidth="1"/>
    <col min="12292" max="12292" width="5.85546875" style="19" customWidth="1"/>
    <col min="12293" max="12293" width="7.7109375" style="19" customWidth="1"/>
    <col min="12294" max="12294" width="9.140625" style="19"/>
    <col min="12295" max="12295" width="6.7109375" style="19" customWidth="1"/>
    <col min="12296" max="12296" width="7.7109375" style="19" customWidth="1"/>
    <col min="12297" max="12540" width="9.140625" style="19"/>
    <col min="12541" max="12542" width="15.7109375" style="19" customWidth="1"/>
    <col min="12543" max="12545" width="7.7109375" style="19" customWidth="1"/>
    <col min="12546" max="12546" width="6.28515625" style="19" customWidth="1"/>
    <col min="12547" max="12547" width="7" style="19" customWidth="1"/>
    <col min="12548" max="12548" width="5.85546875" style="19" customWidth="1"/>
    <col min="12549" max="12549" width="7.7109375" style="19" customWidth="1"/>
    <col min="12550" max="12550" width="9.140625" style="19"/>
    <col min="12551" max="12551" width="6.7109375" style="19" customWidth="1"/>
    <col min="12552" max="12552" width="7.7109375" style="19" customWidth="1"/>
    <col min="12553" max="12796" width="9.140625" style="19"/>
    <col min="12797" max="12798" width="15.7109375" style="19" customWidth="1"/>
    <col min="12799" max="12801" width="7.7109375" style="19" customWidth="1"/>
    <col min="12802" max="12802" width="6.28515625" style="19" customWidth="1"/>
    <col min="12803" max="12803" width="7" style="19" customWidth="1"/>
    <col min="12804" max="12804" width="5.85546875" style="19" customWidth="1"/>
    <col min="12805" max="12805" width="7.7109375" style="19" customWidth="1"/>
    <col min="12806" max="12806" width="9.140625" style="19"/>
    <col min="12807" max="12807" width="6.7109375" style="19" customWidth="1"/>
    <col min="12808" max="12808" width="7.7109375" style="19" customWidth="1"/>
    <col min="12809" max="13052" width="9.140625" style="19"/>
    <col min="13053" max="13054" width="15.7109375" style="19" customWidth="1"/>
    <col min="13055" max="13057" width="7.7109375" style="19" customWidth="1"/>
    <col min="13058" max="13058" width="6.28515625" style="19" customWidth="1"/>
    <col min="13059" max="13059" width="7" style="19" customWidth="1"/>
    <col min="13060" max="13060" width="5.85546875" style="19" customWidth="1"/>
    <col min="13061" max="13061" width="7.7109375" style="19" customWidth="1"/>
    <col min="13062" max="13062" width="9.140625" style="19"/>
    <col min="13063" max="13063" width="6.7109375" style="19" customWidth="1"/>
    <col min="13064" max="13064" width="7.7109375" style="19" customWidth="1"/>
    <col min="13065" max="13308" width="9.140625" style="19"/>
    <col min="13309" max="13310" width="15.7109375" style="19" customWidth="1"/>
    <col min="13311" max="13313" width="7.7109375" style="19" customWidth="1"/>
    <col min="13314" max="13314" width="6.28515625" style="19" customWidth="1"/>
    <col min="13315" max="13315" width="7" style="19" customWidth="1"/>
    <col min="13316" max="13316" width="5.85546875" style="19" customWidth="1"/>
    <col min="13317" max="13317" width="7.7109375" style="19" customWidth="1"/>
    <col min="13318" max="13318" width="9.140625" style="19"/>
    <col min="13319" max="13319" width="6.7109375" style="19" customWidth="1"/>
    <col min="13320" max="13320" width="7.7109375" style="19" customWidth="1"/>
    <col min="13321" max="13564" width="9.140625" style="19"/>
    <col min="13565" max="13566" width="15.7109375" style="19" customWidth="1"/>
    <col min="13567" max="13569" width="7.7109375" style="19" customWidth="1"/>
    <col min="13570" max="13570" width="6.28515625" style="19" customWidth="1"/>
    <col min="13571" max="13571" width="7" style="19" customWidth="1"/>
    <col min="13572" max="13572" width="5.85546875" style="19" customWidth="1"/>
    <col min="13573" max="13573" width="7.7109375" style="19" customWidth="1"/>
    <col min="13574" max="13574" width="9.140625" style="19"/>
    <col min="13575" max="13575" width="6.7109375" style="19" customWidth="1"/>
    <col min="13576" max="13576" width="7.7109375" style="19" customWidth="1"/>
    <col min="13577" max="13820" width="9.140625" style="19"/>
    <col min="13821" max="13822" width="15.7109375" style="19" customWidth="1"/>
    <col min="13823" max="13825" width="7.7109375" style="19" customWidth="1"/>
    <col min="13826" max="13826" width="6.28515625" style="19" customWidth="1"/>
    <col min="13827" max="13827" width="7" style="19" customWidth="1"/>
    <col min="13828" max="13828" width="5.85546875" style="19" customWidth="1"/>
    <col min="13829" max="13829" width="7.7109375" style="19" customWidth="1"/>
    <col min="13830" max="13830" width="9.140625" style="19"/>
    <col min="13831" max="13831" width="6.7109375" style="19" customWidth="1"/>
    <col min="13832" max="13832" width="7.7109375" style="19" customWidth="1"/>
    <col min="13833" max="14076" width="9.140625" style="19"/>
    <col min="14077" max="14078" width="15.7109375" style="19" customWidth="1"/>
    <col min="14079" max="14081" width="7.7109375" style="19" customWidth="1"/>
    <col min="14082" max="14082" width="6.28515625" style="19" customWidth="1"/>
    <col min="14083" max="14083" width="7" style="19" customWidth="1"/>
    <col min="14084" max="14084" width="5.85546875" style="19" customWidth="1"/>
    <col min="14085" max="14085" width="7.7109375" style="19" customWidth="1"/>
    <col min="14086" max="14086" width="9.140625" style="19"/>
    <col min="14087" max="14087" width="6.7109375" style="19" customWidth="1"/>
    <col min="14088" max="14088" width="7.7109375" style="19" customWidth="1"/>
    <col min="14089" max="14332" width="9.140625" style="19"/>
    <col min="14333" max="14334" width="15.7109375" style="19" customWidth="1"/>
    <col min="14335" max="14337" width="7.7109375" style="19" customWidth="1"/>
    <col min="14338" max="14338" width="6.28515625" style="19" customWidth="1"/>
    <col min="14339" max="14339" width="7" style="19" customWidth="1"/>
    <col min="14340" max="14340" width="5.85546875" style="19" customWidth="1"/>
    <col min="14341" max="14341" width="7.7109375" style="19" customWidth="1"/>
    <col min="14342" max="14342" width="9.140625" style="19"/>
    <col min="14343" max="14343" width="6.7109375" style="19" customWidth="1"/>
    <col min="14344" max="14344" width="7.7109375" style="19" customWidth="1"/>
    <col min="14345" max="14588" width="9.140625" style="19"/>
    <col min="14589" max="14590" width="15.7109375" style="19" customWidth="1"/>
    <col min="14591" max="14593" width="7.7109375" style="19" customWidth="1"/>
    <col min="14594" max="14594" width="6.28515625" style="19" customWidth="1"/>
    <col min="14595" max="14595" width="7" style="19" customWidth="1"/>
    <col min="14596" max="14596" width="5.85546875" style="19" customWidth="1"/>
    <col min="14597" max="14597" width="7.7109375" style="19" customWidth="1"/>
    <col min="14598" max="14598" width="9.140625" style="19"/>
    <col min="14599" max="14599" width="6.7109375" style="19" customWidth="1"/>
    <col min="14600" max="14600" width="7.7109375" style="19" customWidth="1"/>
    <col min="14601" max="14844" width="9.140625" style="19"/>
    <col min="14845" max="14846" width="15.7109375" style="19" customWidth="1"/>
    <col min="14847" max="14849" width="7.7109375" style="19" customWidth="1"/>
    <col min="14850" max="14850" width="6.28515625" style="19" customWidth="1"/>
    <col min="14851" max="14851" width="7" style="19" customWidth="1"/>
    <col min="14852" max="14852" width="5.85546875" style="19" customWidth="1"/>
    <col min="14853" max="14853" width="7.7109375" style="19" customWidth="1"/>
    <col min="14854" max="14854" width="9.140625" style="19"/>
    <col min="14855" max="14855" width="6.7109375" style="19" customWidth="1"/>
    <col min="14856" max="14856" width="7.7109375" style="19" customWidth="1"/>
    <col min="14857" max="15100" width="9.140625" style="19"/>
    <col min="15101" max="15102" width="15.7109375" style="19" customWidth="1"/>
    <col min="15103" max="15105" width="7.7109375" style="19" customWidth="1"/>
    <col min="15106" max="15106" width="6.28515625" style="19" customWidth="1"/>
    <col min="15107" max="15107" width="7" style="19" customWidth="1"/>
    <col min="15108" max="15108" width="5.85546875" style="19" customWidth="1"/>
    <col min="15109" max="15109" width="7.7109375" style="19" customWidth="1"/>
    <col min="15110" max="15110" width="9.140625" style="19"/>
    <col min="15111" max="15111" width="6.7109375" style="19" customWidth="1"/>
    <col min="15112" max="15112" width="7.7109375" style="19" customWidth="1"/>
    <col min="15113" max="15356" width="9.140625" style="19"/>
    <col min="15357" max="15358" width="15.7109375" style="19" customWidth="1"/>
    <col min="15359" max="15361" width="7.7109375" style="19" customWidth="1"/>
    <col min="15362" max="15362" width="6.28515625" style="19" customWidth="1"/>
    <col min="15363" max="15363" width="7" style="19" customWidth="1"/>
    <col min="15364" max="15364" width="5.85546875" style="19" customWidth="1"/>
    <col min="15365" max="15365" width="7.7109375" style="19" customWidth="1"/>
    <col min="15366" max="15366" width="9.140625" style="19"/>
    <col min="15367" max="15367" width="6.7109375" style="19" customWidth="1"/>
    <col min="15368" max="15368" width="7.7109375" style="19" customWidth="1"/>
    <col min="15369" max="15612" width="9.140625" style="19"/>
    <col min="15613" max="15614" width="15.7109375" style="19" customWidth="1"/>
    <col min="15615" max="15617" width="7.7109375" style="19" customWidth="1"/>
    <col min="15618" max="15618" width="6.28515625" style="19" customWidth="1"/>
    <col min="15619" max="15619" width="7" style="19" customWidth="1"/>
    <col min="15620" max="15620" width="5.85546875" style="19" customWidth="1"/>
    <col min="15621" max="15621" width="7.7109375" style="19" customWidth="1"/>
    <col min="15622" max="15622" width="9.140625" style="19"/>
    <col min="15623" max="15623" width="6.7109375" style="19" customWidth="1"/>
    <col min="15624" max="15624" width="7.7109375" style="19" customWidth="1"/>
    <col min="15625" max="15868" width="9.140625" style="19"/>
    <col min="15869" max="15870" width="15.7109375" style="19" customWidth="1"/>
    <col min="15871" max="15873" width="7.7109375" style="19" customWidth="1"/>
    <col min="15874" max="15874" width="6.28515625" style="19" customWidth="1"/>
    <col min="15875" max="15875" width="7" style="19" customWidth="1"/>
    <col min="15876" max="15876" width="5.85546875" style="19" customWidth="1"/>
    <col min="15877" max="15877" width="7.7109375" style="19" customWidth="1"/>
    <col min="15878" max="15878" width="9.140625" style="19"/>
    <col min="15879" max="15879" width="6.7109375" style="19" customWidth="1"/>
    <col min="15880" max="15880" width="7.7109375" style="19" customWidth="1"/>
    <col min="15881" max="16124" width="9.140625" style="19"/>
    <col min="16125" max="16126" width="15.7109375" style="19" customWidth="1"/>
    <col min="16127" max="16129" width="7.7109375" style="19" customWidth="1"/>
    <col min="16130" max="16130" width="6.28515625" style="19" customWidth="1"/>
    <col min="16131" max="16131" width="7" style="19" customWidth="1"/>
    <col min="16132" max="16132" width="5.85546875" style="19" customWidth="1"/>
    <col min="16133" max="16133" width="7.7109375" style="19" customWidth="1"/>
    <col min="16134" max="16134" width="9.140625" style="19"/>
    <col min="16135" max="16135" width="6.7109375" style="19" customWidth="1"/>
    <col min="16136" max="16136" width="7.7109375" style="19" customWidth="1"/>
    <col min="16137" max="16379" width="9.140625" style="19"/>
    <col min="16380" max="16383" width="9.140625" style="19" customWidth="1"/>
    <col min="16384" max="16384" width="9.140625" style="19"/>
  </cols>
  <sheetData>
    <row r="1" spans="1:22" s="53" customFormat="1" ht="37.5" customHeight="1" thickBot="1" x14ac:dyDescent="0.25">
      <c r="A1" s="55"/>
      <c r="B1" s="803"/>
      <c r="C1" s="804"/>
      <c r="D1" s="804"/>
      <c r="E1" s="804"/>
      <c r="F1" s="804"/>
      <c r="G1" s="804"/>
      <c r="H1" s="804"/>
      <c r="I1" s="804"/>
      <c r="J1" s="804"/>
      <c r="K1" s="804"/>
      <c r="L1" s="804"/>
      <c r="M1" s="804"/>
      <c r="N1" s="804"/>
      <c r="O1" s="804"/>
      <c r="P1" s="804"/>
      <c r="Q1" s="804"/>
      <c r="R1" s="804"/>
      <c r="S1" s="62"/>
      <c r="T1" s="62"/>
      <c r="U1" s="62"/>
      <c r="V1" s="62"/>
    </row>
    <row r="2" spans="1:22" s="54" customFormat="1" x14ac:dyDescent="0.2">
      <c r="A2" s="213" t="s">
        <v>96</v>
      </c>
      <c r="B2" s="648" t="str">
        <f>ORÇAMENTO!I4</f>
        <v>SENSE106</v>
      </c>
      <c r="C2" s="59"/>
      <c r="D2" s="59"/>
      <c r="E2" s="59"/>
      <c r="F2" s="59"/>
      <c r="G2" s="59"/>
      <c r="H2" s="59"/>
      <c r="I2" s="214" t="s">
        <v>15</v>
      </c>
      <c r="J2" s="214"/>
      <c r="K2" s="59"/>
      <c r="L2" s="214" t="s">
        <v>8</v>
      </c>
    </row>
    <row r="3" spans="1:22" s="54" customFormat="1" ht="15" customHeight="1" x14ac:dyDescent="0.2">
      <c r="A3" s="58" t="str">
        <f>ORÇAMENTO!G5</f>
        <v>EMPRESA:</v>
      </c>
      <c r="B3" s="648" t="str">
        <f>ORÇAMENTO!I5</f>
        <v>HOLZE EMPREENDIMENTOS</v>
      </c>
      <c r="C3" s="59"/>
      <c r="D3" s="59"/>
      <c r="E3" s="59"/>
      <c r="F3" s="59"/>
      <c r="G3" s="59"/>
      <c r="H3" s="59"/>
      <c r="I3" s="58" t="str">
        <f>ORÇAMENTO!O5</f>
        <v>R01 - Edileni Silva</v>
      </c>
      <c r="J3" s="60"/>
      <c r="K3" s="59"/>
      <c r="L3" s="61">
        <f>ORÇAMENTO!P5</f>
        <v>45608</v>
      </c>
    </row>
    <row r="4" spans="1:22" ht="15" customHeight="1" x14ac:dyDescent="0.2">
      <c r="A4" s="1344" t="s">
        <v>11</v>
      </c>
      <c r="B4" s="1342" t="s">
        <v>40</v>
      </c>
      <c r="C4" s="1343"/>
      <c r="D4" s="1344"/>
      <c r="E4" s="1346" t="s">
        <v>18</v>
      </c>
      <c r="F4" s="93" t="s">
        <v>47</v>
      </c>
      <c r="G4" s="93"/>
      <c r="H4" s="93"/>
      <c r="I4" s="93"/>
      <c r="J4" s="94" t="s">
        <v>95</v>
      </c>
      <c r="K4" s="95"/>
      <c r="L4" s="96"/>
      <c r="N4" s="1330" t="s">
        <v>97</v>
      </c>
      <c r="O4" s="1332"/>
      <c r="P4" s="54"/>
      <c r="Q4" s="1330" t="s">
        <v>469</v>
      </c>
      <c r="R4" s="1332"/>
    </row>
    <row r="5" spans="1:22" ht="21.75" customHeight="1" x14ac:dyDescent="0.2">
      <c r="A5" s="1345"/>
      <c r="B5" s="97" t="s">
        <v>57</v>
      </c>
      <c r="C5" s="98" t="s">
        <v>59</v>
      </c>
      <c r="D5" s="99" t="s">
        <v>60</v>
      </c>
      <c r="E5" s="1347"/>
      <c r="F5" s="100" t="s">
        <v>82</v>
      </c>
      <c r="G5" s="98" t="s">
        <v>61</v>
      </c>
      <c r="H5" s="98" t="s">
        <v>55</v>
      </c>
      <c r="I5" s="98" t="s">
        <v>9</v>
      </c>
      <c r="J5" s="97" t="s">
        <v>55</v>
      </c>
      <c r="K5" s="99" t="s">
        <v>9</v>
      </c>
      <c r="L5" s="88" t="s">
        <v>100</v>
      </c>
      <c r="N5" s="148" t="s">
        <v>4</v>
      </c>
      <c r="O5" s="118" t="s">
        <v>100</v>
      </c>
      <c r="Q5" s="148" t="s">
        <v>1</v>
      </c>
      <c r="R5" s="118" t="s">
        <v>470</v>
      </c>
    </row>
    <row r="6" spans="1:22" x14ac:dyDescent="0.2">
      <c r="A6" s="117" t="s">
        <v>106</v>
      </c>
      <c r="B6" s="106"/>
      <c r="C6" s="106"/>
      <c r="D6" s="106"/>
      <c r="E6" s="106"/>
      <c r="F6" s="106"/>
      <c r="G6" s="106"/>
      <c r="H6" s="106"/>
      <c r="I6" s="106"/>
      <c r="J6" s="106"/>
      <c r="K6" s="107"/>
      <c r="L6" s="255"/>
      <c r="N6" s="119">
        <f t="shared" ref="N6:N12" si="0">IF(O6="","",SUMIF($L$6:$L$103,O6,$K$6:$K$103))</f>
        <v>30.770000000000003</v>
      </c>
      <c r="O6" s="121" t="s">
        <v>409</v>
      </c>
      <c r="Q6" s="119">
        <f t="shared" ref="Q6:Q12" si="1">IF(R6="","",SUMIF($L$6:$L$103,R6,$I$6:$I$103))</f>
        <v>214.27</v>
      </c>
      <c r="R6" s="642" t="s">
        <v>409</v>
      </c>
    </row>
    <row r="7" spans="1:22" x14ac:dyDescent="0.2">
      <c r="A7" s="50"/>
      <c r="B7" s="16"/>
      <c r="C7" s="16"/>
      <c r="D7" s="16"/>
      <c r="E7" s="20"/>
      <c r="F7" s="21" t="s">
        <v>12</v>
      </c>
      <c r="G7" s="20">
        <v>2</v>
      </c>
      <c r="H7" s="22">
        <f>IF(F7="s",(B7+(C7*G7))*D7+C7*B7*2,C7*G7*D7+B7*C7*2)</f>
        <v>0</v>
      </c>
      <c r="I7" s="23">
        <f>H7*E7</f>
        <v>0</v>
      </c>
      <c r="J7" s="23">
        <f>B7*C7*D7</f>
        <v>0</v>
      </c>
      <c r="K7" s="24">
        <f>J7*E7</f>
        <v>0</v>
      </c>
      <c r="L7" s="256" t="s">
        <v>127</v>
      </c>
      <c r="N7" s="119">
        <f t="shared" si="0"/>
        <v>29.560000000000002</v>
      </c>
      <c r="O7" s="121" t="s">
        <v>410</v>
      </c>
      <c r="Q7" s="119">
        <f t="shared" si="1"/>
        <v>204.11</v>
      </c>
      <c r="R7" s="642" t="s">
        <v>410</v>
      </c>
    </row>
    <row r="8" spans="1:22" x14ac:dyDescent="0.2">
      <c r="A8" s="50"/>
      <c r="B8" s="16"/>
      <c r="C8" s="16"/>
      <c r="D8" s="16"/>
      <c r="E8" s="20"/>
      <c r="F8" s="21" t="s">
        <v>12</v>
      </c>
      <c r="G8" s="20">
        <v>2</v>
      </c>
      <c r="H8" s="22">
        <f>IF(F8="s",(B8+(C8*G8))*D8+C8*B8*2,C8*G8*D8+B8*C8*2)</f>
        <v>0</v>
      </c>
      <c r="I8" s="23">
        <f>H8*E8</f>
        <v>0</v>
      </c>
      <c r="J8" s="23">
        <f>B8*C8*D8</f>
        <v>0</v>
      </c>
      <c r="K8" s="24">
        <f>J8*E8</f>
        <v>0</v>
      </c>
      <c r="L8" s="256" t="s">
        <v>127</v>
      </c>
      <c r="N8" s="119">
        <f t="shared" si="0"/>
        <v>29.560000000000002</v>
      </c>
      <c r="O8" s="122" t="s">
        <v>431</v>
      </c>
      <c r="Q8" s="119">
        <f t="shared" si="1"/>
        <v>204.11</v>
      </c>
      <c r="R8" s="643" t="s">
        <v>431</v>
      </c>
    </row>
    <row r="9" spans="1:22" x14ac:dyDescent="0.2">
      <c r="A9" s="49"/>
      <c r="B9" s="16"/>
      <c r="C9" s="16"/>
      <c r="D9" s="16"/>
      <c r="E9" s="20"/>
      <c r="F9" s="21" t="s">
        <v>12</v>
      </c>
      <c r="G9" s="20">
        <v>2</v>
      </c>
      <c r="H9" s="22">
        <f>IF(F9="s",(B9+(C9*G9))*D9+C9*B9*2,C9*G9*D9+B9*C9*2)</f>
        <v>0</v>
      </c>
      <c r="I9" s="23">
        <f>H9*E9</f>
        <v>0</v>
      </c>
      <c r="J9" s="23">
        <f>B9*C9*D9</f>
        <v>0</v>
      </c>
      <c r="K9" s="24">
        <f>J9*E9</f>
        <v>0</v>
      </c>
      <c r="L9" s="256" t="s">
        <v>127</v>
      </c>
      <c r="N9" s="119">
        <f t="shared" si="0"/>
        <v>154.39000000000001</v>
      </c>
      <c r="O9" s="122" t="s">
        <v>474</v>
      </c>
      <c r="Q9" s="119">
        <f t="shared" si="1"/>
        <v>594.61</v>
      </c>
      <c r="R9" s="643" t="s">
        <v>474</v>
      </c>
    </row>
    <row r="10" spans="1:22" x14ac:dyDescent="0.2">
      <c r="A10" s="49"/>
      <c r="B10" s="16"/>
      <c r="C10" s="16"/>
      <c r="D10" s="16"/>
      <c r="E10" s="20"/>
      <c r="F10" s="21" t="s">
        <v>12</v>
      </c>
      <c r="G10" s="20">
        <v>2</v>
      </c>
      <c r="H10" s="22">
        <f>IF(F10="s",(B10+(C10*G10))*D10+C10*B10*2,C10*G10*D10+B10*C10*2)</f>
        <v>0</v>
      </c>
      <c r="I10" s="70">
        <f>H10*E10</f>
        <v>0</v>
      </c>
      <c r="J10" s="70">
        <f>B10*C10*D10</f>
        <v>0</v>
      </c>
      <c r="K10" s="71">
        <f>J10*E10</f>
        <v>0</v>
      </c>
      <c r="L10" s="256" t="s">
        <v>127</v>
      </c>
      <c r="N10" s="119">
        <f t="shared" si="0"/>
        <v>244.14000000000001</v>
      </c>
      <c r="O10" s="122" t="s">
        <v>445</v>
      </c>
      <c r="Q10" s="119">
        <f t="shared" si="1"/>
        <v>2288.3699999999994</v>
      </c>
      <c r="R10" s="643" t="s">
        <v>445</v>
      </c>
    </row>
    <row r="11" spans="1:22" x14ac:dyDescent="0.2">
      <c r="A11" s="49"/>
      <c r="B11" s="16"/>
      <c r="C11" s="16"/>
      <c r="D11" s="16"/>
      <c r="E11" s="20"/>
      <c r="F11" s="21"/>
      <c r="G11" s="20"/>
      <c r="H11" s="22">
        <f>IF(F11="s",(B11+(C11*G11))*D11+C11*B11*2,C11*G11*D11+B11*C11*2)</f>
        <v>0</v>
      </c>
      <c r="I11" s="70">
        <f>H11*E11</f>
        <v>0</v>
      </c>
      <c r="J11" s="70">
        <f>B11*C11*D11</f>
        <v>0</v>
      </c>
      <c r="K11" s="71">
        <f>J11*E11</f>
        <v>0</v>
      </c>
      <c r="L11" s="256" t="s">
        <v>127</v>
      </c>
      <c r="N11" s="119">
        <f t="shared" si="0"/>
        <v>12.26</v>
      </c>
      <c r="O11" s="122" t="s">
        <v>458</v>
      </c>
      <c r="Q11" s="119">
        <f t="shared" si="1"/>
        <v>115.58999999999999</v>
      </c>
      <c r="R11" s="643" t="s">
        <v>458</v>
      </c>
    </row>
    <row r="12" spans="1:22" x14ac:dyDescent="0.2">
      <c r="A12" s="117" t="s">
        <v>424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7"/>
      <c r="L12" s="257"/>
      <c r="N12" s="119">
        <f t="shared" si="0"/>
        <v>12.459999999999999</v>
      </c>
      <c r="O12" s="122" t="s">
        <v>475</v>
      </c>
      <c r="Q12" s="119">
        <f t="shared" si="1"/>
        <v>111.53999999999999</v>
      </c>
      <c r="R12" s="643" t="s">
        <v>475</v>
      </c>
    </row>
    <row r="13" spans="1:22" x14ac:dyDescent="0.2">
      <c r="A13" s="50" t="s">
        <v>390</v>
      </c>
      <c r="B13" s="16"/>
      <c r="C13" s="16"/>
      <c r="D13" s="16"/>
      <c r="E13" s="51"/>
      <c r="F13" s="21" t="s">
        <v>12</v>
      </c>
      <c r="G13" s="20">
        <v>2</v>
      </c>
      <c r="H13" s="22">
        <f t="shared" ref="H13:H23" si="2">IF(F13="s",(B13+(C13*G13))*D13+C13*B13*2,C13*G13*D13+B13*C13*2)</f>
        <v>0</v>
      </c>
      <c r="I13" s="634">
        <v>23.17</v>
      </c>
      <c r="J13" s="23">
        <f t="shared" ref="J13:J23" si="3">B13*C13*D13</f>
        <v>0</v>
      </c>
      <c r="K13" s="635">
        <v>2.5499999999999998</v>
      </c>
      <c r="L13" s="256" t="s">
        <v>409</v>
      </c>
      <c r="N13" s="123">
        <f>SUM(N6:N12)</f>
        <v>513.1400000000001</v>
      </c>
      <c r="O13" s="141" t="str">
        <f>IF(K104=N13,"OK","Conferir")</f>
        <v>OK</v>
      </c>
      <c r="Q13" s="123">
        <f>SUM(Q6:Q12)</f>
        <v>3732.5999999999995</v>
      </c>
      <c r="R13" s="141" t="str">
        <f>IF(I104=Q13,"OK","Conferir")</f>
        <v>OK</v>
      </c>
    </row>
    <row r="14" spans="1:22" x14ac:dyDescent="0.2">
      <c r="A14" s="50" t="s">
        <v>391</v>
      </c>
      <c r="B14" s="16"/>
      <c r="C14" s="16"/>
      <c r="D14" s="16"/>
      <c r="E14" s="51"/>
      <c r="F14" s="21" t="s">
        <v>12</v>
      </c>
      <c r="G14" s="20">
        <v>2</v>
      </c>
      <c r="H14" s="22">
        <f t="shared" si="2"/>
        <v>0</v>
      </c>
      <c r="I14" s="634">
        <v>13.87</v>
      </c>
      <c r="J14" s="23">
        <f t="shared" si="3"/>
        <v>0</v>
      </c>
      <c r="K14" s="635">
        <v>1.48</v>
      </c>
      <c r="L14" s="256" t="s">
        <v>409</v>
      </c>
    </row>
    <row r="15" spans="1:22" x14ac:dyDescent="0.2">
      <c r="A15" s="50" t="s">
        <v>392</v>
      </c>
      <c r="B15" s="16"/>
      <c r="C15" s="16"/>
      <c r="D15" s="16"/>
      <c r="E15" s="51"/>
      <c r="F15" s="21" t="s">
        <v>12</v>
      </c>
      <c r="G15" s="20">
        <v>2</v>
      </c>
      <c r="H15" s="22">
        <f t="shared" si="2"/>
        <v>0</v>
      </c>
      <c r="I15" s="634">
        <v>14.12</v>
      </c>
      <c r="J15" s="23">
        <f t="shared" si="3"/>
        <v>0</v>
      </c>
      <c r="K15" s="635">
        <v>1.53</v>
      </c>
      <c r="L15" s="256" t="s">
        <v>409</v>
      </c>
    </row>
    <row r="16" spans="1:22" x14ac:dyDescent="0.2">
      <c r="A16" s="50" t="s">
        <v>393</v>
      </c>
      <c r="B16" s="16"/>
      <c r="C16" s="16"/>
      <c r="D16" s="16"/>
      <c r="E16" s="51"/>
      <c r="F16" s="21" t="s">
        <v>12</v>
      </c>
      <c r="G16" s="20">
        <v>2</v>
      </c>
      <c r="H16" s="22">
        <f t="shared" si="2"/>
        <v>0</v>
      </c>
      <c r="I16" s="634">
        <v>16.809999999999999</v>
      </c>
      <c r="J16" s="23">
        <f t="shared" si="3"/>
        <v>0</v>
      </c>
      <c r="K16" s="635">
        <v>4.2</v>
      </c>
      <c r="L16" s="256" t="s">
        <v>409</v>
      </c>
    </row>
    <row r="17" spans="1:12" x14ac:dyDescent="0.2">
      <c r="A17" s="50" t="s">
        <v>394</v>
      </c>
      <c r="B17" s="16"/>
      <c r="C17" s="16"/>
      <c r="D17" s="16"/>
      <c r="E17" s="51"/>
      <c r="F17" s="21" t="s">
        <v>12</v>
      </c>
      <c r="G17" s="20">
        <v>2</v>
      </c>
      <c r="H17" s="22">
        <f t="shared" si="2"/>
        <v>0</v>
      </c>
      <c r="I17" s="634">
        <v>26.19</v>
      </c>
      <c r="J17" s="23">
        <f t="shared" si="3"/>
        <v>0</v>
      </c>
      <c r="K17" s="635">
        <v>4.34</v>
      </c>
      <c r="L17" s="256" t="s">
        <v>409</v>
      </c>
    </row>
    <row r="18" spans="1:12" x14ac:dyDescent="0.2">
      <c r="A18" s="50" t="s">
        <v>395</v>
      </c>
      <c r="B18" s="16"/>
      <c r="C18" s="16"/>
      <c r="D18" s="16"/>
      <c r="E18" s="51"/>
      <c r="F18" s="21" t="s">
        <v>12</v>
      </c>
      <c r="G18" s="20">
        <v>2</v>
      </c>
      <c r="H18" s="22">
        <f t="shared" si="2"/>
        <v>0</v>
      </c>
      <c r="I18" s="634">
        <v>23.51</v>
      </c>
      <c r="J18" s="23">
        <f t="shared" si="3"/>
        <v>0</v>
      </c>
      <c r="K18" s="635">
        <v>2.75</v>
      </c>
      <c r="L18" s="256" t="s">
        <v>409</v>
      </c>
    </row>
    <row r="19" spans="1:12" x14ac:dyDescent="0.2">
      <c r="A19" s="50" t="s">
        <v>396</v>
      </c>
      <c r="B19" s="16"/>
      <c r="C19" s="16"/>
      <c r="D19" s="16"/>
      <c r="E19" s="51"/>
      <c r="F19" s="21" t="s">
        <v>12</v>
      </c>
      <c r="G19" s="20">
        <v>2</v>
      </c>
      <c r="H19" s="22">
        <f t="shared" si="2"/>
        <v>0</v>
      </c>
      <c r="I19" s="634">
        <v>15.99</v>
      </c>
      <c r="J19" s="23">
        <f t="shared" si="3"/>
        <v>0</v>
      </c>
      <c r="K19" s="635">
        <v>3.71</v>
      </c>
      <c r="L19" s="256" t="s">
        <v>409</v>
      </c>
    </row>
    <row r="20" spans="1:12" x14ac:dyDescent="0.2">
      <c r="A20" s="50" t="s">
        <v>397</v>
      </c>
      <c r="B20" s="16"/>
      <c r="C20" s="16"/>
      <c r="D20" s="16"/>
      <c r="E20" s="51"/>
      <c r="F20" s="21" t="s">
        <v>12</v>
      </c>
      <c r="G20" s="20">
        <v>2</v>
      </c>
      <c r="H20" s="22">
        <f t="shared" si="2"/>
        <v>0</v>
      </c>
      <c r="I20" s="634">
        <v>11.62</v>
      </c>
      <c r="J20" s="23">
        <f t="shared" si="3"/>
        <v>0</v>
      </c>
      <c r="K20" s="635">
        <v>2.27</v>
      </c>
      <c r="L20" s="256" t="s">
        <v>409</v>
      </c>
    </row>
    <row r="21" spans="1:12" x14ac:dyDescent="0.2">
      <c r="A21" s="50" t="s">
        <v>398</v>
      </c>
      <c r="B21" s="16"/>
      <c r="C21" s="16"/>
      <c r="D21" s="16"/>
      <c r="E21" s="51"/>
      <c r="F21" s="21" t="s">
        <v>12</v>
      </c>
      <c r="G21" s="20">
        <v>2</v>
      </c>
      <c r="H21" s="22">
        <f t="shared" si="2"/>
        <v>0</v>
      </c>
      <c r="I21" s="634">
        <v>15.41</v>
      </c>
      <c r="J21" s="23">
        <f t="shared" si="3"/>
        <v>0</v>
      </c>
      <c r="K21" s="635">
        <v>2.1</v>
      </c>
      <c r="L21" s="256" t="s">
        <v>409</v>
      </c>
    </row>
    <row r="22" spans="1:12" x14ac:dyDescent="0.2">
      <c r="A22" s="50" t="s">
        <v>399</v>
      </c>
      <c r="B22" s="16"/>
      <c r="C22" s="16"/>
      <c r="D22" s="16"/>
      <c r="E22" s="51"/>
      <c r="F22" s="21" t="s">
        <v>12</v>
      </c>
      <c r="G22" s="20">
        <v>2</v>
      </c>
      <c r="H22" s="22">
        <f t="shared" si="2"/>
        <v>0</v>
      </c>
      <c r="I22" s="634">
        <v>18.399999999999999</v>
      </c>
      <c r="J22" s="23">
        <f t="shared" si="3"/>
        <v>0</v>
      </c>
      <c r="K22" s="635">
        <v>1.87</v>
      </c>
      <c r="L22" s="256" t="s">
        <v>409</v>
      </c>
    </row>
    <row r="23" spans="1:12" x14ac:dyDescent="0.2">
      <c r="A23" s="50" t="s">
        <v>421</v>
      </c>
      <c r="B23" s="16"/>
      <c r="C23" s="16"/>
      <c r="D23" s="16"/>
      <c r="E23" s="51"/>
      <c r="F23" s="21" t="s">
        <v>12</v>
      </c>
      <c r="G23" s="20">
        <v>2</v>
      </c>
      <c r="H23" s="22">
        <f t="shared" si="2"/>
        <v>0</v>
      </c>
      <c r="I23" s="634">
        <f>18.93+16.25</f>
        <v>35.18</v>
      </c>
      <c r="J23" s="23">
        <f t="shared" si="3"/>
        <v>0</v>
      </c>
      <c r="K23" s="635">
        <f>2.14+1.83</f>
        <v>3.97</v>
      </c>
      <c r="L23" s="256" t="s">
        <v>409</v>
      </c>
    </row>
    <row r="24" spans="1:12" x14ac:dyDescent="0.2">
      <c r="A24" s="117" t="s">
        <v>422</v>
      </c>
      <c r="B24" s="106"/>
      <c r="C24" s="106"/>
      <c r="D24" s="106"/>
      <c r="E24" s="106"/>
      <c r="F24" s="106"/>
      <c r="G24" s="106"/>
      <c r="H24" s="106"/>
      <c r="I24" s="106"/>
      <c r="J24" s="106"/>
      <c r="K24" s="107"/>
      <c r="L24" s="257"/>
    </row>
    <row r="25" spans="1:12" x14ac:dyDescent="0.2">
      <c r="A25" s="50" t="s">
        <v>390</v>
      </c>
      <c r="B25" s="16"/>
      <c r="C25" s="16"/>
      <c r="D25" s="16"/>
      <c r="E25" s="51"/>
      <c r="F25" s="21" t="s">
        <v>12</v>
      </c>
      <c r="G25" s="20">
        <v>2</v>
      </c>
      <c r="H25" s="22">
        <f t="shared" ref="H25:H35" si="4">IF(F25="s",(B25+(C25*G25))*D25+C25*B25*2,C25*G25*D25+B25*C25*2)</f>
        <v>0</v>
      </c>
      <c r="I25" s="634">
        <v>23.17</v>
      </c>
      <c r="J25" s="23">
        <f t="shared" ref="J25:J35" si="5">B25*C25*D25</f>
        <v>0</v>
      </c>
      <c r="K25" s="635">
        <v>2.5499999999999998</v>
      </c>
      <c r="L25" s="256" t="s">
        <v>410</v>
      </c>
    </row>
    <row r="26" spans="1:12" x14ac:dyDescent="0.2">
      <c r="A26" s="50" t="s">
        <v>391</v>
      </c>
      <c r="B26" s="16"/>
      <c r="C26" s="16"/>
      <c r="D26" s="16"/>
      <c r="E26" s="51"/>
      <c r="F26" s="21" t="s">
        <v>12</v>
      </c>
      <c r="G26" s="20">
        <v>2</v>
      </c>
      <c r="H26" s="22">
        <f t="shared" si="4"/>
        <v>0</v>
      </c>
      <c r="I26" s="634">
        <v>13.87</v>
      </c>
      <c r="J26" s="23">
        <f t="shared" si="5"/>
        <v>0</v>
      </c>
      <c r="K26" s="635">
        <v>1.48</v>
      </c>
      <c r="L26" s="256" t="s">
        <v>410</v>
      </c>
    </row>
    <row r="27" spans="1:12" x14ac:dyDescent="0.2">
      <c r="A27" s="50" t="s">
        <v>392</v>
      </c>
      <c r="B27" s="16"/>
      <c r="C27" s="16"/>
      <c r="D27" s="16"/>
      <c r="E27" s="51"/>
      <c r="F27" s="21" t="s">
        <v>12</v>
      </c>
      <c r="G27" s="20">
        <v>2</v>
      </c>
      <c r="H27" s="22">
        <f t="shared" si="4"/>
        <v>0</v>
      </c>
      <c r="I27" s="634">
        <v>14.12</v>
      </c>
      <c r="J27" s="23">
        <f t="shared" si="5"/>
        <v>0</v>
      </c>
      <c r="K27" s="635">
        <v>1.53</v>
      </c>
      <c r="L27" s="256" t="s">
        <v>410</v>
      </c>
    </row>
    <row r="28" spans="1:12" x14ac:dyDescent="0.2">
      <c r="A28" s="50" t="s">
        <v>393</v>
      </c>
      <c r="B28" s="16"/>
      <c r="C28" s="16"/>
      <c r="D28" s="16"/>
      <c r="E28" s="51"/>
      <c r="F28" s="21" t="s">
        <v>12</v>
      </c>
      <c r="G28" s="20">
        <v>2</v>
      </c>
      <c r="H28" s="22">
        <f t="shared" si="4"/>
        <v>0</v>
      </c>
      <c r="I28" s="634">
        <v>16.809999999999999</v>
      </c>
      <c r="J28" s="23">
        <f t="shared" si="5"/>
        <v>0</v>
      </c>
      <c r="K28" s="635">
        <v>4.2</v>
      </c>
      <c r="L28" s="256" t="s">
        <v>410</v>
      </c>
    </row>
    <row r="29" spans="1:12" x14ac:dyDescent="0.2">
      <c r="A29" s="50" t="s">
        <v>394</v>
      </c>
      <c r="B29" s="16"/>
      <c r="C29" s="16"/>
      <c r="D29" s="16"/>
      <c r="E29" s="51"/>
      <c r="F29" s="21" t="s">
        <v>12</v>
      </c>
      <c r="G29" s="20">
        <v>2</v>
      </c>
      <c r="H29" s="22">
        <f t="shared" si="4"/>
        <v>0</v>
      </c>
      <c r="I29" s="634">
        <v>26.19</v>
      </c>
      <c r="J29" s="23">
        <f t="shared" si="5"/>
        <v>0</v>
      </c>
      <c r="K29" s="635">
        <v>4.34</v>
      </c>
      <c r="L29" s="256" t="s">
        <v>410</v>
      </c>
    </row>
    <row r="30" spans="1:12" x14ac:dyDescent="0.2">
      <c r="A30" s="50" t="s">
        <v>395</v>
      </c>
      <c r="B30" s="16"/>
      <c r="C30" s="16"/>
      <c r="D30" s="16"/>
      <c r="E30" s="51"/>
      <c r="F30" s="21" t="s">
        <v>12</v>
      </c>
      <c r="G30" s="20">
        <v>2</v>
      </c>
      <c r="H30" s="22">
        <f t="shared" si="4"/>
        <v>0</v>
      </c>
      <c r="I30" s="634">
        <v>23.51</v>
      </c>
      <c r="J30" s="23">
        <f t="shared" si="5"/>
        <v>0</v>
      </c>
      <c r="K30" s="635">
        <v>2.75</v>
      </c>
      <c r="L30" s="256" t="s">
        <v>410</v>
      </c>
    </row>
    <row r="31" spans="1:12" x14ac:dyDescent="0.2">
      <c r="A31" s="50" t="s">
        <v>396</v>
      </c>
      <c r="B31" s="16"/>
      <c r="C31" s="16"/>
      <c r="D31" s="16"/>
      <c r="E31" s="51"/>
      <c r="F31" s="21" t="s">
        <v>12</v>
      </c>
      <c r="G31" s="20">
        <v>2</v>
      </c>
      <c r="H31" s="22">
        <f t="shared" si="4"/>
        <v>0</v>
      </c>
      <c r="I31" s="634">
        <v>15.99</v>
      </c>
      <c r="J31" s="23">
        <f t="shared" si="5"/>
        <v>0</v>
      </c>
      <c r="K31" s="635">
        <v>3.71</v>
      </c>
      <c r="L31" s="256" t="s">
        <v>410</v>
      </c>
    </row>
    <row r="32" spans="1:12" x14ac:dyDescent="0.2">
      <c r="A32" s="50" t="s">
        <v>397</v>
      </c>
      <c r="B32" s="16"/>
      <c r="C32" s="16"/>
      <c r="D32" s="16"/>
      <c r="E32" s="51"/>
      <c r="F32" s="21" t="s">
        <v>12</v>
      </c>
      <c r="G32" s="20">
        <v>2</v>
      </c>
      <c r="H32" s="22">
        <f t="shared" si="4"/>
        <v>0</v>
      </c>
      <c r="I32" s="634">
        <v>11.62</v>
      </c>
      <c r="J32" s="23">
        <f t="shared" si="5"/>
        <v>0</v>
      </c>
      <c r="K32" s="635">
        <v>2.27</v>
      </c>
      <c r="L32" s="256" t="s">
        <v>410</v>
      </c>
    </row>
    <row r="33" spans="1:13" x14ac:dyDescent="0.2">
      <c r="A33" s="50" t="s">
        <v>398</v>
      </c>
      <c r="B33" s="16"/>
      <c r="C33" s="16"/>
      <c r="D33" s="16"/>
      <c r="E33" s="51"/>
      <c r="F33" s="21" t="s">
        <v>12</v>
      </c>
      <c r="G33" s="20">
        <v>2</v>
      </c>
      <c r="H33" s="22">
        <f t="shared" si="4"/>
        <v>0</v>
      </c>
      <c r="I33" s="634">
        <v>15.41</v>
      </c>
      <c r="J33" s="23">
        <f t="shared" si="5"/>
        <v>0</v>
      </c>
      <c r="K33" s="635">
        <v>2.1</v>
      </c>
      <c r="L33" s="256" t="s">
        <v>410</v>
      </c>
    </row>
    <row r="34" spans="1:13" x14ac:dyDescent="0.2">
      <c r="A34" s="50" t="s">
        <v>399</v>
      </c>
      <c r="B34" s="16"/>
      <c r="C34" s="16"/>
      <c r="D34" s="16"/>
      <c r="E34" s="51"/>
      <c r="F34" s="21" t="s">
        <v>12</v>
      </c>
      <c r="G34" s="20">
        <v>2</v>
      </c>
      <c r="H34" s="22">
        <f t="shared" si="4"/>
        <v>0</v>
      </c>
      <c r="I34" s="634">
        <v>18.399999999999999</v>
      </c>
      <c r="J34" s="23">
        <f t="shared" si="5"/>
        <v>0</v>
      </c>
      <c r="K34" s="635">
        <v>1.87</v>
      </c>
      <c r="L34" s="256" t="s">
        <v>410</v>
      </c>
    </row>
    <row r="35" spans="1:13" x14ac:dyDescent="0.2">
      <c r="A35" s="50" t="s">
        <v>430</v>
      </c>
      <c r="B35" s="16"/>
      <c r="C35" s="16"/>
      <c r="D35" s="16"/>
      <c r="E35" s="20"/>
      <c r="F35" s="21" t="s">
        <v>12</v>
      </c>
      <c r="G35" s="20">
        <v>2</v>
      </c>
      <c r="H35" s="22">
        <f t="shared" si="4"/>
        <v>0</v>
      </c>
      <c r="I35" s="634">
        <v>25.02</v>
      </c>
      <c r="J35" s="23">
        <f t="shared" si="5"/>
        <v>0</v>
      </c>
      <c r="K35" s="635">
        <v>2.76</v>
      </c>
      <c r="L35" s="256" t="s">
        <v>410</v>
      </c>
    </row>
    <row r="36" spans="1:13" x14ac:dyDescent="0.2">
      <c r="A36" s="117" t="s">
        <v>423</v>
      </c>
      <c r="B36" s="106"/>
      <c r="C36" s="106"/>
      <c r="D36" s="106"/>
      <c r="E36" s="106"/>
      <c r="F36" s="106"/>
      <c r="G36" s="106"/>
      <c r="H36" s="106"/>
      <c r="I36" s="106"/>
      <c r="J36" s="106"/>
      <c r="K36" s="107"/>
      <c r="L36" s="257"/>
    </row>
    <row r="37" spans="1:13" x14ac:dyDescent="0.2">
      <c r="A37" s="50" t="s">
        <v>390</v>
      </c>
      <c r="B37" s="16"/>
      <c r="C37" s="16"/>
      <c r="D37" s="16"/>
      <c r="E37" s="51"/>
      <c r="F37" s="21" t="s">
        <v>12</v>
      </c>
      <c r="G37" s="20">
        <v>2</v>
      </c>
      <c r="H37" s="22">
        <f t="shared" ref="H37:H47" si="6">IF(F37="s",(B37+(C37*G37))*D37+C37*B37*2,C37*G37*D37+B37*C37*2)</f>
        <v>0</v>
      </c>
      <c r="I37" s="634">
        <v>23.17</v>
      </c>
      <c r="J37" s="23">
        <f t="shared" ref="J37:J47" si="7">B37*C37*D37</f>
        <v>0</v>
      </c>
      <c r="K37" s="635">
        <v>2.5499999999999998</v>
      </c>
      <c r="L37" s="256" t="s">
        <v>431</v>
      </c>
    </row>
    <row r="38" spans="1:13" x14ac:dyDescent="0.2">
      <c r="A38" s="50" t="s">
        <v>391</v>
      </c>
      <c r="B38" s="16"/>
      <c r="C38" s="16"/>
      <c r="D38" s="16"/>
      <c r="E38" s="51"/>
      <c r="F38" s="21" t="s">
        <v>12</v>
      </c>
      <c r="G38" s="20">
        <v>2</v>
      </c>
      <c r="H38" s="22">
        <f t="shared" si="6"/>
        <v>0</v>
      </c>
      <c r="I38" s="634">
        <v>13.87</v>
      </c>
      <c r="J38" s="23">
        <f t="shared" si="7"/>
        <v>0</v>
      </c>
      <c r="K38" s="635">
        <v>1.48</v>
      </c>
      <c r="L38" s="256" t="s">
        <v>431</v>
      </c>
    </row>
    <row r="39" spans="1:13" x14ac:dyDescent="0.2">
      <c r="A39" s="50" t="s">
        <v>392</v>
      </c>
      <c r="B39" s="16"/>
      <c r="C39" s="16"/>
      <c r="D39" s="16"/>
      <c r="E39" s="51"/>
      <c r="F39" s="21" t="s">
        <v>12</v>
      </c>
      <c r="G39" s="20">
        <v>2</v>
      </c>
      <c r="H39" s="22">
        <f t="shared" si="6"/>
        <v>0</v>
      </c>
      <c r="I39" s="634">
        <v>14.12</v>
      </c>
      <c r="J39" s="23">
        <f t="shared" si="7"/>
        <v>0</v>
      </c>
      <c r="K39" s="635">
        <v>1.53</v>
      </c>
      <c r="L39" s="256" t="s">
        <v>431</v>
      </c>
    </row>
    <row r="40" spans="1:13" x14ac:dyDescent="0.2">
      <c r="A40" s="50" t="s">
        <v>393</v>
      </c>
      <c r="B40" s="16"/>
      <c r="C40" s="16"/>
      <c r="D40" s="16"/>
      <c r="E40" s="51"/>
      <c r="F40" s="21" t="s">
        <v>12</v>
      </c>
      <c r="G40" s="20">
        <v>2</v>
      </c>
      <c r="H40" s="22">
        <f t="shared" si="6"/>
        <v>0</v>
      </c>
      <c r="I40" s="634">
        <v>16.809999999999999</v>
      </c>
      <c r="J40" s="23">
        <f t="shared" si="7"/>
        <v>0</v>
      </c>
      <c r="K40" s="635">
        <v>4.2</v>
      </c>
      <c r="L40" s="256" t="s">
        <v>431</v>
      </c>
    </row>
    <row r="41" spans="1:13" x14ac:dyDescent="0.2">
      <c r="A41" s="50" t="s">
        <v>394</v>
      </c>
      <c r="B41" s="16"/>
      <c r="C41" s="16"/>
      <c r="D41" s="16"/>
      <c r="E41" s="51"/>
      <c r="F41" s="21" t="s">
        <v>12</v>
      </c>
      <c r="G41" s="20">
        <v>2</v>
      </c>
      <c r="H41" s="22">
        <f t="shared" si="6"/>
        <v>0</v>
      </c>
      <c r="I41" s="634">
        <v>26.19</v>
      </c>
      <c r="J41" s="23">
        <f t="shared" si="7"/>
        <v>0</v>
      </c>
      <c r="K41" s="635">
        <v>4.34</v>
      </c>
      <c r="L41" s="256" t="s">
        <v>431</v>
      </c>
    </row>
    <row r="42" spans="1:13" x14ac:dyDescent="0.2">
      <c r="A42" s="50" t="s">
        <v>395</v>
      </c>
      <c r="B42" s="16"/>
      <c r="C42" s="16"/>
      <c r="D42" s="16"/>
      <c r="E42" s="51"/>
      <c r="F42" s="21" t="s">
        <v>12</v>
      </c>
      <c r="G42" s="20">
        <v>2</v>
      </c>
      <c r="H42" s="22">
        <f t="shared" si="6"/>
        <v>0</v>
      </c>
      <c r="I42" s="634">
        <v>23.51</v>
      </c>
      <c r="J42" s="23">
        <f t="shared" si="7"/>
        <v>0</v>
      </c>
      <c r="K42" s="635">
        <v>2.75</v>
      </c>
      <c r="L42" s="256" t="s">
        <v>431</v>
      </c>
    </row>
    <row r="43" spans="1:13" x14ac:dyDescent="0.2">
      <c r="A43" s="50" t="s">
        <v>396</v>
      </c>
      <c r="B43" s="16"/>
      <c r="C43" s="16"/>
      <c r="D43" s="16"/>
      <c r="E43" s="51"/>
      <c r="F43" s="21" t="s">
        <v>12</v>
      </c>
      <c r="G43" s="20">
        <v>2</v>
      </c>
      <c r="H43" s="22">
        <f t="shared" si="6"/>
        <v>0</v>
      </c>
      <c r="I43" s="634">
        <v>15.99</v>
      </c>
      <c r="J43" s="23">
        <f t="shared" si="7"/>
        <v>0</v>
      </c>
      <c r="K43" s="635">
        <v>3.71</v>
      </c>
      <c r="L43" s="256" t="s">
        <v>431</v>
      </c>
    </row>
    <row r="44" spans="1:13" x14ac:dyDescent="0.2">
      <c r="A44" s="50" t="s">
        <v>397</v>
      </c>
      <c r="B44" s="16"/>
      <c r="C44" s="16"/>
      <c r="D44" s="16"/>
      <c r="E44" s="51"/>
      <c r="F44" s="21" t="s">
        <v>12</v>
      </c>
      <c r="G44" s="20">
        <v>2</v>
      </c>
      <c r="H44" s="22">
        <f t="shared" si="6"/>
        <v>0</v>
      </c>
      <c r="I44" s="634">
        <v>11.62</v>
      </c>
      <c r="J44" s="23">
        <f t="shared" si="7"/>
        <v>0</v>
      </c>
      <c r="K44" s="635">
        <v>2.27</v>
      </c>
      <c r="L44" s="256" t="s">
        <v>431</v>
      </c>
    </row>
    <row r="45" spans="1:13" x14ac:dyDescent="0.2">
      <c r="A45" s="50" t="s">
        <v>398</v>
      </c>
      <c r="B45" s="16"/>
      <c r="C45" s="16"/>
      <c r="D45" s="16"/>
      <c r="E45" s="51"/>
      <c r="F45" s="21" t="s">
        <v>12</v>
      </c>
      <c r="G45" s="20">
        <v>2</v>
      </c>
      <c r="H45" s="22">
        <f t="shared" si="6"/>
        <v>0</v>
      </c>
      <c r="I45" s="634">
        <v>15.41</v>
      </c>
      <c r="J45" s="23">
        <f t="shared" si="7"/>
        <v>0</v>
      </c>
      <c r="K45" s="635">
        <v>2.1</v>
      </c>
      <c r="L45" s="256" t="s">
        <v>431</v>
      </c>
    </row>
    <row r="46" spans="1:13" x14ac:dyDescent="0.2">
      <c r="A46" s="50" t="s">
        <v>399</v>
      </c>
      <c r="B46" s="16"/>
      <c r="C46" s="16"/>
      <c r="D46" s="16"/>
      <c r="E46" s="51"/>
      <c r="F46" s="21" t="s">
        <v>12</v>
      </c>
      <c r="G46" s="20">
        <v>2</v>
      </c>
      <c r="H46" s="22">
        <f t="shared" si="6"/>
        <v>0</v>
      </c>
      <c r="I46" s="634">
        <v>18.399999999999999</v>
      </c>
      <c r="J46" s="23">
        <f t="shared" si="7"/>
        <v>0</v>
      </c>
      <c r="K46" s="635">
        <v>1.87</v>
      </c>
      <c r="L46" s="256" t="s">
        <v>431</v>
      </c>
    </row>
    <row r="47" spans="1:13" x14ac:dyDescent="0.2">
      <c r="A47" s="50" t="s">
        <v>430</v>
      </c>
      <c r="B47" s="16"/>
      <c r="C47" s="16"/>
      <c r="D47" s="16"/>
      <c r="E47" s="20"/>
      <c r="F47" s="21" t="s">
        <v>12</v>
      </c>
      <c r="G47" s="20">
        <v>2</v>
      </c>
      <c r="H47" s="22">
        <f t="shared" si="6"/>
        <v>0</v>
      </c>
      <c r="I47" s="634">
        <v>25.02</v>
      </c>
      <c r="J47" s="23">
        <f t="shared" si="7"/>
        <v>0</v>
      </c>
      <c r="K47" s="635">
        <v>2.76</v>
      </c>
      <c r="L47" s="256" t="s">
        <v>431</v>
      </c>
    </row>
    <row r="48" spans="1:13" x14ac:dyDescent="0.2">
      <c r="A48" s="50"/>
      <c r="B48" s="16"/>
      <c r="C48" s="16"/>
      <c r="D48" s="16"/>
      <c r="E48" s="20"/>
      <c r="F48" s="21"/>
      <c r="G48" s="20"/>
      <c r="H48" s="22"/>
      <c r="I48" s="23"/>
      <c r="J48" s="23"/>
      <c r="K48" s="24"/>
      <c r="L48" s="256"/>
      <c r="M48" s="43"/>
    </row>
    <row r="49" spans="1:12" x14ac:dyDescent="0.2">
      <c r="A49" s="117" t="s">
        <v>229</v>
      </c>
      <c r="B49" s="106"/>
      <c r="C49" s="106"/>
      <c r="D49" s="106"/>
      <c r="E49" s="106"/>
      <c r="F49" s="106"/>
      <c r="G49" s="106"/>
      <c r="H49" s="106"/>
      <c r="I49" s="106"/>
      <c r="J49" s="106"/>
      <c r="K49" s="107"/>
      <c r="L49" s="257"/>
    </row>
    <row r="50" spans="1:12" x14ac:dyDescent="0.2">
      <c r="A50" s="50" t="s">
        <v>476</v>
      </c>
      <c r="B50" s="16"/>
      <c r="C50" s="16"/>
      <c r="D50" s="16"/>
      <c r="E50" s="51"/>
      <c r="F50" s="21" t="s">
        <v>12</v>
      </c>
      <c r="G50" s="20">
        <v>2</v>
      </c>
      <c r="H50" s="22">
        <f t="shared" ref="H50:H65" si="8">IF(F50="s",(B50+(C50*G50))*D50+C50*B50*2,C50*G50*D50+B50*C50*2)</f>
        <v>0</v>
      </c>
      <c r="I50" s="634">
        <v>22.66</v>
      </c>
      <c r="J50" s="23">
        <f t="shared" ref="J50:J65" si="9">B50*C50*D50</f>
        <v>0</v>
      </c>
      <c r="K50" s="635">
        <v>2.27</v>
      </c>
      <c r="L50" s="256" t="s">
        <v>474</v>
      </c>
    </row>
    <row r="51" spans="1:12" x14ac:dyDescent="0.2">
      <c r="A51" s="50" t="s">
        <v>477</v>
      </c>
      <c r="B51" s="16"/>
      <c r="C51" s="16"/>
      <c r="D51" s="16"/>
      <c r="E51" s="51"/>
      <c r="F51" s="21" t="s">
        <v>12</v>
      </c>
      <c r="G51" s="20">
        <v>2</v>
      </c>
      <c r="H51" s="22">
        <f t="shared" si="8"/>
        <v>0</v>
      </c>
      <c r="I51" s="634">
        <v>31.46</v>
      </c>
      <c r="J51" s="23">
        <f t="shared" si="9"/>
        <v>0</v>
      </c>
      <c r="K51" s="635">
        <v>11.94</v>
      </c>
      <c r="L51" s="256" t="s">
        <v>474</v>
      </c>
    </row>
    <row r="52" spans="1:12" x14ac:dyDescent="0.2">
      <c r="A52" s="50" t="s">
        <v>478</v>
      </c>
      <c r="B52" s="16"/>
      <c r="C52" s="16"/>
      <c r="D52" s="16"/>
      <c r="E52" s="51"/>
      <c r="F52" s="21" t="s">
        <v>12</v>
      </c>
      <c r="G52" s="20">
        <v>2</v>
      </c>
      <c r="H52" s="22">
        <f t="shared" si="8"/>
        <v>0</v>
      </c>
      <c r="I52" s="634">
        <v>16.55</v>
      </c>
      <c r="J52" s="23">
        <f t="shared" si="9"/>
        <v>0</v>
      </c>
      <c r="K52" s="635">
        <v>1.56</v>
      </c>
      <c r="L52" s="256" t="s">
        <v>474</v>
      </c>
    </row>
    <row r="53" spans="1:12" x14ac:dyDescent="0.2">
      <c r="A53" s="50" t="s">
        <v>479</v>
      </c>
      <c r="B53" s="16"/>
      <c r="C53" s="16"/>
      <c r="D53" s="16"/>
      <c r="E53" s="51"/>
      <c r="F53" s="21" t="s">
        <v>12</v>
      </c>
      <c r="G53" s="20">
        <v>2</v>
      </c>
      <c r="H53" s="22">
        <f t="shared" si="8"/>
        <v>0</v>
      </c>
      <c r="I53" s="634">
        <v>31.31</v>
      </c>
      <c r="J53" s="23">
        <f t="shared" si="9"/>
        <v>0</v>
      </c>
      <c r="K53" s="635">
        <v>11.74</v>
      </c>
      <c r="L53" s="256" t="s">
        <v>474</v>
      </c>
    </row>
    <row r="54" spans="1:12" x14ac:dyDescent="0.2">
      <c r="A54" s="50" t="s">
        <v>480</v>
      </c>
      <c r="B54" s="16"/>
      <c r="C54" s="16"/>
      <c r="D54" s="16"/>
      <c r="E54" s="51"/>
      <c r="F54" s="21" t="s">
        <v>12</v>
      </c>
      <c r="G54" s="20">
        <v>2</v>
      </c>
      <c r="H54" s="22">
        <f t="shared" si="8"/>
        <v>0</v>
      </c>
      <c r="I54" s="634">
        <v>27.37</v>
      </c>
      <c r="J54" s="23">
        <f t="shared" si="9"/>
        <v>0</v>
      </c>
      <c r="K54" s="635">
        <v>2.96</v>
      </c>
      <c r="L54" s="256" t="s">
        <v>474</v>
      </c>
    </row>
    <row r="55" spans="1:12" x14ac:dyDescent="0.2">
      <c r="A55" s="50" t="s">
        <v>481</v>
      </c>
      <c r="B55" s="16"/>
      <c r="C55" s="16"/>
      <c r="D55" s="16"/>
      <c r="E55" s="51"/>
      <c r="F55" s="21" t="s">
        <v>12</v>
      </c>
      <c r="G55" s="20">
        <v>2</v>
      </c>
      <c r="H55" s="22">
        <f t="shared" si="8"/>
        <v>0</v>
      </c>
      <c r="I55" s="634">
        <v>43.96</v>
      </c>
      <c r="J55" s="23">
        <f t="shared" si="9"/>
        <v>0</v>
      </c>
      <c r="K55" s="635">
        <v>17.420000000000002</v>
      </c>
      <c r="L55" s="256" t="s">
        <v>474</v>
      </c>
    </row>
    <row r="56" spans="1:12" x14ac:dyDescent="0.2">
      <c r="A56" s="50" t="s">
        <v>482</v>
      </c>
      <c r="B56" s="16"/>
      <c r="C56" s="16"/>
      <c r="D56" s="16"/>
      <c r="E56" s="51"/>
      <c r="F56" s="21" t="s">
        <v>12</v>
      </c>
      <c r="G56" s="20">
        <v>2</v>
      </c>
      <c r="H56" s="22">
        <f t="shared" si="8"/>
        <v>0</v>
      </c>
      <c r="I56" s="634">
        <v>17.86</v>
      </c>
      <c r="J56" s="23">
        <f t="shared" si="9"/>
        <v>0</v>
      </c>
      <c r="K56" s="635">
        <v>2.11</v>
      </c>
      <c r="L56" s="256" t="s">
        <v>474</v>
      </c>
    </row>
    <row r="57" spans="1:12" x14ac:dyDescent="0.2">
      <c r="A57" s="50" t="s">
        <v>483</v>
      </c>
      <c r="B57" s="16"/>
      <c r="C57" s="16"/>
      <c r="D57" s="16"/>
      <c r="E57" s="51"/>
      <c r="F57" s="21" t="s">
        <v>12</v>
      </c>
      <c r="G57" s="20">
        <v>2</v>
      </c>
      <c r="H57" s="22">
        <f t="shared" si="8"/>
        <v>0</v>
      </c>
      <c r="I57" s="634">
        <v>64.53</v>
      </c>
      <c r="J57" s="23">
        <f t="shared" si="9"/>
        <v>0</v>
      </c>
      <c r="K57" s="635">
        <v>34.14</v>
      </c>
      <c r="L57" s="256" t="s">
        <v>474</v>
      </c>
    </row>
    <row r="58" spans="1:12" x14ac:dyDescent="0.2">
      <c r="A58" s="50" t="s">
        <v>484</v>
      </c>
      <c r="B58" s="16"/>
      <c r="C58" s="16"/>
      <c r="D58" s="16"/>
      <c r="E58" s="51"/>
      <c r="F58" s="21" t="s">
        <v>12</v>
      </c>
      <c r="G58" s="20">
        <v>2</v>
      </c>
      <c r="H58" s="22">
        <f t="shared" si="8"/>
        <v>0</v>
      </c>
      <c r="I58" s="634">
        <v>63.51</v>
      </c>
      <c r="J58" s="23">
        <f t="shared" si="9"/>
        <v>0</v>
      </c>
      <c r="K58" s="635">
        <v>29.19</v>
      </c>
      <c r="L58" s="256" t="s">
        <v>474</v>
      </c>
    </row>
    <row r="59" spans="1:12" x14ac:dyDescent="0.2">
      <c r="A59" s="50" t="s">
        <v>485</v>
      </c>
      <c r="B59" s="16"/>
      <c r="C59" s="16"/>
      <c r="D59" s="16"/>
      <c r="E59" s="51"/>
      <c r="F59" s="21" t="s">
        <v>12</v>
      </c>
      <c r="G59" s="20">
        <v>2</v>
      </c>
      <c r="H59" s="22">
        <f t="shared" si="8"/>
        <v>0</v>
      </c>
      <c r="I59" s="634">
        <v>27.81</v>
      </c>
      <c r="J59" s="23">
        <f t="shared" si="9"/>
        <v>0</v>
      </c>
      <c r="K59" s="635">
        <v>3.21</v>
      </c>
      <c r="L59" s="256" t="s">
        <v>474</v>
      </c>
    </row>
    <row r="60" spans="1:12" x14ac:dyDescent="0.2">
      <c r="A60" s="50" t="s">
        <v>486</v>
      </c>
      <c r="B60" s="16"/>
      <c r="C60" s="16"/>
      <c r="D60" s="16"/>
      <c r="E60" s="20"/>
      <c r="F60" s="21" t="s">
        <v>12</v>
      </c>
      <c r="G60" s="20">
        <v>2</v>
      </c>
      <c r="H60" s="22">
        <f t="shared" si="8"/>
        <v>0</v>
      </c>
      <c r="I60" s="634">
        <v>23.06</v>
      </c>
      <c r="J60" s="23">
        <f t="shared" si="9"/>
        <v>0</v>
      </c>
      <c r="K60" s="635">
        <v>2.4900000000000002</v>
      </c>
      <c r="L60" s="256" t="s">
        <v>474</v>
      </c>
    </row>
    <row r="61" spans="1:12" x14ac:dyDescent="0.2">
      <c r="A61" s="50" t="s">
        <v>487</v>
      </c>
      <c r="B61" s="16"/>
      <c r="C61" s="16"/>
      <c r="D61" s="16"/>
      <c r="E61" s="20"/>
      <c r="F61" s="21" t="s">
        <v>12</v>
      </c>
      <c r="G61" s="20">
        <v>2</v>
      </c>
      <c r="H61" s="22">
        <f>IF(F61="s",(B61+(C61*G61))*D61+C61*B61*2,C61*G61*D61+B61*C61*2)</f>
        <v>0</v>
      </c>
      <c r="I61" s="634">
        <v>34.92</v>
      </c>
      <c r="J61" s="23">
        <f>B61*C61*D61</f>
        <v>0</v>
      </c>
      <c r="K61" s="635">
        <v>14.56</v>
      </c>
      <c r="L61" s="256" t="s">
        <v>474</v>
      </c>
    </row>
    <row r="62" spans="1:12" x14ac:dyDescent="0.2">
      <c r="A62" s="50" t="s">
        <v>488</v>
      </c>
      <c r="B62" s="16"/>
      <c r="C62" s="16"/>
      <c r="D62" s="16"/>
      <c r="E62" s="20"/>
      <c r="F62" s="21" t="s">
        <v>12</v>
      </c>
      <c r="G62" s="20">
        <v>2</v>
      </c>
      <c r="H62" s="22">
        <f t="shared" si="8"/>
        <v>0</v>
      </c>
      <c r="I62" s="634">
        <v>34.4</v>
      </c>
      <c r="J62" s="23">
        <f t="shared" si="9"/>
        <v>0</v>
      </c>
      <c r="K62" s="635">
        <v>4.1900000000000004</v>
      </c>
      <c r="L62" s="256" t="s">
        <v>474</v>
      </c>
    </row>
    <row r="63" spans="1:12" x14ac:dyDescent="0.2">
      <c r="A63" s="50" t="s">
        <v>489</v>
      </c>
      <c r="B63" s="16"/>
      <c r="C63" s="16"/>
      <c r="D63" s="16"/>
      <c r="E63" s="20"/>
      <c r="F63" s="21" t="s">
        <v>12</v>
      </c>
      <c r="G63" s="20">
        <v>2</v>
      </c>
      <c r="H63" s="22">
        <f>IF(F63="s",(B63+(C63*G63))*D63+C63*B63*2,C63*G63*D63+B63*C63*2)</f>
        <v>0</v>
      </c>
      <c r="I63" s="634">
        <v>12.69</v>
      </c>
      <c r="J63" s="23">
        <f>B63*C63*D63</f>
        <v>0</v>
      </c>
      <c r="K63" s="635">
        <v>1.36</v>
      </c>
      <c r="L63" s="256" t="s">
        <v>474</v>
      </c>
    </row>
    <row r="64" spans="1:12" x14ac:dyDescent="0.2">
      <c r="A64" s="50" t="s">
        <v>490</v>
      </c>
      <c r="B64" s="16"/>
      <c r="C64" s="16"/>
      <c r="D64" s="16"/>
      <c r="E64" s="20"/>
      <c r="F64" s="21" t="s">
        <v>12</v>
      </c>
      <c r="G64" s="20">
        <v>2</v>
      </c>
      <c r="H64" s="22">
        <f t="shared" si="8"/>
        <v>0</v>
      </c>
      <c r="I64" s="634">
        <v>36.950000000000003</v>
      </c>
      <c r="J64" s="23">
        <f t="shared" si="9"/>
        <v>0</v>
      </c>
      <c r="K64" s="635">
        <v>4.3099999999999996</v>
      </c>
      <c r="L64" s="256" t="s">
        <v>474</v>
      </c>
    </row>
    <row r="65" spans="1:13" x14ac:dyDescent="0.2">
      <c r="A65" s="50" t="s">
        <v>491</v>
      </c>
      <c r="B65" s="16"/>
      <c r="C65" s="16"/>
      <c r="D65" s="16"/>
      <c r="E65" s="20"/>
      <c r="F65" s="21" t="s">
        <v>12</v>
      </c>
      <c r="G65" s="20">
        <v>2</v>
      </c>
      <c r="H65" s="22">
        <f t="shared" si="8"/>
        <v>0</v>
      </c>
      <c r="I65" s="634">
        <v>54.84</v>
      </c>
      <c r="J65" s="23">
        <f t="shared" si="9"/>
        <v>0</v>
      </c>
      <c r="K65" s="635">
        <v>5.83</v>
      </c>
      <c r="L65" s="256" t="s">
        <v>474</v>
      </c>
    </row>
    <row r="66" spans="1:13" x14ac:dyDescent="0.2">
      <c r="A66" s="50" t="s">
        <v>492</v>
      </c>
      <c r="B66" s="16"/>
      <c r="C66" s="16"/>
      <c r="D66" s="16"/>
      <c r="E66" s="20"/>
      <c r="F66" s="21" t="s">
        <v>12</v>
      </c>
      <c r="G66" s="20">
        <v>2</v>
      </c>
      <c r="H66" s="22">
        <f>IF(F66="s",(B66+(C66*G66))*D66+C66*B66*2,C66*G66*D66+B66*C66*2)</f>
        <v>0</v>
      </c>
      <c r="I66" s="634">
        <v>50.73</v>
      </c>
      <c r="J66" s="23">
        <f>B66*C66*D66</f>
        <v>0</v>
      </c>
      <c r="K66" s="635">
        <v>5.1100000000000003</v>
      </c>
      <c r="L66" s="256" t="s">
        <v>474</v>
      </c>
    </row>
    <row r="67" spans="1:13" x14ac:dyDescent="0.2">
      <c r="A67" s="50"/>
      <c r="B67" s="16"/>
      <c r="C67" s="16"/>
      <c r="D67" s="16"/>
      <c r="E67" s="20"/>
      <c r="F67" s="21"/>
      <c r="G67" s="20"/>
      <c r="H67" s="22"/>
      <c r="I67" s="23"/>
      <c r="J67" s="23"/>
      <c r="K67" s="24"/>
      <c r="L67" s="256"/>
      <c r="M67" s="43"/>
    </row>
    <row r="68" spans="1:13" x14ac:dyDescent="0.2">
      <c r="A68" s="117" t="s">
        <v>405</v>
      </c>
      <c r="B68" s="106"/>
      <c r="C68" s="106"/>
      <c r="D68" s="106"/>
      <c r="E68" s="106"/>
      <c r="F68" s="106"/>
      <c r="G68" s="106"/>
      <c r="H68" s="106"/>
      <c r="I68" s="106"/>
      <c r="J68" s="106"/>
      <c r="K68" s="107"/>
      <c r="L68" s="257"/>
    </row>
    <row r="69" spans="1:13" x14ac:dyDescent="0.2">
      <c r="A69" s="50" t="s">
        <v>495</v>
      </c>
      <c r="B69" s="16"/>
      <c r="C69" s="16"/>
      <c r="D69" s="16"/>
      <c r="E69" s="51"/>
      <c r="F69" s="21" t="s">
        <v>12</v>
      </c>
      <c r="G69" s="20">
        <v>2</v>
      </c>
      <c r="H69" s="22">
        <f t="shared" ref="H69:H74" si="10">IF(F69="s",(B69+(C69*G69))*D69+C69*B69*2,C69*G69*D69+B69*C69*2)</f>
        <v>0</v>
      </c>
      <c r="I69" s="634">
        <v>22.88</v>
      </c>
      <c r="J69" s="23">
        <f t="shared" ref="J69:J74" si="11">B69*C69*D69</f>
        <v>0</v>
      </c>
      <c r="K69" s="635">
        <v>1.91</v>
      </c>
      <c r="L69" s="256" t="s">
        <v>445</v>
      </c>
    </row>
    <row r="70" spans="1:13" x14ac:dyDescent="0.2">
      <c r="A70" s="50" t="s">
        <v>496</v>
      </c>
      <c r="B70" s="16"/>
      <c r="C70" s="16"/>
      <c r="D70" s="16"/>
      <c r="E70" s="51"/>
      <c r="F70" s="21" t="s">
        <v>12</v>
      </c>
      <c r="G70" s="20">
        <v>2</v>
      </c>
      <c r="H70" s="22">
        <f t="shared" si="10"/>
        <v>0</v>
      </c>
      <c r="I70" s="634">
        <v>15.74</v>
      </c>
      <c r="J70" s="23">
        <f t="shared" si="11"/>
        <v>0</v>
      </c>
      <c r="K70" s="635">
        <v>1.39</v>
      </c>
      <c r="L70" s="256" t="s">
        <v>445</v>
      </c>
    </row>
    <row r="71" spans="1:13" x14ac:dyDescent="0.2">
      <c r="A71" s="50" t="s">
        <v>497</v>
      </c>
      <c r="B71" s="16"/>
      <c r="C71" s="16"/>
      <c r="D71" s="16"/>
      <c r="E71" s="51"/>
      <c r="F71" s="21" t="s">
        <v>12</v>
      </c>
      <c r="G71" s="20">
        <v>2</v>
      </c>
      <c r="H71" s="22">
        <f t="shared" si="10"/>
        <v>0</v>
      </c>
      <c r="I71" s="634">
        <v>11.13</v>
      </c>
      <c r="J71" s="23">
        <f t="shared" si="11"/>
        <v>0</v>
      </c>
      <c r="K71" s="635">
        <v>2.78</v>
      </c>
      <c r="L71" s="256" t="s">
        <v>445</v>
      </c>
    </row>
    <row r="72" spans="1:13" x14ac:dyDescent="0.2">
      <c r="A72" s="50" t="s">
        <v>498</v>
      </c>
      <c r="B72" s="16"/>
      <c r="C72" s="16"/>
      <c r="D72" s="16"/>
      <c r="E72" s="51"/>
      <c r="F72" s="21" t="s">
        <v>12</v>
      </c>
      <c r="G72" s="20">
        <v>2</v>
      </c>
      <c r="H72" s="22">
        <f t="shared" si="10"/>
        <v>0</v>
      </c>
      <c r="I72" s="634">
        <v>30.34</v>
      </c>
      <c r="J72" s="23">
        <f t="shared" si="11"/>
        <v>0</v>
      </c>
      <c r="K72" s="635">
        <v>2.4700000000000002</v>
      </c>
      <c r="L72" s="256" t="s">
        <v>445</v>
      </c>
    </row>
    <row r="73" spans="1:13" x14ac:dyDescent="0.2">
      <c r="A73" s="50" t="s">
        <v>499</v>
      </c>
      <c r="B73" s="16"/>
      <c r="C73" s="16"/>
      <c r="D73" s="16"/>
      <c r="E73" s="51"/>
      <c r="F73" s="21" t="s">
        <v>12</v>
      </c>
      <c r="G73" s="20">
        <v>2</v>
      </c>
      <c r="H73" s="22">
        <f t="shared" si="10"/>
        <v>0</v>
      </c>
      <c r="I73" s="634">
        <v>7.95</v>
      </c>
      <c r="J73" s="23">
        <f t="shared" si="11"/>
        <v>0</v>
      </c>
      <c r="K73" s="635">
        <v>1.51</v>
      </c>
      <c r="L73" s="256" t="s">
        <v>445</v>
      </c>
    </row>
    <row r="74" spans="1:13" x14ac:dyDescent="0.2">
      <c r="A74" s="50" t="s">
        <v>500</v>
      </c>
      <c r="B74" s="16"/>
      <c r="C74" s="16"/>
      <c r="D74" s="16"/>
      <c r="E74" s="51"/>
      <c r="F74" s="21" t="s">
        <v>12</v>
      </c>
      <c r="G74" s="20">
        <v>2</v>
      </c>
      <c r="H74" s="22">
        <f t="shared" si="10"/>
        <v>0</v>
      </c>
      <c r="I74" s="634">
        <v>20.46</v>
      </c>
      <c r="J74" s="23">
        <f t="shared" si="11"/>
        <v>0</v>
      </c>
      <c r="K74" s="635">
        <v>1.71</v>
      </c>
      <c r="L74" s="256" t="s">
        <v>445</v>
      </c>
    </row>
    <row r="75" spans="1:13" x14ac:dyDescent="0.2">
      <c r="A75" s="50"/>
      <c r="B75" s="16"/>
      <c r="C75" s="16"/>
      <c r="D75" s="16"/>
      <c r="E75" s="51"/>
      <c r="F75" s="21"/>
      <c r="G75" s="20"/>
      <c r="H75" s="22"/>
      <c r="I75" s="634"/>
      <c r="J75" s="23"/>
      <c r="K75" s="635"/>
      <c r="L75" s="256"/>
    </row>
    <row r="76" spans="1:13" x14ac:dyDescent="0.2">
      <c r="A76" s="50" t="s">
        <v>502</v>
      </c>
      <c r="B76" s="16"/>
      <c r="C76" s="16"/>
      <c r="D76" s="16"/>
      <c r="E76" s="51">
        <v>11</v>
      </c>
      <c r="F76" s="21" t="s">
        <v>12</v>
      </c>
      <c r="G76" s="20">
        <v>2</v>
      </c>
      <c r="H76" s="22">
        <v>22.88</v>
      </c>
      <c r="I76" s="634">
        <f t="shared" ref="I76:I81" si="12">H76*E76</f>
        <v>251.67999999999998</v>
      </c>
      <c r="J76" s="23">
        <v>1.91</v>
      </c>
      <c r="K76" s="634">
        <f t="shared" ref="K76:K81" si="13">J76*E76</f>
        <v>21.009999999999998</v>
      </c>
      <c r="L76" s="256" t="s">
        <v>445</v>
      </c>
    </row>
    <row r="77" spans="1:13" x14ac:dyDescent="0.2">
      <c r="A77" s="50" t="s">
        <v>503</v>
      </c>
      <c r="B77" s="16"/>
      <c r="C77" s="16"/>
      <c r="D77" s="16"/>
      <c r="E77" s="51">
        <v>11</v>
      </c>
      <c r="F77" s="21" t="s">
        <v>12</v>
      </c>
      <c r="G77" s="20">
        <v>2</v>
      </c>
      <c r="H77" s="22">
        <v>17.75</v>
      </c>
      <c r="I77" s="634">
        <f t="shared" si="12"/>
        <v>195.25</v>
      </c>
      <c r="J77" s="23">
        <v>1.57</v>
      </c>
      <c r="K77" s="634">
        <f t="shared" si="13"/>
        <v>17.27</v>
      </c>
      <c r="L77" s="256" t="s">
        <v>445</v>
      </c>
    </row>
    <row r="78" spans="1:13" x14ac:dyDescent="0.2">
      <c r="A78" s="50" t="s">
        <v>504</v>
      </c>
      <c r="B78" s="16"/>
      <c r="C78" s="16"/>
      <c r="D78" s="16"/>
      <c r="E78" s="51">
        <v>11</v>
      </c>
      <c r="F78" s="21" t="s">
        <v>12</v>
      </c>
      <c r="G78" s="20">
        <v>2</v>
      </c>
      <c r="H78" s="22">
        <v>15.35</v>
      </c>
      <c r="I78" s="634">
        <f t="shared" si="12"/>
        <v>168.85</v>
      </c>
      <c r="J78" s="23">
        <v>3.06</v>
      </c>
      <c r="K78" s="634">
        <f t="shared" si="13"/>
        <v>33.660000000000004</v>
      </c>
      <c r="L78" s="256" t="s">
        <v>445</v>
      </c>
    </row>
    <row r="79" spans="1:13" x14ac:dyDescent="0.2">
      <c r="A79" s="50" t="s">
        <v>505</v>
      </c>
      <c r="B79" s="16"/>
      <c r="C79" s="16"/>
      <c r="D79" s="16"/>
      <c r="E79" s="51">
        <v>11</v>
      </c>
      <c r="F79" s="21" t="s">
        <v>12</v>
      </c>
      <c r="G79" s="20">
        <v>2</v>
      </c>
      <c r="H79" s="22">
        <v>30.34</v>
      </c>
      <c r="I79" s="634">
        <f t="shared" si="12"/>
        <v>333.74</v>
      </c>
      <c r="J79" s="23">
        <v>2.4700000000000002</v>
      </c>
      <c r="K79" s="634">
        <f t="shared" si="13"/>
        <v>27.17</v>
      </c>
      <c r="L79" s="256" t="s">
        <v>445</v>
      </c>
    </row>
    <row r="80" spans="1:13" x14ac:dyDescent="0.2">
      <c r="A80" s="50" t="s">
        <v>506</v>
      </c>
      <c r="B80" s="16"/>
      <c r="C80" s="16"/>
      <c r="D80" s="16"/>
      <c r="E80" s="51">
        <v>11</v>
      </c>
      <c r="F80" s="21" t="s">
        <v>12</v>
      </c>
      <c r="G80" s="20">
        <v>2</v>
      </c>
      <c r="H80" s="22">
        <v>7.95</v>
      </c>
      <c r="I80" s="634">
        <f t="shared" si="12"/>
        <v>87.45</v>
      </c>
      <c r="J80" s="23">
        <v>1.51</v>
      </c>
      <c r="K80" s="634">
        <f t="shared" si="13"/>
        <v>16.61</v>
      </c>
      <c r="L80" s="256" t="s">
        <v>445</v>
      </c>
    </row>
    <row r="81" spans="1:12" x14ac:dyDescent="0.2">
      <c r="A81" s="50" t="s">
        <v>507</v>
      </c>
      <c r="B81" s="16"/>
      <c r="C81" s="16"/>
      <c r="D81" s="16"/>
      <c r="E81" s="51">
        <v>11</v>
      </c>
      <c r="F81" s="21" t="s">
        <v>12</v>
      </c>
      <c r="G81" s="20">
        <v>2</v>
      </c>
      <c r="H81" s="22">
        <v>20.46</v>
      </c>
      <c r="I81" s="634">
        <f t="shared" si="12"/>
        <v>225.06</v>
      </c>
      <c r="J81" s="23">
        <v>1.71</v>
      </c>
      <c r="K81" s="634">
        <f t="shared" si="13"/>
        <v>18.809999999999999</v>
      </c>
      <c r="L81" s="256" t="s">
        <v>445</v>
      </c>
    </row>
    <row r="82" spans="1:12" x14ac:dyDescent="0.2">
      <c r="A82" s="48"/>
      <c r="B82" s="16"/>
      <c r="C82" s="16"/>
      <c r="D82" s="16"/>
      <c r="E82" s="20"/>
      <c r="F82" s="21"/>
      <c r="G82" s="20"/>
      <c r="H82" s="22"/>
      <c r="I82" s="23"/>
      <c r="J82" s="23"/>
      <c r="K82" s="24"/>
      <c r="L82" s="256"/>
    </row>
    <row r="83" spans="1:12" x14ac:dyDescent="0.2">
      <c r="A83" s="48" t="s">
        <v>508</v>
      </c>
      <c r="B83" s="16"/>
      <c r="C83" s="16"/>
      <c r="D83" s="16"/>
      <c r="E83" s="20">
        <v>8</v>
      </c>
      <c r="F83" s="21" t="s">
        <v>12</v>
      </c>
      <c r="G83" s="20">
        <v>2</v>
      </c>
      <c r="H83" s="22">
        <v>22.88</v>
      </c>
      <c r="I83" s="634">
        <f t="shared" ref="I83:I88" si="14">H83*E83</f>
        <v>183.04</v>
      </c>
      <c r="J83" s="23">
        <v>1.91</v>
      </c>
      <c r="K83" s="634">
        <f t="shared" ref="K83:K88" si="15">J83*E83</f>
        <v>15.28</v>
      </c>
      <c r="L83" s="256" t="s">
        <v>445</v>
      </c>
    </row>
    <row r="84" spans="1:12" x14ac:dyDescent="0.2">
      <c r="A84" s="48" t="s">
        <v>509</v>
      </c>
      <c r="B84" s="16"/>
      <c r="C84" s="16"/>
      <c r="D84" s="16"/>
      <c r="E84" s="20">
        <v>8</v>
      </c>
      <c r="F84" s="21" t="s">
        <v>12</v>
      </c>
      <c r="G84" s="20">
        <v>2</v>
      </c>
      <c r="H84" s="22">
        <v>17.75</v>
      </c>
      <c r="I84" s="634">
        <f t="shared" si="14"/>
        <v>142</v>
      </c>
      <c r="J84" s="23">
        <v>1.57</v>
      </c>
      <c r="K84" s="634">
        <f t="shared" si="15"/>
        <v>12.56</v>
      </c>
      <c r="L84" s="256" t="s">
        <v>445</v>
      </c>
    </row>
    <row r="85" spans="1:12" x14ac:dyDescent="0.2">
      <c r="A85" s="48" t="s">
        <v>510</v>
      </c>
      <c r="B85" s="16"/>
      <c r="C85" s="16"/>
      <c r="D85" s="16"/>
      <c r="E85" s="20">
        <v>8</v>
      </c>
      <c r="F85" s="21" t="s">
        <v>12</v>
      </c>
      <c r="G85" s="20">
        <v>2</v>
      </c>
      <c r="H85" s="22">
        <v>15.35</v>
      </c>
      <c r="I85" s="634">
        <f t="shared" si="14"/>
        <v>122.8</v>
      </c>
      <c r="J85" s="23">
        <v>3.06</v>
      </c>
      <c r="K85" s="634">
        <f t="shared" si="15"/>
        <v>24.48</v>
      </c>
      <c r="L85" s="256" t="s">
        <v>445</v>
      </c>
    </row>
    <row r="86" spans="1:12" x14ac:dyDescent="0.2">
      <c r="A86" s="48" t="s">
        <v>511</v>
      </c>
      <c r="B86" s="16"/>
      <c r="C86" s="16"/>
      <c r="D86" s="16"/>
      <c r="E86" s="20">
        <v>8</v>
      </c>
      <c r="F86" s="21" t="s">
        <v>12</v>
      </c>
      <c r="G86" s="20">
        <v>2</v>
      </c>
      <c r="H86" s="22">
        <v>30.34</v>
      </c>
      <c r="I86" s="634">
        <f t="shared" si="14"/>
        <v>242.72</v>
      </c>
      <c r="J86" s="23">
        <v>2.4700000000000002</v>
      </c>
      <c r="K86" s="634">
        <f t="shared" si="15"/>
        <v>19.760000000000002</v>
      </c>
      <c r="L86" s="256" t="s">
        <v>445</v>
      </c>
    </row>
    <row r="87" spans="1:12" x14ac:dyDescent="0.2">
      <c r="A87" s="48" t="s">
        <v>512</v>
      </c>
      <c r="B87" s="16"/>
      <c r="C87" s="16"/>
      <c r="D87" s="16"/>
      <c r="E87" s="20">
        <v>8</v>
      </c>
      <c r="F87" s="21" t="s">
        <v>12</v>
      </c>
      <c r="G87" s="20">
        <v>2</v>
      </c>
      <c r="H87" s="22">
        <v>7.95</v>
      </c>
      <c r="I87" s="634">
        <f t="shared" si="14"/>
        <v>63.6</v>
      </c>
      <c r="J87" s="23">
        <v>1.51</v>
      </c>
      <c r="K87" s="634">
        <f t="shared" si="15"/>
        <v>12.08</v>
      </c>
      <c r="L87" s="256" t="s">
        <v>445</v>
      </c>
    </row>
    <row r="88" spans="1:12" x14ac:dyDescent="0.2">
      <c r="A88" s="48" t="s">
        <v>513</v>
      </c>
      <c r="B88" s="16"/>
      <c r="C88" s="16"/>
      <c r="D88" s="16"/>
      <c r="E88" s="20">
        <v>8</v>
      </c>
      <c r="F88" s="21" t="s">
        <v>12</v>
      </c>
      <c r="G88" s="20">
        <v>2</v>
      </c>
      <c r="H88" s="22">
        <v>20.46</v>
      </c>
      <c r="I88" s="634">
        <f t="shared" si="14"/>
        <v>163.68</v>
      </c>
      <c r="J88" s="23">
        <v>1.71</v>
      </c>
      <c r="K88" s="634">
        <f t="shared" si="15"/>
        <v>13.68</v>
      </c>
      <c r="L88" s="256" t="s">
        <v>445</v>
      </c>
    </row>
    <row r="89" spans="1:12" x14ac:dyDescent="0.2">
      <c r="A89" s="50"/>
      <c r="B89" s="16"/>
      <c r="C89" s="16"/>
      <c r="D89" s="16"/>
      <c r="E89" s="51"/>
      <c r="F89" s="21"/>
      <c r="G89" s="20"/>
      <c r="H89" s="22"/>
      <c r="I89" s="634"/>
      <c r="J89" s="23"/>
      <c r="K89" s="635"/>
      <c r="L89" s="256"/>
    </row>
    <row r="90" spans="1:12" x14ac:dyDescent="0.2">
      <c r="A90" s="117" t="s">
        <v>514</v>
      </c>
      <c r="B90" s="106"/>
      <c r="C90" s="106"/>
      <c r="D90" s="106"/>
      <c r="E90" s="106"/>
      <c r="F90" s="106"/>
      <c r="G90" s="106"/>
      <c r="H90" s="106"/>
      <c r="I90" s="106"/>
      <c r="J90" s="106"/>
      <c r="K90" s="107"/>
      <c r="L90" s="257"/>
    </row>
    <row r="91" spans="1:12" x14ac:dyDescent="0.2">
      <c r="A91" s="48" t="s">
        <v>515</v>
      </c>
      <c r="B91" s="16"/>
      <c r="C91" s="16"/>
      <c r="D91" s="16"/>
      <c r="E91" s="20"/>
      <c r="F91" s="21" t="s">
        <v>12</v>
      </c>
      <c r="G91" s="20">
        <v>2</v>
      </c>
      <c r="H91" s="22">
        <f t="shared" ref="H91:H96" si="16">IF(F91="s",(B91+(C91*G91))*D91+C91*B91*2,C91*G91*D91+B91*C91*2)</f>
        <v>0</v>
      </c>
      <c r="I91" s="644">
        <v>28.29</v>
      </c>
      <c r="J91" s="23">
        <f t="shared" ref="J91:J96" si="17">B91*C91*D91</f>
        <v>0</v>
      </c>
      <c r="K91" s="635">
        <v>2.2599999999999998</v>
      </c>
      <c r="L91" s="256" t="s">
        <v>458</v>
      </c>
    </row>
    <row r="92" spans="1:12" x14ac:dyDescent="0.2">
      <c r="A92" s="48" t="s">
        <v>516</v>
      </c>
      <c r="B92" s="16"/>
      <c r="C92" s="16"/>
      <c r="D92" s="16"/>
      <c r="E92" s="20"/>
      <c r="F92" s="21" t="s">
        <v>12</v>
      </c>
      <c r="G92" s="20">
        <v>2</v>
      </c>
      <c r="H92" s="22">
        <f t="shared" si="16"/>
        <v>0</v>
      </c>
      <c r="I92" s="644">
        <v>13.2</v>
      </c>
      <c r="J92" s="23">
        <f t="shared" si="17"/>
        <v>0</v>
      </c>
      <c r="K92" s="635">
        <v>1.25</v>
      </c>
      <c r="L92" s="256" t="s">
        <v>458</v>
      </c>
    </row>
    <row r="93" spans="1:12" x14ac:dyDescent="0.2">
      <c r="A93" s="48" t="s">
        <v>517</v>
      </c>
      <c r="B93" s="16"/>
      <c r="C93" s="16"/>
      <c r="D93" s="16"/>
      <c r="E93" s="20"/>
      <c r="F93" s="21" t="s">
        <v>12</v>
      </c>
      <c r="G93" s="20">
        <v>2</v>
      </c>
      <c r="H93" s="22">
        <f t="shared" si="16"/>
        <v>0</v>
      </c>
      <c r="I93" s="644">
        <v>15.35</v>
      </c>
      <c r="J93" s="23">
        <f t="shared" si="17"/>
        <v>0</v>
      </c>
      <c r="K93" s="635">
        <v>3.06</v>
      </c>
      <c r="L93" s="256" t="s">
        <v>458</v>
      </c>
    </row>
    <row r="94" spans="1:12" x14ac:dyDescent="0.2">
      <c r="A94" s="48" t="s">
        <v>518</v>
      </c>
      <c r="B94" s="16"/>
      <c r="C94" s="16"/>
      <c r="D94" s="16"/>
      <c r="E94" s="20"/>
      <c r="F94" s="21" t="s">
        <v>12</v>
      </c>
      <c r="G94" s="20">
        <v>2</v>
      </c>
      <c r="H94" s="22">
        <f t="shared" si="16"/>
        <v>0</v>
      </c>
      <c r="I94" s="644">
        <v>30.34</v>
      </c>
      <c r="J94" s="23">
        <f t="shared" si="17"/>
        <v>0</v>
      </c>
      <c r="K94" s="635">
        <v>2.4700000000000002</v>
      </c>
      <c r="L94" s="256" t="s">
        <v>458</v>
      </c>
    </row>
    <row r="95" spans="1:12" x14ac:dyDescent="0.2">
      <c r="A95" s="48" t="s">
        <v>519</v>
      </c>
      <c r="B95" s="16"/>
      <c r="C95" s="16"/>
      <c r="D95" s="16"/>
      <c r="E95" s="20"/>
      <c r="F95" s="21" t="s">
        <v>12</v>
      </c>
      <c r="G95" s="20">
        <v>2</v>
      </c>
      <c r="H95" s="22">
        <f t="shared" si="16"/>
        <v>0</v>
      </c>
      <c r="I95" s="644">
        <v>6.99</v>
      </c>
      <c r="J95" s="23">
        <f t="shared" si="17"/>
        <v>0</v>
      </c>
      <c r="K95" s="635">
        <v>1.44</v>
      </c>
      <c r="L95" s="256" t="s">
        <v>458</v>
      </c>
    </row>
    <row r="96" spans="1:12" x14ac:dyDescent="0.2">
      <c r="A96" s="48" t="s">
        <v>520</v>
      </c>
      <c r="B96" s="16"/>
      <c r="C96" s="16"/>
      <c r="D96" s="16"/>
      <c r="E96" s="20"/>
      <c r="F96" s="21" t="s">
        <v>12</v>
      </c>
      <c r="G96" s="20">
        <v>2</v>
      </c>
      <c r="H96" s="22">
        <f t="shared" si="16"/>
        <v>0</v>
      </c>
      <c r="I96" s="644">
        <v>21.42</v>
      </c>
      <c r="J96" s="23">
        <f t="shared" si="17"/>
        <v>0</v>
      </c>
      <c r="K96" s="635">
        <v>1.78</v>
      </c>
      <c r="L96" s="256" t="s">
        <v>458</v>
      </c>
    </row>
    <row r="97" spans="1:14" x14ac:dyDescent="0.2">
      <c r="A97" s="48"/>
      <c r="B97" s="16"/>
      <c r="C97" s="16"/>
      <c r="D97" s="16"/>
      <c r="E97" s="20"/>
      <c r="F97" s="21"/>
      <c r="G97" s="20"/>
      <c r="H97" s="22"/>
      <c r="I97" s="23"/>
      <c r="J97" s="23"/>
      <c r="K97" s="24"/>
      <c r="L97" s="256"/>
    </row>
    <row r="98" spans="1:14" x14ac:dyDescent="0.2">
      <c r="A98" s="117" t="s">
        <v>524</v>
      </c>
      <c r="B98" s="106"/>
      <c r="C98" s="106"/>
      <c r="D98" s="106"/>
      <c r="E98" s="106"/>
      <c r="F98" s="106"/>
      <c r="G98" s="106"/>
      <c r="H98" s="106"/>
      <c r="I98" s="106"/>
      <c r="J98" s="106"/>
      <c r="K98" s="107"/>
      <c r="L98" s="257"/>
    </row>
    <row r="99" spans="1:14" x14ac:dyDescent="0.2">
      <c r="A99" s="48" t="s">
        <v>521</v>
      </c>
      <c r="B99" s="16"/>
      <c r="C99" s="16"/>
      <c r="D99" s="16"/>
      <c r="E99" s="20"/>
      <c r="F99" s="21" t="s">
        <v>12</v>
      </c>
      <c r="G99" s="20">
        <v>2</v>
      </c>
      <c r="H99" s="22">
        <f>IF(F99="s",(B99+(C99*G99))*D99+C99*B99*2,C99*G99*D99+B99*C99*2)</f>
        <v>0</v>
      </c>
      <c r="I99" s="644">
        <v>2.84</v>
      </c>
      <c r="J99" s="23">
        <f>B99*C99*D99</f>
        <v>0</v>
      </c>
      <c r="K99" s="635">
        <v>0.28999999999999998</v>
      </c>
      <c r="L99" s="256" t="s">
        <v>475</v>
      </c>
    </row>
    <row r="100" spans="1:14" x14ac:dyDescent="0.2">
      <c r="A100" s="48" t="s">
        <v>522</v>
      </c>
      <c r="B100" s="16"/>
      <c r="C100" s="16"/>
      <c r="D100" s="16"/>
      <c r="E100" s="20"/>
      <c r="F100" s="21" t="s">
        <v>12</v>
      </c>
      <c r="G100" s="20">
        <v>2</v>
      </c>
      <c r="H100" s="22">
        <f>IF(F100="s",(B100+(C100*G100))*D100+C100*B100*2,C100*G100*D100+B100*C100*2)</f>
        <v>0</v>
      </c>
      <c r="I100" s="644">
        <v>49.46</v>
      </c>
      <c r="J100" s="23">
        <f>B100*C100*D100</f>
        <v>0</v>
      </c>
      <c r="K100" s="635">
        <v>5.31</v>
      </c>
      <c r="L100" s="256" t="s">
        <v>475</v>
      </c>
    </row>
    <row r="101" spans="1:14" x14ac:dyDescent="0.2">
      <c r="A101" s="48" t="s">
        <v>523</v>
      </c>
      <c r="B101" s="16"/>
      <c r="C101" s="16"/>
      <c r="D101" s="16"/>
      <c r="E101" s="20"/>
      <c r="F101" s="21" t="s">
        <v>12</v>
      </c>
      <c r="G101" s="20">
        <v>2</v>
      </c>
      <c r="H101" s="22">
        <f>IF(F101="s",(B101+(C101*G101))*D101+C101*B101*2,C101*G101*D101+B101*C101*2)</f>
        <v>0</v>
      </c>
      <c r="I101" s="644">
        <v>31.69</v>
      </c>
      <c r="J101" s="23">
        <f>B101*C101*D101</f>
        <v>0</v>
      </c>
      <c r="K101" s="635">
        <v>3.94</v>
      </c>
      <c r="L101" s="256" t="s">
        <v>475</v>
      </c>
    </row>
    <row r="102" spans="1:14" x14ac:dyDescent="0.2">
      <c r="A102" s="48" t="s">
        <v>525</v>
      </c>
      <c r="B102" s="16"/>
      <c r="C102" s="16"/>
      <c r="D102" s="16"/>
      <c r="E102" s="20"/>
      <c r="F102" s="21" t="s">
        <v>12</v>
      </c>
      <c r="G102" s="20">
        <v>2</v>
      </c>
      <c r="H102" s="22">
        <f>IF(F102="s",(B102+(C102*G102))*D102+C102*B102*2,C102*G102*D102+B102*C102*2)</f>
        <v>0</v>
      </c>
      <c r="I102" s="644">
        <v>27.55</v>
      </c>
      <c r="J102" s="23">
        <f>B102*C102*D102</f>
        <v>0</v>
      </c>
      <c r="K102" s="635">
        <v>2.92</v>
      </c>
      <c r="L102" s="256" t="s">
        <v>475</v>
      </c>
    </row>
    <row r="103" spans="1:14" ht="13.5" thickBot="1" x14ac:dyDescent="0.25">
      <c r="A103" s="8"/>
      <c r="B103" s="16"/>
      <c r="C103" s="16"/>
      <c r="D103" s="16"/>
      <c r="E103" s="20"/>
      <c r="F103" s="21"/>
      <c r="G103" s="20"/>
      <c r="H103" s="22"/>
      <c r="I103" s="23"/>
      <c r="J103" s="23"/>
      <c r="K103" s="24"/>
      <c r="L103" s="256"/>
      <c r="M103" s="43"/>
    </row>
    <row r="104" spans="1:14" ht="14.25" thickTop="1" thickBot="1" x14ac:dyDescent="0.25">
      <c r="A104" s="74" t="s">
        <v>9</v>
      </c>
      <c r="B104" s="74"/>
      <c r="C104" s="74"/>
      <c r="D104" s="74"/>
      <c r="E104" s="75"/>
      <c r="F104" s="75"/>
      <c r="G104" s="75"/>
      <c r="H104" s="75"/>
      <c r="I104" s="130">
        <f>SUM(I6:I103)</f>
        <v>3732.5999999999995</v>
      </c>
      <c r="J104" s="130"/>
      <c r="K104" s="130">
        <f>SUM(K6:K103)</f>
        <v>513.14</v>
      </c>
      <c r="L104" s="258"/>
    </row>
    <row r="105" spans="1:14" ht="14.25" thickTop="1" thickBot="1" x14ac:dyDescent="0.25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</row>
    <row r="106" spans="1:14" ht="14.25" thickTop="1" thickBot="1" x14ac:dyDescent="0.25">
      <c r="A106" s="127"/>
      <c r="B106" s="128"/>
      <c r="C106" s="128"/>
      <c r="D106" s="128"/>
      <c r="E106" s="131"/>
      <c r="F106" s="131"/>
      <c r="G106" s="132"/>
      <c r="H106" s="131"/>
      <c r="I106" s="133"/>
      <c r="J106" s="131"/>
      <c r="K106" s="131"/>
      <c r="L106" s="131"/>
      <c r="M106" s="134"/>
      <c r="N106" s="135"/>
    </row>
    <row r="107" spans="1:14" ht="13.5" thickTop="1" x14ac:dyDescent="0.2"/>
  </sheetData>
  <mergeCells count="5">
    <mergeCell ref="B4:D4"/>
    <mergeCell ref="A4:A5"/>
    <mergeCell ref="N4:O4"/>
    <mergeCell ref="E4:E5"/>
    <mergeCell ref="Q4:R4"/>
  </mergeCells>
  <phoneticPr fontId="30" type="noConversion"/>
  <dataValidations count="2">
    <dataValidation type="list" allowBlank="1" showInputMessage="1" showErrorMessage="1" sqref="L6" xr:uid="{00000000-0002-0000-1400-000000000000}">
      <formula1>$N$6:$N$14</formula1>
    </dataValidation>
    <dataValidation type="list" allowBlank="1" showInputMessage="1" showErrorMessage="1" sqref="L7:L103" xr:uid="{00000000-0002-0000-1400-000001000000}">
      <formula1>$O$6:$O$12</formula1>
    </dataValidation>
  </dataValidations>
  <printOptions horizontalCentered="1"/>
  <pageMargins left="0.39370078740157483" right="0" top="0.59055118110236227" bottom="0.78740157480314965" header="0.51181102362204722" footer="0.19685039370078741"/>
  <pageSetup paperSize="9" scale="51" orientation="portrait" horizontalDpi="300" verticalDpi="300" r:id="rId1"/>
  <headerFooter alignWithMargins="0">
    <oddFooter>&amp;L&amp;8&amp;F - &amp;A&amp;R&amp;8&amp;P / &amp;N</oddFooter>
  </headerFooter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ilha18">
    <tabColor theme="1"/>
    <pageSetUpPr fitToPage="1"/>
  </sheetPr>
  <dimension ref="A1:V78"/>
  <sheetViews>
    <sheetView showGridLines="0" view="pageBreakPreview" zoomScaleNormal="100" zoomScaleSheetLayoutView="100" workbookViewId="0">
      <pane ySplit="5" topLeftCell="A39" activePane="bottomLeft" state="frozen"/>
      <selection activeCell="M8" sqref="M8:M9"/>
      <selection pane="bottomLeft" activeCell="D63" sqref="D63"/>
    </sheetView>
  </sheetViews>
  <sheetFormatPr defaultRowHeight="14.1" customHeight="1" x14ac:dyDescent="0.2"/>
  <cols>
    <col min="1" max="1" width="31.28515625" style="12" bestFit="1" customWidth="1"/>
    <col min="2" max="3" width="7.5703125" style="12" bestFit="1" customWidth="1"/>
    <col min="4" max="4" width="8.5703125" style="12" customWidth="1"/>
    <col min="5" max="5" width="7.42578125" style="12" customWidth="1"/>
    <col min="6" max="6" width="7.5703125" style="12" customWidth="1"/>
    <col min="7" max="10" width="9.28515625" style="12" customWidth="1"/>
    <col min="11" max="11" width="14" style="12" bestFit="1" customWidth="1"/>
    <col min="12" max="12" width="3.28515625" style="12" customWidth="1"/>
    <col min="13" max="13" width="10.42578125" style="12" customWidth="1"/>
    <col min="14" max="14" width="14" style="12" bestFit="1" customWidth="1"/>
    <col min="15" max="15" width="3.28515625" style="12" customWidth="1"/>
    <col min="16" max="16" width="7.5703125" style="12" customWidth="1"/>
    <col min="17" max="17" width="14" style="12" bestFit="1" customWidth="1"/>
    <col min="18" max="254" width="9.140625" style="12"/>
    <col min="255" max="255" width="11.5703125" style="12" bestFit="1" customWidth="1"/>
    <col min="256" max="256" width="20.7109375" style="12" customWidth="1"/>
    <col min="257" max="264" width="6.7109375" style="12" customWidth="1"/>
    <col min="265" max="265" width="9.140625" style="12"/>
    <col min="266" max="266" width="6.7109375" style="12" customWidth="1"/>
    <col min="267" max="510" width="9.140625" style="12"/>
    <col min="511" max="511" width="11.5703125" style="12" bestFit="1" customWidth="1"/>
    <col min="512" max="512" width="20.7109375" style="12" customWidth="1"/>
    <col min="513" max="520" width="6.7109375" style="12" customWidth="1"/>
    <col min="521" max="521" width="9.140625" style="12"/>
    <col min="522" max="522" width="6.7109375" style="12" customWidth="1"/>
    <col min="523" max="766" width="9.140625" style="12"/>
    <col min="767" max="767" width="11.5703125" style="12" bestFit="1" customWidth="1"/>
    <col min="768" max="768" width="20.7109375" style="12" customWidth="1"/>
    <col min="769" max="776" width="6.7109375" style="12" customWidth="1"/>
    <col min="777" max="777" width="9.140625" style="12"/>
    <col min="778" max="778" width="6.7109375" style="12" customWidth="1"/>
    <col min="779" max="1022" width="9.140625" style="12"/>
    <col min="1023" max="1023" width="11.5703125" style="12" bestFit="1" customWidth="1"/>
    <col min="1024" max="1024" width="20.7109375" style="12" customWidth="1"/>
    <col min="1025" max="1032" width="6.7109375" style="12" customWidth="1"/>
    <col min="1033" max="1033" width="9.140625" style="12"/>
    <col min="1034" max="1034" width="6.7109375" style="12" customWidth="1"/>
    <col min="1035" max="1278" width="9.140625" style="12"/>
    <col min="1279" max="1279" width="11.5703125" style="12" bestFit="1" customWidth="1"/>
    <col min="1280" max="1280" width="20.7109375" style="12" customWidth="1"/>
    <col min="1281" max="1288" width="6.7109375" style="12" customWidth="1"/>
    <col min="1289" max="1289" width="9.140625" style="12"/>
    <col min="1290" max="1290" width="6.7109375" style="12" customWidth="1"/>
    <col min="1291" max="1534" width="9.140625" style="12"/>
    <col min="1535" max="1535" width="11.5703125" style="12" bestFit="1" customWidth="1"/>
    <col min="1536" max="1536" width="20.7109375" style="12" customWidth="1"/>
    <col min="1537" max="1544" width="6.7109375" style="12" customWidth="1"/>
    <col min="1545" max="1545" width="9.140625" style="12"/>
    <col min="1546" max="1546" width="6.7109375" style="12" customWidth="1"/>
    <col min="1547" max="1790" width="9.140625" style="12"/>
    <col min="1791" max="1791" width="11.5703125" style="12" bestFit="1" customWidth="1"/>
    <col min="1792" max="1792" width="20.7109375" style="12" customWidth="1"/>
    <col min="1793" max="1800" width="6.7109375" style="12" customWidth="1"/>
    <col min="1801" max="1801" width="9.140625" style="12"/>
    <col min="1802" max="1802" width="6.7109375" style="12" customWidth="1"/>
    <col min="1803" max="2046" width="9.140625" style="12"/>
    <col min="2047" max="2047" width="11.5703125" style="12" bestFit="1" customWidth="1"/>
    <col min="2048" max="2048" width="20.7109375" style="12" customWidth="1"/>
    <col min="2049" max="2056" width="6.7109375" style="12" customWidth="1"/>
    <col min="2057" max="2057" width="9.140625" style="12"/>
    <col min="2058" max="2058" width="6.7109375" style="12" customWidth="1"/>
    <col min="2059" max="2302" width="9.140625" style="12"/>
    <col min="2303" max="2303" width="11.5703125" style="12" bestFit="1" customWidth="1"/>
    <col min="2304" max="2304" width="20.7109375" style="12" customWidth="1"/>
    <col min="2305" max="2312" width="6.7109375" style="12" customWidth="1"/>
    <col min="2313" max="2313" width="9.140625" style="12"/>
    <col min="2314" max="2314" width="6.7109375" style="12" customWidth="1"/>
    <col min="2315" max="2558" width="9.140625" style="12"/>
    <col min="2559" max="2559" width="11.5703125" style="12" bestFit="1" customWidth="1"/>
    <col min="2560" max="2560" width="20.7109375" style="12" customWidth="1"/>
    <col min="2561" max="2568" width="6.7109375" style="12" customWidth="1"/>
    <col min="2569" max="2569" width="9.140625" style="12"/>
    <col min="2570" max="2570" width="6.7109375" style="12" customWidth="1"/>
    <col min="2571" max="2814" width="9.140625" style="12"/>
    <col min="2815" max="2815" width="11.5703125" style="12" bestFit="1" customWidth="1"/>
    <col min="2816" max="2816" width="20.7109375" style="12" customWidth="1"/>
    <col min="2817" max="2824" width="6.7109375" style="12" customWidth="1"/>
    <col min="2825" max="2825" width="9.140625" style="12"/>
    <col min="2826" max="2826" width="6.7109375" style="12" customWidth="1"/>
    <col min="2827" max="3070" width="9.140625" style="12"/>
    <col min="3071" max="3071" width="11.5703125" style="12" bestFit="1" customWidth="1"/>
    <col min="3072" max="3072" width="20.7109375" style="12" customWidth="1"/>
    <col min="3073" max="3080" width="6.7109375" style="12" customWidth="1"/>
    <col min="3081" max="3081" width="9.140625" style="12"/>
    <col min="3082" max="3082" width="6.7109375" style="12" customWidth="1"/>
    <col min="3083" max="3326" width="9.140625" style="12"/>
    <col min="3327" max="3327" width="11.5703125" style="12" bestFit="1" customWidth="1"/>
    <col min="3328" max="3328" width="20.7109375" style="12" customWidth="1"/>
    <col min="3329" max="3336" width="6.7109375" style="12" customWidth="1"/>
    <col min="3337" max="3337" width="9.140625" style="12"/>
    <col min="3338" max="3338" width="6.7109375" style="12" customWidth="1"/>
    <col min="3339" max="3582" width="9.140625" style="12"/>
    <col min="3583" max="3583" width="11.5703125" style="12" bestFit="1" customWidth="1"/>
    <col min="3584" max="3584" width="20.7109375" style="12" customWidth="1"/>
    <col min="3585" max="3592" width="6.7109375" style="12" customWidth="1"/>
    <col min="3593" max="3593" width="9.140625" style="12"/>
    <col min="3594" max="3594" width="6.7109375" style="12" customWidth="1"/>
    <col min="3595" max="3838" width="9.140625" style="12"/>
    <col min="3839" max="3839" width="11.5703125" style="12" bestFit="1" customWidth="1"/>
    <col min="3840" max="3840" width="20.7109375" style="12" customWidth="1"/>
    <col min="3841" max="3848" width="6.7109375" style="12" customWidth="1"/>
    <col min="3849" max="3849" width="9.140625" style="12"/>
    <col min="3850" max="3850" width="6.7109375" style="12" customWidth="1"/>
    <col min="3851" max="4094" width="9.140625" style="12"/>
    <col min="4095" max="4095" width="11.5703125" style="12" bestFit="1" customWidth="1"/>
    <col min="4096" max="4096" width="20.7109375" style="12" customWidth="1"/>
    <col min="4097" max="4104" width="6.7109375" style="12" customWidth="1"/>
    <col min="4105" max="4105" width="9.140625" style="12"/>
    <col min="4106" max="4106" width="6.7109375" style="12" customWidth="1"/>
    <col min="4107" max="4350" width="9.140625" style="12"/>
    <col min="4351" max="4351" width="11.5703125" style="12" bestFit="1" customWidth="1"/>
    <col min="4352" max="4352" width="20.7109375" style="12" customWidth="1"/>
    <col min="4353" max="4360" width="6.7109375" style="12" customWidth="1"/>
    <col min="4361" max="4361" width="9.140625" style="12"/>
    <col min="4362" max="4362" width="6.7109375" style="12" customWidth="1"/>
    <col min="4363" max="4606" width="9.140625" style="12"/>
    <col min="4607" max="4607" width="11.5703125" style="12" bestFit="1" customWidth="1"/>
    <col min="4608" max="4608" width="20.7109375" style="12" customWidth="1"/>
    <col min="4609" max="4616" width="6.7109375" style="12" customWidth="1"/>
    <col min="4617" max="4617" width="9.140625" style="12"/>
    <col min="4618" max="4618" width="6.7109375" style="12" customWidth="1"/>
    <col min="4619" max="4862" width="9.140625" style="12"/>
    <col min="4863" max="4863" width="11.5703125" style="12" bestFit="1" customWidth="1"/>
    <col min="4864" max="4864" width="20.7109375" style="12" customWidth="1"/>
    <col min="4865" max="4872" width="6.7109375" style="12" customWidth="1"/>
    <col min="4873" max="4873" width="9.140625" style="12"/>
    <col min="4874" max="4874" width="6.7109375" style="12" customWidth="1"/>
    <col min="4875" max="5118" width="9.140625" style="12"/>
    <col min="5119" max="5119" width="11.5703125" style="12" bestFit="1" customWidth="1"/>
    <col min="5120" max="5120" width="20.7109375" style="12" customWidth="1"/>
    <col min="5121" max="5128" width="6.7109375" style="12" customWidth="1"/>
    <col min="5129" max="5129" width="9.140625" style="12"/>
    <col min="5130" max="5130" width="6.7109375" style="12" customWidth="1"/>
    <col min="5131" max="5374" width="9.140625" style="12"/>
    <col min="5375" max="5375" width="11.5703125" style="12" bestFit="1" customWidth="1"/>
    <col min="5376" max="5376" width="20.7109375" style="12" customWidth="1"/>
    <col min="5377" max="5384" width="6.7109375" style="12" customWidth="1"/>
    <col min="5385" max="5385" width="9.140625" style="12"/>
    <col min="5386" max="5386" width="6.7109375" style="12" customWidth="1"/>
    <col min="5387" max="5630" width="9.140625" style="12"/>
    <col min="5631" max="5631" width="11.5703125" style="12" bestFit="1" customWidth="1"/>
    <col min="5632" max="5632" width="20.7109375" style="12" customWidth="1"/>
    <col min="5633" max="5640" width="6.7109375" style="12" customWidth="1"/>
    <col min="5641" max="5641" width="9.140625" style="12"/>
    <col min="5642" max="5642" width="6.7109375" style="12" customWidth="1"/>
    <col min="5643" max="5886" width="9.140625" style="12"/>
    <col min="5887" max="5887" width="11.5703125" style="12" bestFit="1" customWidth="1"/>
    <col min="5888" max="5888" width="20.7109375" style="12" customWidth="1"/>
    <col min="5889" max="5896" width="6.7109375" style="12" customWidth="1"/>
    <col min="5897" max="5897" width="9.140625" style="12"/>
    <col min="5898" max="5898" width="6.7109375" style="12" customWidth="1"/>
    <col min="5899" max="6142" width="9.140625" style="12"/>
    <col min="6143" max="6143" width="11.5703125" style="12" bestFit="1" customWidth="1"/>
    <col min="6144" max="6144" width="20.7109375" style="12" customWidth="1"/>
    <col min="6145" max="6152" width="6.7109375" style="12" customWidth="1"/>
    <col min="6153" max="6153" width="9.140625" style="12"/>
    <col min="6154" max="6154" width="6.7109375" style="12" customWidth="1"/>
    <col min="6155" max="6398" width="9.140625" style="12"/>
    <col min="6399" max="6399" width="11.5703125" style="12" bestFit="1" customWidth="1"/>
    <col min="6400" max="6400" width="20.7109375" style="12" customWidth="1"/>
    <col min="6401" max="6408" width="6.7109375" style="12" customWidth="1"/>
    <col min="6409" max="6409" width="9.140625" style="12"/>
    <col min="6410" max="6410" width="6.7109375" style="12" customWidth="1"/>
    <col min="6411" max="6654" width="9.140625" style="12"/>
    <col min="6655" max="6655" width="11.5703125" style="12" bestFit="1" customWidth="1"/>
    <col min="6656" max="6656" width="20.7109375" style="12" customWidth="1"/>
    <col min="6657" max="6664" width="6.7109375" style="12" customWidth="1"/>
    <col min="6665" max="6665" width="9.140625" style="12"/>
    <col min="6666" max="6666" width="6.7109375" style="12" customWidth="1"/>
    <col min="6667" max="6910" width="9.140625" style="12"/>
    <col min="6911" max="6911" width="11.5703125" style="12" bestFit="1" customWidth="1"/>
    <col min="6912" max="6912" width="20.7109375" style="12" customWidth="1"/>
    <col min="6913" max="6920" width="6.7109375" style="12" customWidth="1"/>
    <col min="6921" max="6921" width="9.140625" style="12"/>
    <col min="6922" max="6922" width="6.7109375" style="12" customWidth="1"/>
    <col min="6923" max="7166" width="9.140625" style="12"/>
    <col min="7167" max="7167" width="11.5703125" style="12" bestFit="1" customWidth="1"/>
    <col min="7168" max="7168" width="20.7109375" style="12" customWidth="1"/>
    <col min="7169" max="7176" width="6.7109375" style="12" customWidth="1"/>
    <col min="7177" max="7177" width="9.140625" style="12"/>
    <col min="7178" max="7178" width="6.7109375" style="12" customWidth="1"/>
    <col min="7179" max="7422" width="9.140625" style="12"/>
    <col min="7423" max="7423" width="11.5703125" style="12" bestFit="1" customWidth="1"/>
    <col min="7424" max="7424" width="20.7109375" style="12" customWidth="1"/>
    <col min="7425" max="7432" width="6.7109375" style="12" customWidth="1"/>
    <col min="7433" max="7433" width="9.140625" style="12"/>
    <col min="7434" max="7434" width="6.7109375" style="12" customWidth="1"/>
    <col min="7435" max="7678" width="9.140625" style="12"/>
    <col min="7679" max="7679" width="11.5703125" style="12" bestFit="1" customWidth="1"/>
    <col min="7680" max="7680" width="20.7109375" style="12" customWidth="1"/>
    <col min="7681" max="7688" width="6.7109375" style="12" customWidth="1"/>
    <col min="7689" max="7689" width="9.140625" style="12"/>
    <col min="7690" max="7690" width="6.7109375" style="12" customWidth="1"/>
    <col min="7691" max="7934" width="9.140625" style="12"/>
    <col min="7935" max="7935" width="11.5703125" style="12" bestFit="1" customWidth="1"/>
    <col min="7936" max="7936" width="20.7109375" style="12" customWidth="1"/>
    <col min="7937" max="7944" width="6.7109375" style="12" customWidth="1"/>
    <col min="7945" max="7945" width="9.140625" style="12"/>
    <col min="7946" max="7946" width="6.7109375" style="12" customWidth="1"/>
    <col min="7947" max="8190" width="9.140625" style="12"/>
    <col min="8191" max="8191" width="11.5703125" style="12" bestFit="1" customWidth="1"/>
    <col min="8192" max="8192" width="20.7109375" style="12" customWidth="1"/>
    <col min="8193" max="8200" width="6.7109375" style="12" customWidth="1"/>
    <col min="8201" max="8201" width="9.140625" style="12"/>
    <col min="8202" max="8202" width="6.7109375" style="12" customWidth="1"/>
    <col min="8203" max="8446" width="9.140625" style="12"/>
    <col min="8447" max="8447" width="11.5703125" style="12" bestFit="1" customWidth="1"/>
    <col min="8448" max="8448" width="20.7109375" style="12" customWidth="1"/>
    <col min="8449" max="8456" width="6.7109375" style="12" customWidth="1"/>
    <col min="8457" max="8457" width="9.140625" style="12"/>
    <col min="8458" max="8458" width="6.7109375" style="12" customWidth="1"/>
    <col min="8459" max="8702" width="9.140625" style="12"/>
    <col min="8703" max="8703" width="11.5703125" style="12" bestFit="1" customWidth="1"/>
    <col min="8704" max="8704" width="20.7109375" style="12" customWidth="1"/>
    <col min="8705" max="8712" width="6.7109375" style="12" customWidth="1"/>
    <col min="8713" max="8713" width="9.140625" style="12"/>
    <col min="8714" max="8714" width="6.7109375" style="12" customWidth="1"/>
    <col min="8715" max="8958" width="9.140625" style="12"/>
    <col min="8959" max="8959" width="11.5703125" style="12" bestFit="1" customWidth="1"/>
    <col min="8960" max="8960" width="20.7109375" style="12" customWidth="1"/>
    <col min="8961" max="8968" width="6.7109375" style="12" customWidth="1"/>
    <col min="8969" max="8969" width="9.140625" style="12"/>
    <col min="8970" max="8970" width="6.7109375" style="12" customWidth="1"/>
    <col min="8971" max="9214" width="9.140625" style="12"/>
    <col min="9215" max="9215" width="11.5703125" style="12" bestFit="1" customWidth="1"/>
    <col min="9216" max="9216" width="20.7109375" style="12" customWidth="1"/>
    <col min="9217" max="9224" width="6.7109375" style="12" customWidth="1"/>
    <col min="9225" max="9225" width="9.140625" style="12"/>
    <col min="9226" max="9226" width="6.7109375" style="12" customWidth="1"/>
    <col min="9227" max="9470" width="9.140625" style="12"/>
    <col min="9471" max="9471" width="11.5703125" style="12" bestFit="1" customWidth="1"/>
    <col min="9472" max="9472" width="20.7109375" style="12" customWidth="1"/>
    <col min="9473" max="9480" width="6.7109375" style="12" customWidth="1"/>
    <col min="9481" max="9481" width="9.140625" style="12"/>
    <col min="9482" max="9482" width="6.7109375" style="12" customWidth="1"/>
    <col min="9483" max="9726" width="9.140625" style="12"/>
    <col min="9727" max="9727" width="11.5703125" style="12" bestFit="1" customWidth="1"/>
    <col min="9728" max="9728" width="20.7109375" style="12" customWidth="1"/>
    <col min="9729" max="9736" width="6.7109375" style="12" customWidth="1"/>
    <col min="9737" max="9737" width="9.140625" style="12"/>
    <col min="9738" max="9738" width="6.7109375" style="12" customWidth="1"/>
    <col min="9739" max="9982" width="9.140625" style="12"/>
    <col min="9983" max="9983" width="11.5703125" style="12" bestFit="1" customWidth="1"/>
    <col min="9984" max="9984" width="20.7109375" style="12" customWidth="1"/>
    <col min="9985" max="9992" width="6.7109375" style="12" customWidth="1"/>
    <col min="9993" max="9993" width="9.140625" style="12"/>
    <col min="9994" max="9994" width="6.7109375" style="12" customWidth="1"/>
    <col min="9995" max="10238" width="9.140625" style="12"/>
    <col min="10239" max="10239" width="11.5703125" style="12" bestFit="1" customWidth="1"/>
    <col min="10240" max="10240" width="20.7109375" style="12" customWidth="1"/>
    <col min="10241" max="10248" width="6.7109375" style="12" customWidth="1"/>
    <col min="10249" max="10249" width="9.140625" style="12"/>
    <col min="10250" max="10250" width="6.7109375" style="12" customWidth="1"/>
    <col min="10251" max="10494" width="9.140625" style="12"/>
    <col min="10495" max="10495" width="11.5703125" style="12" bestFit="1" customWidth="1"/>
    <col min="10496" max="10496" width="20.7109375" style="12" customWidth="1"/>
    <col min="10497" max="10504" width="6.7109375" style="12" customWidth="1"/>
    <col min="10505" max="10505" width="9.140625" style="12"/>
    <col min="10506" max="10506" width="6.7109375" style="12" customWidth="1"/>
    <col min="10507" max="10750" width="9.140625" style="12"/>
    <col min="10751" max="10751" width="11.5703125" style="12" bestFit="1" customWidth="1"/>
    <col min="10752" max="10752" width="20.7109375" style="12" customWidth="1"/>
    <col min="10753" max="10760" width="6.7109375" style="12" customWidth="1"/>
    <col min="10761" max="10761" width="9.140625" style="12"/>
    <col min="10762" max="10762" width="6.7109375" style="12" customWidth="1"/>
    <col min="10763" max="11006" width="9.140625" style="12"/>
    <col min="11007" max="11007" width="11.5703125" style="12" bestFit="1" customWidth="1"/>
    <col min="11008" max="11008" width="20.7109375" style="12" customWidth="1"/>
    <col min="11009" max="11016" width="6.7109375" style="12" customWidth="1"/>
    <col min="11017" max="11017" width="9.140625" style="12"/>
    <col min="11018" max="11018" width="6.7109375" style="12" customWidth="1"/>
    <col min="11019" max="11262" width="9.140625" style="12"/>
    <col min="11263" max="11263" width="11.5703125" style="12" bestFit="1" customWidth="1"/>
    <col min="11264" max="11264" width="20.7109375" style="12" customWidth="1"/>
    <col min="11265" max="11272" width="6.7109375" style="12" customWidth="1"/>
    <col min="11273" max="11273" width="9.140625" style="12"/>
    <col min="11274" max="11274" width="6.7109375" style="12" customWidth="1"/>
    <col min="11275" max="11518" width="9.140625" style="12"/>
    <col min="11519" max="11519" width="11.5703125" style="12" bestFit="1" customWidth="1"/>
    <col min="11520" max="11520" width="20.7109375" style="12" customWidth="1"/>
    <col min="11521" max="11528" width="6.7109375" style="12" customWidth="1"/>
    <col min="11529" max="11529" width="9.140625" style="12"/>
    <col min="11530" max="11530" width="6.7109375" style="12" customWidth="1"/>
    <col min="11531" max="11774" width="9.140625" style="12"/>
    <col min="11775" max="11775" width="11.5703125" style="12" bestFit="1" customWidth="1"/>
    <col min="11776" max="11776" width="20.7109375" style="12" customWidth="1"/>
    <col min="11777" max="11784" width="6.7109375" style="12" customWidth="1"/>
    <col min="11785" max="11785" width="9.140625" style="12"/>
    <col min="11786" max="11786" width="6.7109375" style="12" customWidth="1"/>
    <col min="11787" max="12030" width="9.140625" style="12"/>
    <col min="12031" max="12031" width="11.5703125" style="12" bestFit="1" customWidth="1"/>
    <col min="12032" max="12032" width="20.7109375" style="12" customWidth="1"/>
    <col min="12033" max="12040" width="6.7109375" style="12" customWidth="1"/>
    <col min="12041" max="12041" width="9.140625" style="12"/>
    <col min="12042" max="12042" width="6.7109375" style="12" customWidth="1"/>
    <col min="12043" max="12286" width="9.140625" style="12"/>
    <col min="12287" max="12287" width="11.5703125" style="12" bestFit="1" customWidth="1"/>
    <col min="12288" max="12288" width="20.7109375" style="12" customWidth="1"/>
    <col min="12289" max="12296" width="6.7109375" style="12" customWidth="1"/>
    <col min="12297" max="12297" width="9.140625" style="12"/>
    <col min="12298" max="12298" width="6.7109375" style="12" customWidth="1"/>
    <col min="12299" max="12542" width="9.140625" style="12"/>
    <col min="12543" max="12543" width="11.5703125" style="12" bestFit="1" customWidth="1"/>
    <col min="12544" max="12544" width="20.7109375" style="12" customWidth="1"/>
    <col min="12545" max="12552" width="6.7109375" style="12" customWidth="1"/>
    <col min="12553" max="12553" width="9.140625" style="12"/>
    <col min="12554" max="12554" width="6.7109375" style="12" customWidth="1"/>
    <col min="12555" max="12798" width="9.140625" style="12"/>
    <col min="12799" max="12799" width="11.5703125" style="12" bestFit="1" customWidth="1"/>
    <col min="12800" max="12800" width="20.7109375" style="12" customWidth="1"/>
    <col min="12801" max="12808" width="6.7109375" style="12" customWidth="1"/>
    <col min="12809" max="12809" width="9.140625" style="12"/>
    <col min="12810" max="12810" width="6.7109375" style="12" customWidth="1"/>
    <col min="12811" max="13054" width="9.140625" style="12"/>
    <col min="13055" max="13055" width="11.5703125" style="12" bestFit="1" customWidth="1"/>
    <col min="13056" max="13056" width="20.7109375" style="12" customWidth="1"/>
    <col min="13057" max="13064" width="6.7109375" style="12" customWidth="1"/>
    <col min="13065" max="13065" width="9.140625" style="12"/>
    <col min="13066" max="13066" width="6.7109375" style="12" customWidth="1"/>
    <col min="13067" max="13310" width="9.140625" style="12"/>
    <col min="13311" max="13311" width="11.5703125" style="12" bestFit="1" customWidth="1"/>
    <col min="13312" max="13312" width="20.7109375" style="12" customWidth="1"/>
    <col min="13313" max="13320" width="6.7109375" style="12" customWidth="1"/>
    <col min="13321" max="13321" width="9.140625" style="12"/>
    <col min="13322" max="13322" width="6.7109375" style="12" customWidth="1"/>
    <col min="13323" max="13566" width="9.140625" style="12"/>
    <col min="13567" max="13567" width="11.5703125" style="12" bestFit="1" customWidth="1"/>
    <col min="13568" max="13568" width="20.7109375" style="12" customWidth="1"/>
    <col min="13569" max="13576" width="6.7109375" style="12" customWidth="1"/>
    <col min="13577" max="13577" width="9.140625" style="12"/>
    <col min="13578" max="13578" width="6.7109375" style="12" customWidth="1"/>
    <col min="13579" max="13822" width="9.140625" style="12"/>
    <col min="13823" max="13823" width="11.5703125" style="12" bestFit="1" customWidth="1"/>
    <col min="13824" max="13824" width="20.7109375" style="12" customWidth="1"/>
    <col min="13825" max="13832" width="6.7109375" style="12" customWidth="1"/>
    <col min="13833" max="13833" width="9.140625" style="12"/>
    <col min="13834" max="13834" width="6.7109375" style="12" customWidth="1"/>
    <col min="13835" max="14078" width="9.140625" style="12"/>
    <col min="14079" max="14079" width="11.5703125" style="12" bestFit="1" customWidth="1"/>
    <col min="14080" max="14080" width="20.7109375" style="12" customWidth="1"/>
    <col min="14081" max="14088" width="6.7109375" style="12" customWidth="1"/>
    <col min="14089" max="14089" width="9.140625" style="12"/>
    <col min="14090" max="14090" width="6.7109375" style="12" customWidth="1"/>
    <col min="14091" max="14334" width="9.140625" style="12"/>
    <col min="14335" max="14335" width="11.5703125" style="12" bestFit="1" customWidth="1"/>
    <col min="14336" max="14336" width="20.7109375" style="12" customWidth="1"/>
    <col min="14337" max="14344" width="6.7109375" style="12" customWidth="1"/>
    <col min="14345" max="14345" width="9.140625" style="12"/>
    <col min="14346" max="14346" width="6.7109375" style="12" customWidth="1"/>
    <col min="14347" max="14590" width="9.140625" style="12"/>
    <col min="14591" max="14591" width="11.5703125" style="12" bestFit="1" customWidth="1"/>
    <col min="14592" max="14592" width="20.7109375" style="12" customWidth="1"/>
    <col min="14593" max="14600" width="6.7109375" style="12" customWidth="1"/>
    <col min="14601" max="14601" width="9.140625" style="12"/>
    <col min="14602" max="14602" width="6.7109375" style="12" customWidth="1"/>
    <col min="14603" max="14846" width="9.140625" style="12"/>
    <col min="14847" max="14847" width="11.5703125" style="12" bestFit="1" customWidth="1"/>
    <col min="14848" max="14848" width="20.7109375" style="12" customWidth="1"/>
    <col min="14849" max="14856" width="6.7109375" style="12" customWidth="1"/>
    <col min="14857" max="14857" width="9.140625" style="12"/>
    <col min="14858" max="14858" width="6.7109375" style="12" customWidth="1"/>
    <col min="14859" max="15102" width="9.140625" style="12"/>
    <col min="15103" max="15103" width="11.5703125" style="12" bestFit="1" customWidth="1"/>
    <col min="15104" max="15104" width="20.7109375" style="12" customWidth="1"/>
    <col min="15105" max="15112" width="6.7109375" style="12" customWidth="1"/>
    <col min="15113" max="15113" width="9.140625" style="12"/>
    <col min="15114" max="15114" width="6.7109375" style="12" customWidth="1"/>
    <col min="15115" max="15358" width="9.140625" style="12"/>
    <col min="15359" max="15359" width="11.5703125" style="12" bestFit="1" customWidth="1"/>
    <col min="15360" max="15360" width="20.7109375" style="12" customWidth="1"/>
    <col min="15361" max="15368" width="6.7109375" style="12" customWidth="1"/>
    <col min="15369" max="15369" width="9.140625" style="12"/>
    <col min="15370" max="15370" width="6.7109375" style="12" customWidth="1"/>
    <col min="15371" max="15614" width="9.140625" style="12"/>
    <col min="15615" max="15615" width="11.5703125" style="12" bestFit="1" customWidth="1"/>
    <col min="15616" max="15616" width="20.7109375" style="12" customWidth="1"/>
    <col min="15617" max="15624" width="6.7109375" style="12" customWidth="1"/>
    <col min="15625" max="15625" width="9.140625" style="12"/>
    <col min="15626" max="15626" width="6.7109375" style="12" customWidth="1"/>
    <col min="15627" max="15870" width="9.140625" style="12"/>
    <col min="15871" max="15871" width="11.5703125" style="12" bestFit="1" customWidth="1"/>
    <col min="15872" max="15872" width="20.7109375" style="12" customWidth="1"/>
    <col min="15873" max="15880" width="6.7109375" style="12" customWidth="1"/>
    <col min="15881" max="15881" width="9.140625" style="12"/>
    <col min="15882" max="15882" width="6.7109375" style="12" customWidth="1"/>
    <col min="15883" max="16126" width="9.140625" style="12"/>
    <col min="16127" max="16127" width="11.5703125" style="12" bestFit="1" customWidth="1"/>
    <col min="16128" max="16128" width="20.7109375" style="12" customWidth="1"/>
    <col min="16129" max="16136" width="6.7109375" style="12" customWidth="1"/>
    <col min="16137" max="16137" width="9.140625" style="12"/>
    <col min="16138" max="16138" width="6.7109375" style="12" customWidth="1"/>
    <col min="16139" max="16375" width="9.140625" style="12"/>
    <col min="16376" max="16381" width="9.140625" style="12" customWidth="1"/>
    <col min="16382" max="16382" width="9.140625" style="12"/>
    <col min="16383" max="16384" width="9.140625" style="12" customWidth="1"/>
  </cols>
  <sheetData>
    <row r="1" spans="1:22" s="53" customFormat="1" ht="37.5" customHeight="1" thickBot="1" x14ac:dyDescent="0.25">
      <c r="A1" s="55"/>
      <c r="B1" s="55"/>
      <c r="C1" s="55"/>
      <c r="D1" s="55"/>
      <c r="E1" s="55"/>
      <c r="F1" s="55"/>
      <c r="G1" s="55"/>
      <c r="H1" s="55"/>
      <c r="I1" s="55"/>
      <c r="J1" s="55"/>
      <c r="K1" s="804"/>
      <c r="L1" s="55"/>
      <c r="M1" s="55"/>
      <c r="N1" s="55"/>
      <c r="O1" s="55"/>
      <c r="P1" s="55"/>
      <c r="Q1" s="55"/>
      <c r="R1" s="54"/>
      <c r="S1" s="62"/>
      <c r="T1" s="62"/>
      <c r="U1" s="62"/>
      <c r="V1" s="62"/>
    </row>
    <row r="2" spans="1:22" s="54" customFormat="1" ht="12.75" x14ac:dyDescent="0.2">
      <c r="A2" s="213" t="s">
        <v>96</v>
      </c>
      <c r="B2" s="648" t="str">
        <f>ORÇAMENTO!I4</f>
        <v>SENSE106</v>
      </c>
      <c r="C2" s="59"/>
      <c r="D2" s="59"/>
      <c r="E2" s="59"/>
      <c r="F2" s="59"/>
      <c r="G2" s="59"/>
      <c r="H2" s="214" t="s">
        <v>15</v>
      </c>
      <c r="J2" s="214"/>
      <c r="K2" s="214" t="s">
        <v>8</v>
      </c>
    </row>
    <row r="3" spans="1:22" s="54" customFormat="1" ht="15" customHeight="1" x14ac:dyDescent="0.2">
      <c r="A3" s="58" t="str">
        <f>ORÇAMENTO!G5</f>
        <v>EMPRESA:</v>
      </c>
      <c r="B3" s="648" t="str">
        <f>ORÇAMENTO!I5</f>
        <v>HOLZE EMPREENDIMENTOS</v>
      </c>
      <c r="C3" s="59"/>
      <c r="D3" s="59"/>
      <c r="E3" s="59"/>
      <c r="F3" s="59"/>
      <c r="G3" s="59"/>
      <c r="H3" s="58" t="str">
        <f>ORÇAMENTO!O5</f>
        <v>R01 - Edileni Silva</v>
      </c>
      <c r="J3" s="60"/>
      <c r="K3" s="61">
        <f>ORÇAMENTO!P5</f>
        <v>45608</v>
      </c>
    </row>
    <row r="4" spans="1:22" ht="20.100000000000001" customHeight="1" x14ac:dyDescent="0.2">
      <c r="A4" s="1328" t="s">
        <v>11</v>
      </c>
      <c r="B4" s="91" t="s">
        <v>101</v>
      </c>
      <c r="C4" s="87"/>
      <c r="D4" s="87"/>
      <c r="E4" s="1328" t="s">
        <v>18</v>
      </c>
      <c r="F4" s="91" t="s">
        <v>47</v>
      </c>
      <c r="G4" s="91"/>
      <c r="H4" s="86"/>
      <c r="I4" s="86" t="s">
        <v>99</v>
      </c>
      <c r="J4" s="87"/>
      <c r="K4" s="92"/>
      <c r="M4" s="1330" t="s">
        <v>97</v>
      </c>
      <c r="N4" s="1332"/>
      <c r="P4" s="1330" t="s">
        <v>469</v>
      </c>
      <c r="Q4" s="1332"/>
    </row>
    <row r="5" spans="1:22" ht="24" customHeight="1" x14ac:dyDescent="0.2">
      <c r="A5" s="1348"/>
      <c r="B5" s="89" t="s">
        <v>76</v>
      </c>
      <c r="C5" s="89" t="s">
        <v>77</v>
      </c>
      <c r="D5" s="90" t="s">
        <v>75</v>
      </c>
      <c r="E5" s="1348"/>
      <c r="F5" s="88" t="s">
        <v>78</v>
      </c>
      <c r="G5" s="88" t="s">
        <v>55</v>
      </c>
      <c r="H5" s="88" t="s">
        <v>9</v>
      </c>
      <c r="I5" s="89" t="s">
        <v>55</v>
      </c>
      <c r="J5" s="90" t="s">
        <v>9</v>
      </c>
      <c r="K5" s="88" t="s">
        <v>100</v>
      </c>
      <c r="M5" s="148" t="s">
        <v>4</v>
      </c>
      <c r="N5" s="118" t="s">
        <v>100</v>
      </c>
      <c r="P5" s="148" t="s">
        <v>1</v>
      </c>
      <c r="Q5" s="118" t="s">
        <v>470</v>
      </c>
    </row>
    <row r="6" spans="1:22" ht="14.1" customHeight="1" x14ac:dyDescent="0.2">
      <c r="A6" s="117" t="s">
        <v>228</v>
      </c>
      <c r="B6" s="106"/>
      <c r="C6" s="106"/>
      <c r="D6" s="106"/>
      <c r="E6" s="106"/>
      <c r="F6" s="106"/>
      <c r="G6" s="106"/>
      <c r="H6" s="106"/>
      <c r="I6" s="106"/>
      <c r="J6" s="107"/>
      <c r="K6" s="253"/>
      <c r="M6" s="119">
        <f t="shared" ref="M6:M13" si="0">IF(N6="","",SUMIF($K$6:$K$61,N6,$J$6:$J$61))</f>
        <v>0</v>
      </c>
      <c r="N6" s="121" t="s">
        <v>1215</v>
      </c>
      <c r="P6" s="119">
        <f t="shared" ref="P6:P13" si="1">IF(Q6="","",SUMIF($K$6:$K$61,Q6,$H$6:$H$61))</f>
        <v>0</v>
      </c>
      <c r="Q6" s="121" t="s">
        <v>1215</v>
      </c>
    </row>
    <row r="7" spans="1:22" ht="14.1" customHeight="1" x14ac:dyDescent="0.2">
      <c r="A7" s="48"/>
      <c r="B7" s="16"/>
      <c r="C7" s="16"/>
      <c r="D7" s="16"/>
      <c r="E7" s="14"/>
      <c r="F7" s="14">
        <v>0</v>
      </c>
      <c r="G7" s="13"/>
      <c r="H7" s="636"/>
      <c r="I7" s="13"/>
      <c r="J7" s="637"/>
      <c r="K7" s="254"/>
      <c r="M7" s="119">
        <f t="shared" si="0"/>
        <v>41.61</v>
      </c>
      <c r="N7" s="121" t="s">
        <v>411</v>
      </c>
      <c r="P7" s="119">
        <f t="shared" si="1"/>
        <v>381.74</v>
      </c>
      <c r="Q7" s="121" t="s">
        <v>411</v>
      </c>
    </row>
    <row r="8" spans="1:22" ht="14.1" customHeight="1" x14ac:dyDescent="0.2">
      <c r="A8" s="117" t="s">
        <v>401</v>
      </c>
      <c r="B8" s="106"/>
      <c r="C8" s="106"/>
      <c r="D8" s="106"/>
      <c r="E8" s="106"/>
      <c r="F8" s="106"/>
      <c r="G8" s="106"/>
      <c r="H8" s="106"/>
      <c r="I8" s="106"/>
      <c r="J8" s="107"/>
      <c r="K8" s="253"/>
      <c r="M8" s="120">
        <f t="shared" si="0"/>
        <v>30.259999999999998</v>
      </c>
      <c r="N8" s="121" t="s">
        <v>412</v>
      </c>
      <c r="P8" s="119">
        <f t="shared" si="1"/>
        <v>272.63</v>
      </c>
      <c r="Q8" s="121" t="s">
        <v>412</v>
      </c>
    </row>
    <row r="9" spans="1:22" ht="14.1" customHeight="1" x14ac:dyDescent="0.2">
      <c r="A9" s="638" t="s">
        <v>415</v>
      </c>
      <c r="B9" s="16"/>
      <c r="C9" s="16"/>
      <c r="D9" s="16"/>
      <c r="E9" s="14"/>
      <c r="F9" s="14">
        <v>4</v>
      </c>
      <c r="G9" s="13">
        <f>IF(F9=2,C9*2*D9,IF(F9=4,(B9+C9)*2*D9,0))</f>
        <v>0</v>
      </c>
      <c r="H9" s="636">
        <v>142.56</v>
      </c>
      <c r="I9" s="13">
        <f>B9*D9*C9</f>
        <v>0</v>
      </c>
      <c r="J9" s="637">
        <v>13.07</v>
      </c>
      <c r="K9" s="254" t="s">
        <v>411</v>
      </c>
      <c r="M9" s="120">
        <f t="shared" si="0"/>
        <v>30.259999999999998</v>
      </c>
      <c r="N9" s="121" t="s">
        <v>413</v>
      </c>
      <c r="P9" s="119">
        <f t="shared" si="1"/>
        <v>272.63</v>
      </c>
      <c r="Q9" s="121" t="s">
        <v>413</v>
      </c>
    </row>
    <row r="10" spans="1:22" ht="14.1" customHeight="1" x14ac:dyDescent="0.2">
      <c r="A10" s="638" t="s">
        <v>416</v>
      </c>
      <c r="B10" s="16"/>
      <c r="C10" s="16"/>
      <c r="D10" s="16"/>
      <c r="E10" s="14"/>
      <c r="F10" s="14">
        <v>4</v>
      </c>
      <c r="G10" s="13">
        <f>IF(F10=2,C10*2*D10,IF(F10=4,(B10+C10)*2*D10,0))</f>
        <v>0</v>
      </c>
      <c r="H10" s="636">
        <v>88.7</v>
      </c>
      <c r="I10" s="13">
        <f>B10*D10*C10</f>
        <v>0</v>
      </c>
      <c r="J10" s="637">
        <v>10.35</v>
      </c>
      <c r="K10" s="254" t="s">
        <v>411</v>
      </c>
      <c r="M10" s="120">
        <f t="shared" si="0"/>
        <v>37.700000000000003</v>
      </c>
      <c r="N10" s="121" t="s">
        <v>414</v>
      </c>
      <c r="P10" s="119">
        <f t="shared" si="1"/>
        <v>345.98999999999995</v>
      </c>
      <c r="Q10" s="121" t="s">
        <v>414</v>
      </c>
    </row>
    <row r="11" spans="1:22" ht="14.1" customHeight="1" x14ac:dyDescent="0.2">
      <c r="A11" s="638" t="s">
        <v>417</v>
      </c>
      <c r="B11" s="16"/>
      <c r="C11" s="16"/>
      <c r="D11" s="16"/>
      <c r="E11" s="14"/>
      <c r="F11" s="14">
        <v>4</v>
      </c>
      <c r="G11" s="13">
        <f>IF(F11=2,C11*2*D11,IF(F11=4,(B11+C11)*2*D11,0))</f>
        <v>0</v>
      </c>
      <c r="H11" s="636">
        <v>150.47999999999999</v>
      </c>
      <c r="I11" s="13">
        <f>B11*D11*C11</f>
        <v>0</v>
      </c>
      <c r="J11" s="637">
        <v>18.190000000000001</v>
      </c>
      <c r="K11" s="254" t="s">
        <v>411</v>
      </c>
      <c r="M11" s="120">
        <f t="shared" si="0"/>
        <v>504.28</v>
      </c>
      <c r="N11" s="122" t="s">
        <v>445</v>
      </c>
      <c r="P11" s="119">
        <f t="shared" si="1"/>
        <v>4413.1499999999996</v>
      </c>
      <c r="Q11" s="122" t="s">
        <v>445</v>
      </c>
    </row>
    <row r="12" spans="1:22" ht="14.1" customHeight="1" x14ac:dyDescent="0.2">
      <c r="A12" s="63"/>
      <c r="B12" s="64"/>
      <c r="C12" s="64"/>
      <c r="D12" s="64"/>
      <c r="E12" s="65"/>
      <c r="F12" s="65"/>
      <c r="G12" s="41"/>
      <c r="H12" s="41"/>
      <c r="I12" s="41"/>
      <c r="J12" s="66"/>
      <c r="K12" s="254"/>
      <c r="M12" s="120">
        <f t="shared" si="0"/>
        <v>25.11</v>
      </c>
      <c r="N12" s="122" t="s">
        <v>458</v>
      </c>
      <c r="P12" s="119">
        <f t="shared" si="1"/>
        <v>220.01</v>
      </c>
      <c r="Q12" s="122" t="s">
        <v>458</v>
      </c>
    </row>
    <row r="13" spans="1:22" ht="14.1" customHeight="1" x14ac:dyDescent="0.2">
      <c r="A13" s="117" t="s">
        <v>402</v>
      </c>
      <c r="B13" s="106"/>
      <c r="C13" s="106"/>
      <c r="D13" s="106"/>
      <c r="E13" s="106"/>
      <c r="F13" s="106"/>
      <c r="G13" s="106"/>
      <c r="H13" s="106"/>
      <c r="I13" s="106"/>
      <c r="J13" s="107"/>
      <c r="K13" s="253"/>
      <c r="M13" s="120">
        <f t="shared" si="0"/>
        <v>24.97</v>
      </c>
      <c r="N13" s="122" t="s">
        <v>464</v>
      </c>
      <c r="P13" s="119">
        <f t="shared" si="1"/>
        <v>215.22000000000003</v>
      </c>
      <c r="Q13" s="122" t="s">
        <v>464</v>
      </c>
    </row>
    <row r="14" spans="1:22" ht="14.1" customHeight="1" x14ac:dyDescent="0.2">
      <c r="A14" s="48" t="s">
        <v>426</v>
      </c>
      <c r="B14" s="16"/>
      <c r="C14" s="16"/>
      <c r="D14" s="16"/>
      <c r="E14" s="14"/>
      <c r="F14" s="14">
        <v>4</v>
      </c>
      <c r="G14" s="13">
        <f>IF(F14=2,C14*2*D14,IF(F14=4,(B14+C14)*2*D14,0))</f>
        <v>0</v>
      </c>
      <c r="H14" s="636">
        <v>133.34</v>
      </c>
      <c r="I14" s="13">
        <f>B14*D14*C14</f>
        <v>0</v>
      </c>
      <c r="J14" s="637">
        <v>12.82</v>
      </c>
      <c r="K14" s="254" t="s">
        <v>412</v>
      </c>
      <c r="M14" s="123">
        <f>SUM(M6:M13)</f>
        <v>694.18999999999994</v>
      </c>
      <c r="N14" s="141" t="str">
        <f>IF(J61=M14,"OK","Conferir")</f>
        <v>OK</v>
      </c>
      <c r="P14" s="123">
        <f>SUM(P6:P13)</f>
        <v>6121.37</v>
      </c>
      <c r="Q14" s="141" t="str">
        <f>IF(H61=P14,"OK","Conferir")</f>
        <v>OK</v>
      </c>
    </row>
    <row r="15" spans="1:22" ht="14.1" customHeight="1" x14ac:dyDescent="0.2">
      <c r="A15" s="48" t="s">
        <v>427</v>
      </c>
      <c r="B15" s="16"/>
      <c r="C15" s="16"/>
      <c r="D15" s="16"/>
      <c r="E15" s="14"/>
      <c r="F15" s="14">
        <v>4</v>
      </c>
      <c r="G15" s="13">
        <f>IF(F15=2,C15*2*D15,IF(F15=4,(B15+C15)*2*D15,0))</f>
        <v>0</v>
      </c>
      <c r="H15" s="636">
        <v>33.880000000000003</v>
      </c>
      <c r="I15" s="13">
        <f>B15*D15*C15</f>
        <v>0</v>
      </c>
      <c r="J15" s="637">
        <v>4.5</v>
      </c>
      <c r="K15" s="254" t="s">
        <v>412</v>
      </c>
    </row>
    <row r="16" spans="1:22" ht="14.1" customHeight="1" x14ac:dyDescent="0.2">
      <c r="A16" s="48" t="s">
        <v>428</v>
      </c>
      <c r="B16" s="16"/>
      <c r="C16" s="16"/>
      <c r="D16" s="16"/>
      <c r="E16" s="14"/>
      <c r="F16" s="14">
        <v>4</v>
      </c>
      <c r="G16" s="13">
        <f>IF(F16=2,C16*2*D16,IF(F16=4,(B16+C16)*2*D16,0))</f>
        <v>0</v>
      </c>
      <c r="H16" s="636">
        <v>105.41</v>
      </c>
      <c r="I16" s="13">
        <f>B16*D16*C16</f>
        <v>0</v>
      </c>
      <c r="J16" s="637">
        <v>12.94</v>
      </c>
      <c r="K16" s="254" t="s">
        <v>412</v>
      </c>
    </row>
    <row r="17" spans="1:11" ht="14.1" customHeight="1" x14ac:dyDescent="0.2">
      <c r="A17" s="48"/>
      <c r="B17" s="16"/>
      <c r="C17" s="16"/>
      <c r="D17" s="16"/>
      <c r="E17" s="14"/>
      <c r="F17" s="14"/>
      <c r="G17" s="13"/>
      <c r="H17" s="636"/>
      <c r="I17" s="13"/>
      <c r="J17" s="637"/>
      <c r="K17" s="254"/>
    </row>
    <row r="18" spans="1:11" ht="14.1" customHeight="1" x14ac:dyDescent="0.2">
      <c r="A18" s="117" t="s">
        <v>403</v>
      </c>
      <c r="B18" s="106"/>
      <c r="C18" s="106"/>
      <c r="D18" s="106"/>
      <c r="E18" s="106"/>
      <c r="F18" s="106"/>
      <c r="G18" s="106"/>
      <c r="H18" s="106"/>
      <c r="I18" s="106"/>
      <c r="J18" s="107"/>
      <c r="K18" s="253"/>
    </row>
    <row r="19" spans="1:11" ht="14.1" customHeight="1" x14ac:dyDescent="0.2">
      <c r="A19" s="48" t="s">
        <v>432</v>
      </c>
      <c r="B19" s="16"/>
      <c r="C19" s="16"/>
      <c r="D19" s="16"/>
      <c r="E19" s="14"/>
      <c r="F19" s="14">
        <v>4</v>
      </c>
      <c r="G19" s="13">
        <f>IF(F19=2,C19*2*D19,IF(F19=4,(B19+C19)*2*D19,0))</f>
        <v>0</v>
      </c>
      <c r="H19" s="636">
        <v>133.34</v>
      </c>
      <c r="I19" s="13">
        <f>B19*D19*C19</f>
        <v>0</v>
      </c>
      <c r="J19" s="637">
        <v>12.82</v>
      </c>
      <c r="K19" s="254" t="s">
        <v>413</v>
      </c>
    </row>
    <row r="20" spans="1:11" ht="14.1" customHeight="1" x14ac:dyDescent="0.2">
      <c r="A20" s="48" t="s">
        <v>433</v>
      </c>
      <c r="B20" s="16"/>
      <c r="C20" s="16"/>
      <c r="D20" s="16"/>
      <c r="E20" s="14"/>
      <c r="F20" s="14">
        <v>4</v>
      </c>
      <c r="G20" s="13">
        <f>IF(F20=2,C20*2*D20,IF(F20=4,(B20+C20)*2*D20,0))</f>
        <v>0</v>
      </c>
      <c r="H20" s="636">
        <v>33.880000000000003</v>
      </c>
      <c r="I20" s="13">
        <f>B20*D20*C20</f>
        <v>0</v>
      </c>
      <c r="J20" s="637">
        <v>4.5</v>
      </c>
      <c r="K20" s="254" t="s">
        <v>413</v>
      </c>
    </row>
    <row r="21" spans="1:11" ht="14.1" customHeight="1" x14ac:dyDescent="0.2">
      <c r="A21" s="48" t="s">
        <v>434</v>
      </c>
      <c r="B21" s="16"/>
      <c r="C21" s="16"/>
      <c r="D21" s="16"/>
      <c r="E21" s="14"/>
      <c r="F21" s="14">
        <v>4</v>
      </c>
      <c r="G21" s="13">
        <f>IF(F21=2,C21*2*D21,IF(F21=4,(B21+C21)*2*D21,0))</f>
        <v>0</v>
      </c>
      <c r="H21" s="636">
        <v>105.41</v>
      </c>
      <c r="I21" s="13">
        <f>B21*D21*C21</f>
        <v>0</v>
      </c>
      <c r="J21" s="637">
        <v>12.94</v>
      </c>
      <c r="K21" s="254" t="s">
        <v>413</v>
      </c>
    </row>
    <row r="22" spans="1:11" ht="14.1" customHeight="1" x14ac:dyDescent="0.2">
      <c r="A22" s="48"/>
      <c r="B22" s="16"/>
      <c r="C22" s="16"/>
      <c r="D22" s="16"/>
      <c r="E22" s="14"/>
      <c r="F22" s="14"/>
      <c r="G22" s="13"/>
      <c r="H22" s="636"/>
      <c r="I22" s="13"/>
      <c r="J22" s="637"/>
      <c r="K22" s="254"/>
    </row>
    <row r="23" spans="1:11" ht="14.1" customHeight="1" x14ac:dyDescent="0.2">
      <c r="A23" s="117" t="s">
        <v>229</v>
      </c>
      <c r="B23" s="106"/>
      <c r="C23" s="106"/>
      <c r="D23" s="106"/>
      <c r="E23" s="106"/>
      <c r="F23" s="106"/>
      <c r="G23" s="106"/>
      <c r="H23" s="106"/>
      <c r="I23" s="106"/>
      <c r="J23" s="107"/>
      <c r="K23" s="253"/>
    </row>
    <row r="24" spans="1:11" ht="14.1" customHeight="1" x14ac:dyDescent="0.2">
      <c r="A24" s="48" t="s">
        <v>435</v>
      </c>
      <c r="B24" s="16"/>
      <c r="C24" s="16"/>
      <c r="D24" s="16"/>
      <c r="E24" s="14"/>
      <c r="F24" s="14">
        <v>4</v>
      </c>
      <c r="G24" s="13">
        <f>IF(F24=2,C24*2*D24,IF(F24=4,(B24+C24)*2*D24,0))</f>
        <v>0</v>
      </c>
      <c r="H24" s="636">
        <v>166.23</v>
      </c>
      <c r="I24" s="13">
        <f>B24*D24*C24</f>
        <v>0</v>
      </c>
      <c r="J24" s="637">
        <v>15.97</v>
      </c>
      <c r="K24" s="254" t="s">
        <v>414</v>
      </c>
    </row>
    <row r="25" spans="1:11" ht="14.1" customHeight="1" x14ac:dyDescent="0.2">
      <c r="A25" s="48" t="s">
        <v>436</v>
      </c>
      <c r="B25" s="16"/>
      <c r="C25" s="16"/>
      <c r="D25" s="16"/>
      <c r="E25" s="14"/>
      <c r="F25" s="14">
        <v>4</v>
      </c>
      <c r="G25" s="13">
        <f>IF(F25=2,C25*2*D25,IF(F25=4,(B25+C25)*2*D25,0))</f>
        <v>0</v>
      </c>
      <c r="H25" s="636">
        <v>48.6</v>
      </c>
      <c r="I25" s="13">
        <f>B25*D25*C25</f>
        <v>0</v>
      </c>
      <c r="J25" s="637">
        <v>5.63</v>
      </c>
      <c r="K25" s="254" t="s">
        <v>414</v>
      </c>
    </row>
    <row r="26" spans="1:11" ht="14.1" customHeight="1" x14ac:dyDescent="0.2">
      <c r="A26" s="48" t="s">
        <v>437</v>
      </c>
      <c r="B26" s="16"/>
      <c r="C26" s="16"/>
      <c r="D26" s="16"/>
      <c r="E26" s="14"/>
      <c r="F26" s="14">
        <v>4</v>
      </c>
      <c r="G26" s="13">
        <f>IF(F26=2,C26*2*D26,IF(F26=4,(B26+C26)*2*D26,0))</f>
        <v>0</v>
      </c>
      <c r="H26" s="640">
        <v>87.96</v>
      </c>
      <c r="I26" s="41">
        <f>B26*D26*C26</f>
        <v>0</v>
      </c>
      <c r="J26" s="641">
        <v>10.92</v>
      </c>
      <c r="K26" s="254" t="s">
        <v>414</v>
      </c>
    </row>
    <row r="27" spans="1:11" ht="14.1" customHeight="1" x14ac:dyDescent="0.2">
      <c r="A27" s="48" t="s">
        <v>438</v>
      </c>
      <c r="B27" s="64"/>
      <c r="C27" s="64"/>
      <c r="D27" s="64"/>
      <c r="E27" s="65"/>
      <c r="F27" s="65">
        <v>4</v>
      </c>
      <c r="G27" s="41">
        <f>IF(F27=2,C27*2*D27,IF(F27=4,(B27+C27)*2*D27,0))</f>
        <v>0</v>
      </c>
      <c r="H27" s="640">
        <v>43.2</v>
      </c>
      <c r="I27" s="41">
        <f>B27*D27*C27</f>
        <v>0</v>
      </c>
      <c r="J27" s="641">
        <v>5.18</v>
      </c>
      <c r="K27" s="254" t="s">
        <v>414</v>
      </c>
    </row>
    <row r="28" spans="1:11" ht="14.1" customHeight="1" x14ac:dyDescent="0.2">
      <c r="A28" s="117" t="s">
        <v>405</v>
      </c>
      <c r="B28" s="106"/>
      <c r="C28" s="106"/>
      <c r="D28" s="106"/>
      <c r="E28" s="106"/>
      <c r="F28" s="106"/>
      <c r="G28" s="106"/>
      <c r="H28" s="106"/>
      <c r="I28" s="106"/>
      <c r="J28" s="107"/>
      <c r="K28" s="253"/>
    </row>
    <row r="29" spans="1:11" ht="14.1" customHeight="1" x14ac:dyDescent="0.2">
      <c r="A29" s="48" t="s">
        <v>439</v>
      </c>
      <c r="B29" s="16"/>
      <c r="C29" s="16"/>
      <c r="D29" s="16"/>
      <c r="E29" s="14">
        <v>1</v>
      </c>
      <c r="F29" s="14">
        <v>4</v>
      </c>
      <c r="G29" s="13">
        <v>72.58</v>
      </c>
      <c r="H29" s="636">
        <f>E29*G29</f>
        <v>72.58</v>
      </c>
      <c r="I29" s="13">
        <v>8.4600000000000009</v>
      </c>
      <c r="J29" s="637">
        <f>I29*E29</f>
        <v>8.4600000000000009</v>
      </c>
      <c r="K29" s="254" t="s">
        <v>445</v>
      </c>
    </row>
    <row r="30" spans="1:11" ht="14.1" customHeight="1" x14ac:dyDescent="0.2">
      <c r="A30" s="48" t="s">
        <v>440</v>
      </c>
      <c r="B30" s="16"/>
      <c r="C30" s="16"/>
      <c r="D30" s="16"/>
      <c r="E30" s="14">
        <v>1</v>
      </c>
      <c r="F30" s="14">
        <v>4</v>
      </c>
      <c r="G30" s="13">
        <v>98.17</v>
      </c>
      <c r="H30" s="636">
        <f>E30*G30</f>
        <v>98.17</v>
      </c>
      <c r="I30" s="13">
        <v>10.98</v>
      </c>
      <c r="J30" s="637">
        <f>I30*E30</f>
        <v>10.98</v>
      </c>
      <c r="K30" s="254" t="s">
        <v>445</v>
      </c>
    </row>
    <row r="31" spans="1:11" ht="14.1" customHeight="1" x14ac:dyDescent="0.2">
      <c r="A31" s="48" t="s">
        <v>441</v>
      </c>
      <c r="B31" s="16"/>
      <c r="C31" s="16"/>
      <c r="D31" s="16"/>
      <c r="E31" s="14">
        <v>1</v>
      </c>
      <c r="F31" s="14">
        <v>4</v>
      </c>
      <c r="G31" s="13">
        <v>62.21</v>
      </c>
      <c r="H31" s="636">
        <f>E31*G31</f>
        <v>62.21</v>
      </c>
      <c r="I31" s="13">
        <v>7.14</v>
      </c>
      <c r="J31" s="637">
        <f>I31*E31</f>
        <v>7.14</v>
      </c>
      <c r="K31" s="254" t="s">
        <v>445</v>
      </c>
    </row>
    <row r="32" spans="1:11" ht="14.1" customHeight="1" x14ac:dyDescent="0.2">
      <c r="A32" s="48"/>
      <c r="B32" s="16"/>
      <c r="C32" s="16"/>
      <c r="D32" s="16"/>
      <c r="E32" s="14"/>
      <c r="F32" s="14"/>
      <c r="G32" s="13"/>
      <c r="H32" s="13"/>
      <c r="I32" s="13"/>
      <c r="J32" s="15"/>
      <c r="K32" s="254"/>
    </row>
    <row r="33" spans="1:11" ht="14.1" customHeight="1" x14ac:dyDescent="0.2">
      <c r="A33" s="48" t="s">
        <v>442</v>
      </c>
      <c r="B33" s="16"/>
      <c r="C33" s="16"/>
      <c r="D33" s="16"/>
      <c r="E33" s="14">
        <v>1</v>
      </c>
      <c r="F33" s="14">
        <v>4</v>
      </c>
      <c r="G33" s="13">
        <v>68.540000000000006</v>
      </c>
      <c r="H33" s="636">
        <f>E33*G33</f>
        <v>68.540000000000006</v>
      </c>
      <c r="I33" s="13">
        <v>7.99</v>
      </c>
      <c r="J33" s="637">
        <f>I33*E33</f>
        <v>7.99</v>
      </c>
      <c r="K33" s="254" t="s">
        <v>445</v>
      </c>
    </row>
    <row r="34" spans="1:11" ht="14.1" customHeight="1" x14ac:dyDescent="0.2">
      <c r="A34" s="48" t="s">
        <v>443</v>
      </c>
      <c r="B34" s="16"/>
      <c r="C34" s="16"/>
      <c r="D34" s="16"/>
      <c r="E34" s="14">
        <v>1</v>
      </c>
      <c r="F34" s="14">
        <v>4</v>
      </c>
      <c r="G34" s="13">
        <v>92.72</v>
      </c>
      <c r="H34" s="636">
        <f>E34*G34</f>
        <v>92.72</v>
      </c>
      <c r="I34" s="13">
        <v>10.98</v>
      </c>
      <c r="J34" s="637">
        <f>I34*E34</f>
        <v>10.98</v>
      </c>
      <c r="K34" s="254" t="s">
        <v>445</v>
      </c>
    </row>
    <row r="35" spans="1:11" ht="14.1" customHeight="1" x14ac:dyDescent="0.2">
      <c r="A35" s="48" t="s">
        <v>444</v>
      </c>
      <c r="B35" s="16"/>
      <c r="C35" s="16"/>
      <c r="D35" s="16"/>
      <c r="E35" s="14">
        <v>1</v>
      </c>
      <c r="F35" s="14">
        <v>4</v>
      </c>
      <c r="G35" s="13">
        <v>58.75</v>
      </c>
      <c r="H35" s="636">
        <f>E35*G35</f>
        <v>58.75</v>
      </c>
      <c r="I35" s="13">
        <v>6.75</v>
      </c>
      <c r="J35" s="637">
        <f>I35*E35</f>
        <v>6.75</v>
      </c>
      <c r="K35" s="254" t="s">
        <v>445</v>
      </c>
    </row>
    <row r="36" spans="1:11" ht="14.1" customHeight="1" x14ac:dyDescent="0.2">
      <c r="A36" s="48"/>
      <c r="B36" s="16"/>
      <c r="C36" s="16"/>
      <c r="D36" s="16"/>
      <c r="E36" s="14"/>
      <c r="F36" s="14"/>
      <c r="G36" s="13"/>
      <c r="H36" s="13"/>
      <c r="I36" s="13"/>
      <c r="J36" s="15"/>
      <c r="K36" s="254"/>
    </row>
    <row r="37" spans="1:11" ht="14.1" customHeight="1" x14ac:dyDescent="0.2">
      <c r="A37" s="48" t="s">
        <v>447</v>
      </c>
      <c r="B37" s="16"/>
      <c r="C37" s="16"/>
      <c r="D37" s="16"/>
      <c r="E37" s="14">
        <v>1</v>
      </c>
      <c r="F37" s="14">
        <v>4</v>
      </c>
      <c r="G37" s="13">
        <v>68.540000000000006</v>
      </c>
      <c r="H37" s="636">
        <f>E37*G37</f>
        <v>68.540000000000006</v>
      </c>
      <c r="I37" s="13">
        <v>7.99</v>
      </c>
      <c r="J37" s="637">
        <f>I37*E37</f>
        <v>7.99</v>
      </c>
      <c r="K37" s="254" t="s">
        <v>445</v>
      </c>
    </row>
    <row r="38" spans="1:11" ht="14.1" customHeight="1" x14ac:dyDescent="0.2">
      <c r="A38" s="48" t="s">
        <v>448</v>
      </c>
      <c r="B38" s="16"/>
      <c r="C38" s="16"/>
      <c r="D38" s="16"/>
      <c r="E38" s="14">
        <v>1</v>
      </c>
      <c r="F38" s="14">
        <v>4</v>
      </c>
      <c r="G38" s="13">
        <v>92.72</v>
      </c>
      <c r="H38" s="636">
        <f>E38*G38</f>
        <v>92.72</v>
      </c>
      <c r="I38" s="13">
        <v>10.37</v>
      </c>
      <c r="J38" s="637">
        <f>I38*E38</f>
        <v>10.37</v>
      </c>
      <c r="K38" s="254" t="s">
        <v>445</v>
      </c>
    </row>
    <row r="39" spans="1:11" ht="14.1" customHeight="1" x14ac:dyDescent="0.2">
      <c r="A39" s="48" t="s">
        <v>446</v>
      </c>
      <c r="B39" s="16"/>
      <c r="C39" s="16"/>
      <c r="D39" s="16"/>
      <c r="E39" s="14">
        <v>1</v>
      </c>
      <c r="F39" s="14">
        <v>4</v>
      </c>
      <c r="G39" s="13">
        <v>58.75</v>
      </c>
      <c r="H39" s="636">
        <f>E39*G39</f>
        <v>58.75</v>
      </c>
      <c r="I39" s="13">
        <v>6.75</v>
      </c>
      <c r="J39" s="637">
        <f>I39*E39</f>
        <v>6.75</v>
      </c>
      <c r="K39" s="254" t="s">
        <v>445</v>
      </c>
    </row>
    <row r="40" spans="1:11" ht="14.1" customHeight="1" x14ac:dyDescent="0.2">
      <c r="A40" s="48"/>
      <c r="B40" s="16"/>
      <c r="C40" s="16"/>
      <c r="D40" s="16"/>
      <c r="E40" s="14"/>
      <c r="F40" s="14"/>
      <c r="G40" s="13"/>
      <c r="H40" s="13"/>
      <c r="I40" s="13"/>
      <c r="J40" s="15"/>
      <c r="K40" s="254"/>
    </row>
    <row r="41" spans="1:11" ht="14.1" customHeight="1" x14ac:dyDescent="0.2">
      <c r="A41" s="48" t="s">
        <v>451</v>
      </c>
      <c r="B41" s="16"/>
      <c r="C41" s="16"/>
      <c r="D41" s="16"/>
      <c r="E41" s="14">
        <v>1</v>
      </c>
      <c r="F41" s="14">
        <v>4</v>
      </c>
      <c r="G41" s="13">
        <v>68.540000000000006</v>
      </c>
      <c r="H41" s="636">
        <f>E41*G41</f>
        <v>68.540000000000006</v>
      </c>
      <c r="I41" s="13">
        <v>7.99</v>
      </c>
      <c r="J41" s="637">
        <f>I41*E41</f>
        <v>7.99</v>
      </c>
      <c r="K41" s="254" t="s">
        <v>445</v>
      </c>
    </row>
    <row r="42" spans="1:11" ht="14.1" customHeight="1" x14ac:dyDescent="0.2">
      <c r="A42" s="48" t="s">
        <v>449</v>
      </c>
      <c r="B42" s="16"/>
      <c r="C42" s="16"/>
      <c r="D42" s="16"/>
      <c r="E42" s="14">
        <v>1</v>
      </c>
      <c r="F42" s="14">
        <v>4</v>
      </c>
      <c r="G42" s="13">
        <v>92.72</v>
      </c>
      <c r="H42" s="636">
        <f>E42*G42</f>
        <v>92.72</v>
      </c>
      <c r="I42" s="13">
        <v>10.37</v>
      </c>
      <c r="J42" s="637">
        <f>I42*E42</f>
        <v>10.37</v>
      </c>
      <c r="K42" s="254" t="s">
        <v>445</v>
      </c>
    </row>
    <row r="43" spans="1:11" ht="14.1" customHeight="1" x14ac:dyDescent="0.2">
      <c r="A43" s="48" t="s">
        <v>450</v>
      </c>
      <c r="B43" s="16"/>
      <c r="C43" s="16"/>
      <c r="D43" s="16"/>
      <c r="E43" s="14">
        <v>1</v>
      </c>
      <c r="F43" s="14">
        <v>4</v>
      </c>
      <c r="G43" s="13">
        <v>58.75</v>
      </c>
      <c r="H43" s="636">
        <f>E43*G43</f>
        <v>58.75</v>
      </c>
      <c r="I43" s="13">
        <v>6.75</v>
      </c>
      <c r="J43" s="637">
        <f>I43*E43</f>
        <v>6.75</v>
      </c>
      <c r="K43" s="254" t="s">
        <v>445</v>
      </c>
    </row>
    <row r="44" spans="1:11" ht="14.1" customHeight="1" x14ac:dyDescent="0.2">
      <c r="A44" s="48"/>
      <c r="B44" s="16"/>
      <c r="C44" s="16"/>
      <c r="D44" s="16"/>
      <c r="E44" s="14"/>
      <c r="F44" s="14"/>
      <c r="G44" s="13"/>
      <c r="H44" s="13"/>
      <c r="I44" s="13"/>
      <c r="J44" s="15"/>
      <c r="K44" s="254"/>
    </row>
    <row r="45" spans="1:11" ht="14.1" customHeight="1" x14ac:dyDescent="0.2">
      <c r="A45" s="48" t="s">
        <v>452</v>
      </c>
      <c r="B45" s="16"/>
      <c r="C45" s="16"/>
      <c r="D45" s="16"/>
      <c r="E45" s="14">
        <v>16</v>
      </c>
      <c r="F45" s="14">
        <v>4</v>
      </c>
      <c r="G45" s="13">
        <v>68.540000000000006</v>
      </c>
      <c r="H45" s="636">
        <f>E45*G45</f>
        <v>1096.6400000000001</v>
      </c>
      <c r="I45" s="13">
        <v>7.99</v>
      </c>
      <c r="J45" s="637">
        <f>I45*E45</f>
        <v>127.84</v>
      </c>
      <c r="K45" s="254" t="s">
        <v>445</v>
      </c>
    </row>
    <row r="46" spans="1:11" ht="14.1" customHeight="1" x14ac:dyDescent="0.2">
      <c r="A46" s="48" t="s">
        <v>453</v>
      </c>
      <c r="B46" s="16"/>
      <c r="C46" s="16"/>
      <c r="D46" s="16"/>
      <c r="E46" s="14">
        <v>16</v>
      </c>
      <c r="F46" s="14">
        <v>4</v>
      </c>
      <c r="G46" s="13">
        <v>92.72</v>
      </c>
      <c r="H46" s="636">
        <f>E46*G46</f>
        <v>1483.52</v>
      </c>
      <c r="I46" s="13">
        <v>10.37</v>
      </c>
      <c r="J46" s="637">
        <f>I46*E46</f>
        <v>165.92</v>
      </c>
      <c r="K46" s="254" t="s">
        <v>445</v>
      </c>
    </row>
    <row r="47" spans="1:11" ht="14.1" customHeight="1" x14ac:dyDescent="0.2">
      <c r="A47" s="48" t="s">
        <v>454</v>
      </c>
      <c r="B47" s="16"/>
      <c r="C47" s="16"/>
      <c r="D47" s="16"/>
      <c r="E47" s="14">
        <v>16</v>
      </c>
      <c r="F47" s="14">
        <v>4</v>
      </c>
      <c r="G47" s="13">
        <v>58.75</v>
      </c>
      <c r="H47" s="636">
        <f>E47*G47</f>
        <v>940</v>
      </c>
      <c r="I47" s="13">
        <v>6.75</v>
      </c>
      <c r="J47" s="637">
        <f>I47*E47</f>
        <v>108</v>
      </c>
      <c r="K47" s="254" t="s">
        <v>445</v>
      </c>
    </row>
    <row r="48" spans="1:11" ht="14.1" customHeight="1" x14ac:dyDescent="0.2">
      <c r="A48" s="48"/>
      <c r="B48" s="16"/>
      <c r="C48" s="16"/>
      <c r="D48" s="16"/>
      <c r="E48" s="14"/>
      <c r="F48" s="14"/>
      <c r="G48" s="13"/>
      <c r="H48" s="13"/>
      <c r="I48" s="13"/>
      <c r="J48" s="15"/>
      <c r="K48" s="254"/>
    </row>
    <row r="49" spans="1:11" ht="14.1" customHeight="1" x14ac:dyDescent="0.2">
      <c r="A49" s="117" t="s">
        <v>84</v>
      </c>
      <c r="B49" s="106"/>
      <c r="C49" s="106"/>
      <c r="D49" s="106"/>
      <c r="E49" s="106"/>
      <c r="F49" s="106"/>
      <c r="G49" s="106"/>
      <c r="H49" s="106"/>
      <c r="I49" s="106"/>
      <c r="J49" s="107"/>
      <c r="K49" s="253"/>
    </row>
    <row r="50" spans="1:11" ht="14.1" customHeight="1" x14ac:dyDescent="0.2">
      <c r="A50" s="48" t="s">
        <v>455</v>
      </c>
      <c r="B50" s="16"/>
      <c r="C50" s="16"/>
      <c r="D50" s="16"/>
      <c r="E50" s="14"/>
      <c r="F50" s="14">
        <v>4</v>
      </c>
      <c r="G50" s="13">
        <f>IF(F50=2,C50*2*D50,IF(F50=4,(B50+C50)*2*D50,0))</f>
        <v>0</v>
      </c>
      <c r="H50" s="636">
        <v>68.540000000000006</v>
      </c>
      <c r="I50" s="13">
        <f>B50*D50*C50</f>
        <v>0</v>
      </c>
      <c r="J50" s="637">
        <v>7.99</v>
      </c>
      <c r="K50" s="254" t="s">
        <v>458</v>
      </c>
    </row>
    <row r="51" spans="1:11" ht="14.1" customHeight="1" x14ac:dyDescent="0.2">
      <c r="A51" s="48" t="s">
        <v>456</v>
      </c>
      <c r="B51" s="16"/>
      <c r="C51" s="16"/>
      <c r="D51" s="16"/>
      <c r="E51" s="14"/>
      <c r="F51" s="14">
        <v>4</v>
      </c>
      <c r="G51" s="13">
        <f>IF(F51=2,C51*2*D51,IF(F51=4,(B51+C51)*2*D51,0))</f>
        <v>0</v>
      </c>
      <c r="H51" s="636">
        <v>77.42</v>
      </c>
      <c r="I51" s="13">
        <f>B51*D51*C51</f>
        <v>0</v>
      </c>
      <c r="J51" s="637">
        <v>8.84</v>
      </c>
      <c r="K51" s="254" t="s">
        <v>458</v>
      </c>
    </row>
    <row r="52" spans="1:11" ht="14.1" customHeight="1" x14ac:dyDescent="0.2">
      <c r="A52" s="48" t="s">
        <v>457</v>
      </c>
      <c r="B52" s="16"/>
      <c r="C52" s="16"/>
      <c r="D52" s="16"/>
      <c r="E52" s="14"/>
      <c r="F52" s="14">
        <v>4</v>
      </c>
      <c r="G52" s="13">
        <f>IF(F52=2,C52*2*D52,IF(F52=4,(B52+C52)*2*D52,0))</f>
        <v>0</v>
      </c>
      <c r="H52" s="636">
        <v>74.05</v>
      </c>
      <c r="I52" s="13">
        <f>B52*D52*C52</f>
        <v>0</v>
      </c>
      <c r="J52" s="637">
        <v>8.2799999999999994</v>
      </c>
      <c r="K52" s="254" t="s">
        <v>458</v>
      </c>
    </row>
    <row r="53" spans="1:11" ht="14.1" customHeight="1" x14ac:dyDescent="0.2">
      <c r="A53" s="48"/>
      <c r="B53" s="16"/>
      <c r="C53" s="16"/>
      <c r="D53" s="16"/>
      <c r="E53" s="14"/>
      <c r="F53" s="14"/>
      <c r="G53" s="13"/>
      <c r="H53" s="13"/>
      <c r="I53" s="13"/>
      <c r="J53" s="15"/>
      <c r="K53" s="254"/>
    </row>
    <row r="54" spans="1:11" ht="14.1" customHeight="1" x14ac:dyDescent="0.2">
      <c r="A54" s="117" t="s">
        <v>429</v>
      </c>
      <c r="B54" s="106"/>
      <c r="C54" s="106"/>
      <c r="D54" s="106"/>
      <c r="E54" s="106"/>
      <c r="F54" s="106"/>
      <c r="G54" s="106"/>
      <c r="H54" s="106"/>
      <c r="I54" s="106"/>
      <c r="J54" s="107"/>
      <c r="K54" s="253"/>
    </row>
    <row r="55" spans="1:11" ht="14.1" customHeight="1" x14ac:dyDescent="0.2">
      <c r="A55" s="48" t="s">
        <v>459</v>
      </c>
      <c r="B55" s="16"/>
      <c r="C55" s="16"/>
      <c r="D55" s="16"/>
      <c r="E55" s="14"/>
      <c r="F55" s="14">
        <v>4</v>
      </c>
      <c r="G55" s="13">
        <f>IF(F55=2,C55*2*D55,IF(F55=4,(B55+C55)*2*D55,0))</f>
        <v>0</v>
      </c>
      <c r="H55" s="636">
        <v>22.64</v>
      </c>
      <c r="I55" s="13">
        <f>B55*D55*C55</f>
        <v>0</v>
      </c>
      <c r="J55" s="637">
        <v>2.46</v>
      </c>
      <c r="K55" s="254" t="s">
        <v>464</v>
      </c>
    </row>
    <row r="56" spans="1:11" ht="14.1" customHeight="1" x14ac:dyDescent="0.2">
      <c r="A56" s="48" t="s">
        <v>460</v>
      </c>
      <c r="B56" s="16"/>
      <c r="C56" s="16"/>
      <c r="D56" s="16"/>
      <c r="E56" s="14"/>
      <c r="F56" s="14">
        <v>4</v>
      </c>
      <c r="G56" s="13">
        <f>IF(F56=2,C56*2*D56,IF(F56=4,(B56+C56)*2*D56,0))</f>
        <v>0</v>
      </c>
      <c r="H56" s="636">
        <v>90.72</v>
      </c>
      <c r="I56" s="13">
        <f>B56*D56*C56</f>
        <v>0</v>
      </c>
      <c r="J56" s="637">
        <v>10.58</v>
      </c>
      <c r="K56" s="254" t="s">
        <v>464</v>
      </c>
    </row>
    <row r="57" spans="1:11" ht="14.1" customHeight="1" x14ac:dyDescent="0.2">
      <c r="A57" s="48" t="s">
        <v>461</v>
      </c>
      <c r="B57" s="16"/>
      <c r="C57" s="16"/>
      <c r="D57" s="16"/>
      <c r="E57" s="14"/>
      <c r="F57" s="14">
        <v>4</v>
      </c>
      <c r="G57" s="13">
        <f>IF(F57=2,C57*2*D57,IF(F57=4,(B57+C57)*2*D57,0))</f>
        <v>0</v>
      </c>
      <c r="H57" s="636">
        <v>45.92</v>
      </c>
      <c r="I57" s="13">
        <f>B57*D57*C57</f>
        <v>0</v>
      </c>
      <c r="J57" s="637">
        <v>5.36</v>
      </c>
      <c r="K57" s="254" t="s">
        <v>464</v>
      </c>
    </row>
    <row r="58" spans="1:11" ht="14.1" customHeight="1" x14ac:dyDescent="0.2">
      <c r="A58" s="48" t="s">
        <v>462</v>
      </c>
      <c r="B58" s="16"/>
      <c r="C58" s="16"/>
      <c r="D58" s="16"/>
      <c r="E58" s="14"/>
      <c r="F58" s="14">
        <v>4</v>
      </c>
      <c r="G58" s="13">
        <f>IF(F58=2,C58*2*D58,IF(F58=4,(B58+C58)*2*D58,0))</f>
        <v>0</v>
      </c>
      <c r="H58" s="636">
        <v>19.8</v>
      </c>
      <c r="I58" s="13">
        <f>B58*D58*C58</f>
        <v>0</v>
      </c>
      <c r="J58" s="637">
        <v>2.56</v>
      </c>
      <c r="K58" s="254" t="s">
        <v>464</v>
      </c>
    </row>
    <row r="59" spans="1:11" ht="14.1" customHeight="1" x14ac:dyDescent="0.2">
      <c r="A59" s="48" t="s">
        <v>463</v>
      </c>
      <c r="B59" s="16"/>
      <c r="C59" s="16"/>
      <c r="D59" s="16"/>
      <c r="E59" s="14"/>
      <c r="F59" s="14">
        <v>4</v>
      </c>
      <c r="G59" s="13">
        <f>IF(F59=2,C59*2*D59,IF(F59=4,(B59+C59)*2*D59,0))</f>
        <v>0</v>
      </c>
      <c r="H59" s="636">
        <v>36.14</v>
      </c>
      <c r="I59" s="13">
        <f>B59*D59*C59</f>
        <v>0</v>
      </c>
      <c r="J59" s="637">
        <v>4.01</v>
      </c>
      <c r="K59" s="254" t="s">
        <v>464</v>
      </c>
    </row>
    <row r="60" spans="1:11" ht="14.1" customHeight="1" thickBot="1" x14ac:dyDescent="0.25">
      <c r="A60" s="67"/>
      <c r="B60" s="16"/>
      <c r="C60" s="16"/>
      <c r="D60" s="16"/>
      <c r="E60" s="14"/>
      <c r="F60" s="14"/>
      <c r="G60" s="13"/>
      <c r="H60" s="13"/>
      <c r="I60" s="13"/>
      <c r="J60" s="15"/>
      <c r="K60" s="254"/>
    </row>
    <row r="61" spans="1:11" ht="14.1" customHeight="1" thickTop="1" thickBot="1" x14ac:dyDescent="0.25">
      <c r="A61" s="73" t="s">
        <v>16</v>
      </c>
      <c r="B61" s="77"/>
      <c r="C61" s="73"/>
      <c r="D61" s="78"/>
      <c r="E61" s="79"/>
      <c r="F61" s="80"/>
      <c r="G61" s="78"/>
      <c r="H61" s="40">
        <f>SUM(H6:H60)</f>
        <v>6121.3700000000008</v>
      </c>
      <c r="I61" s="78" t="s">
        <v>13</v>
      </c>
      <c r="J61" s="78">
        <f>SUM(J6:J60)</f>
        <v>694.19</v>
      </c>
      <c r="K61" s="124" t="s">
        <v>83</v>
      </c>
    </row>
    <row r="62" spans="1:11" ht="14.1" customHeight="1" thickTop="1" thickBot="1" x14ac:dyDescent="0.25">
      <c r="A62" s="68"/>
      <c r="B62" s="69"/>
      <c r="C62" s="69"/>
      <c r="D62" s="69"/>
      <c r="E62" s="69"/>
      <c r="F62" s="69"/>
      <c r="G62" s="69"/>
      <c r="H62" s="69"/>
      <c r="I62" s="69"/>
      <c r="J62" s="69"/>
      <c r="K62" s="116"/>
    </row>
    <row r="63" spans="1:11" ht="14.1" customHeight="1" thickTop="1" thickBot="1" x14ac:dyDescent="0.25">
      <c r="A63" s="72"/>
      <c r="B63" s="73"/>
      <c r="C63" s="73"/>
      <c r="D63" s="78"/>
      <c r="E63" s="73"/>
      <c r="F63" s="80"/>
      <c r="G63" s="78"/>
      <c r="H63" s="78"/>
      <c r="I63" s="78"/>
      <c r="J63" s="78"/>
      <c r="K63" s="125"/>
    </row>
    <row r="64" spans="1:11" ht="14.1" customHeight="1" thickTop="1" x14ac:dyDescent="0.2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126"/>
    </row>
    <row r="65" spans="1:13" ht="14.1" customHeight="1" x14ac:dyDescent="0.2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126"/>
    </row>
    <row r="66" spans="1:13" ht="14.1" customHeight="1" x14ac:dyDescent="0.2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126"/>
    </row>
    <row r="67" spans="1:13" ht="14.1" customHeight="1" x14ac:dyDescent="0.2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126"/>
    </row>
    <row r="68" spans="1:13" ht="14.1" customHeight="1" x14ac:dyDescent="0.2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126"/>
    </row>
    <row r="69" spans="1:13" ht="14.1" customHeight="1" x14ac:dyDescent="0.2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126"/>
    </row>
    <row r="70" spans="1:13" ht="14.1" customHeight="1" x14ac:dyDescent="0.2">
      <c r="K70" s="25"/>
      <c r="L70" s="44"/>
      <c r="M70" s="44"/>
    </row>
    <row r="71" spans="1:13" ht="14.1" customHeight="1" x14ac:dyDescent="0.2">
      <c r="K71" s="25"/>
      <c r="L71" s="44"/>
      <c r="M71" s="44"/>
    </row>
    <row r="73" spans="1:13" ht="14.1" customHeight="1" x14ac:dyDescent="0.2">
      <c r="J73" s="44"/>
      <c r="K73" s="44"/>
      <c r="L73" s="44"/>
      <c r="M73" s="44"/>
    </row>
    <row r="74" spans="1:13" ht="14.1" customHeight="1" x14ac:dyDescent="0.2">
      <c r="L74" s="44"/>
      <c r="M74" s="44"/>
    </row>
    <row r="75" spans="1:13" ht="14.1" customHeight="1" x14ac:dyDescent="0.2">
      <c r="L75" s="44"/>
      <c r="M75" s="44"/>
    </row>
    <row r="76" spans="1:13" ht="14.1" customHeight="1" x14ac:dyDescent="0.2">
      <c r="L76" s="44"/>
      <c r="M76" s="44"/>
    </row>
    <row r="77" spans="1:13" ht="14.1" customHeight="1" x14ac:dyDescent="0.2">
      <c r="L77" s="44"/>
      <c r="M77" s="44"/>
    </row>
    <row r="78" spans="1:13" ht="14.1" customHeight="1" x14ac:dyDescent="0.2">
      <c r="L78" s="44"/>
      <c r="M78" s="44"/>
    </row>
  </sheetData>
  <mergeCells count="4">
    <mergeCell ref="M4:N4"/>
    <mergeCell ref="A4:A5"/>
    <mergeCell ref="E4:E5"/>
    <mergeCell ref="P4:Q4"/>
  </mergeCells>
  <dataValidations count="1">
    <dataValidation type="list" allowBlank="1" showInputMessage="1" showErrorMessage="1" sqref="K6:K60" xr:uid="{00000000-0002-0000-1500-000000000000}">
      <formula1>$N$6:$N$14</formula1>
    </dataValidation>
  </dataValidations>
  <pageMargins left="0.39370078740157483" right="0" top="0.78740157480314965" bottom="0.78740157480314965" header="0.51181102362204722" footer="0.19685039370078741"/>
  <pageSetup paperSize="9" scale="58" orientation="portrait" r:id="rId1"/>
  <headerFooter alignWithMargins="0">
    <oddFooter>&amp;L&amp;8&amp;F - &amp;A&amp;R&amp;8&amp;P / &amp;N</oddFooter>
  </headerFooter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Planilha22">
    <tabColor theme="1"/>
    <pageSetUpPr fitToPage="1"/>
  </sheetPr>
  <dimension ref="A1:T61"/>
  <sheetViews>
    <sheetView showGridLines="0" view="pageBreakPreview" zoomScale="115" zoomScaleNormal="100" zoomScaleSheetLayoutView="115" workbookViewId="0">
      <pane ySplit="5" topLeftCell="A6" activePane="bottomLeft" state="frozen"/>
      <selection activeCell="M8" sqref="M8:M9"/>
      <selection pane="bottomLeft" activeCell="J28" sqref="J28"/>
    </sheetView>
  </sheetViews>
  <sheetFormatPr defaultRowHeight="12.75" x14ac:dyDescent="0.2"/>
  <cols>
    <col min="1" max="1" width="23.140625" style="12" customWidth="1"/>
    <col min="2" max="2" width="7.85546875" style="25" customWidth="1"/>
    <col min="3" max="3" width="8.5703125" style="12" customWidth="1"/>
    <col min="4" max="4" width="9.7109375" style="12" customWidth="1"/>
    <col min="5" max="5" width="8.140625" style="12" bestFit="1" customWidth="1"/>
    <col min="6" max="6" width="7.42578125" style="12" customWidth="1"/>
    <col min="7" max="7" width="9.140625" style="12" bestFit="1" customWidth="1"/>
    <col min="8" max="8" width="7.42578125" style="12" customWidth="1"/>
    <col min="9" max="9" width="10" style="12" bestFit="1" customWidth="1"/>
    <col min="10" max="10" width="10.85546875" style="12" bestFit="1" customWidth="1"/>
    <col min="11" max="11" width="7.42578125" style="12" customWidth="1"/>
    <col min="12" max="12" width="17.85546875" style="25" bestFit="1" customWidth="1"/>
    <col min="13" max="13" width="15.140625" style="12" bestFit="1" customWidth="1"/>
    <col min="14" max="14" width="17.28515625" style="12" customWidth="1"/>
    <col min="15" max="15" width="3.140625" style="12" customWidth="1"/>
    <col min="16" max="16" width="9.7109375" style="19" customWidth="1"/>
    <col min="17" max="17" width="16.85546875" style="19" bestFit="1" customWidth="1"/>
    <col min="18" max="18" width="3.28515625" style="12" customWidth="1"/>
    <col min="19" max="19" width="9.140625" style="12"/>
    <col min="20" max="20" width="16.85546875" style="12" bestFit="1" customWidth="1"/>
    <col min="21" max="252" width="9.140625" style="12"/>
    <col min="253" max="253" width="18.140625" style="12" customWidth="1"/>
    <col min="254" max="254" width="15.85546875" style="12" customWidth="1"/>
    <col min="255" max="256" width="6.7109375" style="12" customWidth="1"/>
    <col min="257" max="257" width="5.7109375" style="12" customWidth="1"/>
    <col min="258" max="258" width="7" style="12" customWidth="1"/>
    <col min="259" max="259" width="5.7109375" style="12" customWidth="1"/>
    <col min="260" max="260" width="7.7109375" style="12" customWidth="1"/>
    <col min="261" max="261" width="8.7109375" style="12" customWidth="1"/>
    <col min="262" max="262" width="7.7109375" style="12" customWidth="1"/>
    <col min="263" max="263" width="8.7109375" style="12" customWidth="1"/>
    <col min="264" max="264" width="16.28515625" style="12" customWidth="1"/>
    <col min="265" max="265" width="7.7109375" style="12" customWidth="1"/>
    <col min="266" max="266" width="8" style="12" customWidth="1"/>
    <col min="267" max="267" width="7.7109375" style="12" customWidth="1"/>
    <col min="268" max="268" width="8.7109375" style="12" customWidth="1"/>
    <col min="269" max="508" width="9.140625" style="12"/>
    <col min="509" max="509" width="18.140625" style="12" customWidth="1"/>
    <col min="510" max="510" width="15.85546875" style="12" customWidth="1"/>
    <col min="511" max="512" width="6.7109375" style="12" customWidth="1"/>
    <col min="513" max="513" width="5.7109375" style="12" customWidth="1"/>
    <col min="514" max="514" width="7" style="12" customWidth="1"/>
    <col min="515" max="515" width="5.7109375" style="12" customWidth="1"/>
    <col min="516" max="516" width="7.7109375" style="12" customWidth="1"/>
    <col min="517" max="517" width="8.7109375" style="12" customWidth="1"/>
    <col min="518" max="518" width="7.7109375" style="12" customWidth="1"/>
    <col min="519" max="519" width="8.7109375" style="12" customWidth="1"/>
    <col min="520" max="520" width="16.28515625" style="12" customWidth="1"/>
    <col min="521" max="521" width="7.7109375" style="12" customWidth="1"/>
    <col min="522" max="522" width="8" style="12" customWidth="1"/>
    <col min="523" max="523" width="7.7109375" style="12" customWidth="1"/>
    <col min="524" max="524" width="8.7109375" style="12" customWidth="1"/>
    <col min="525" max="764" width="9.140625" style="12"/>
    <col min="765" max="765" width="18.140625" style="12" customWidth="1"/>
    <col min="766" max="766" width="15.85546875" style="12" customWidth="1"/>
    <col min="767" max="768" width="6.7109375" style="12" customWidth="1"/>
    <col min="769" max="769" width="5.7109375" style="12" customWidth="1"/>
    <col min="770" max="770" width="7" style="12" customWidth="1"/>
    <col min="771" max="771" width="5.7109375" style="12" customWidth="1"/>
    <col min="772" max="772" width="7.7109375" style="12" customWidth="1"/>
    <col min="773" max="773" width="8.7109375" style="12" customWidth="1"/>
    <col min="774" max="774" width="7.7109375" style="12" customWidth="1"/>
    <col min="775" max="775" width="8.7109375" style="12" customWidth="1"/>
    <col min="776" max="776" width="16.28515625" style="12" customWidth="1"/>
    <col min="777" max="777" width="7.7109375" style="12" customWidth="1"/>
    <col min="778" max="778" width="8" style="12" customWidth="1"/>
    <col min="779" max="779" width="7.7109375" style="12" customWidth="1"/>
    <col min="780" max="780" width="8.7109375" style="12" customWidth="1"/>
    <col min="781" max="1020" width="9.140625" style="12"/>
    <col min="1021" max="1021" width="18.140625" style="12" customWidth="1"/>
    <col min="1022" max="1022" width="15.85546875" style="12" customWidth="1"/>
    <col min="1023" max="1024" width="6.7109375" style="12" customWidth="1"/>
    <col min="1025" max="1025" width="5.7109375" style="12" customWidth="1"/>
    <col min="1026" max="1026" width="7" style="12" customWidth="1"/>
    <col min="1027" max="1027" width="5.7109375" style="12" customWidth="1"/>
    <col min="1028" max="1028" width="7.7109375" style="12" customWidth="1"/>
    <col min="1029" max="1029" width="8.7109375" style="12" customWidth="1"/>
    <col min="1030" max="1030" width="7.7109375" style="12" customWidth="1"/>
    <col min="1031" max="1031" width="8.7109375" style="12" customWidth="1"/>
    <col min="1032" max="1032" width="16.28515625" style="12" customWidth="1"/>
    <col min="1033" max="1033" width="7.7109375" style="12" customWidth="1"/>
    <col min="1034" max="1034" width="8" style="12" customWidth="1"/>
    <col min="1035" max="1035" width="7.7109375" style="12" customWidth="1"/>
    <col min="1036" max="1036" width="8.7109375" style="12" customWidth="1"/>
    <col min="1037" max="1276" width="9.140625" style="12"/>
    <col min="1277" max="1277" width="18.140625" style="12" customWidth="1"/>
    <col min="1278" max="1278" width="15.85546875" style="12" customWidth="1"/>
    <col min="1279" max="1280" width="6.7109375" style="12" customWidth="1"/>
    <col min="1281" max="1281" width="5.7109375" style="12" customWidth="1"/>
    <col min="1282" max="1282" width="7" style="12" customWidth="1"/>
    <col min="1283" max="1283" width="5.7109375" style="12" customWidth="1"/>
    <col min="1284" max="1284" width="7.7109375" style="12" customWidth="1"/>
    <col min="1285" max="1285" width="8.7109375" style="12" customWidth="1"/>
    <col min="1286" max="1286" width="7.7109375" style="12" customWidth="1"/>
    <col min="1287" max="1287" width="8.7109375" style="12" customWidth="1"/>
    <col min="1288" max="1288" width="16.28515625" style="12" customWidth="1"/>
    <col min="1289" max="1289" width="7.7109375" style="12" customWidth="1"/>
    <col min="1290" max="1290" width="8" style="12" customWidth="1"/>
    <col min="1291" max="1291" width="7.7109375" style="12" customWidth="1"/>
    <col min="1292" max="1292" width="8.7109375" style="12" customWidth="1"/>
    <col min="1293" max="1532" width="9.140625" style="12"/>
    <col min="1533" max="1533" width="18.140625" style="12" customWidth="1"/>
    <col min="1534" max="1534" width="15.85546875" style="12" customWidth="1"/>
    <col min="1535" max="1536" width="6.7109375" style="12" customWidth="1"/>
    <col min="1537" max="1537" width="5.7109375" style="12" customWidth="1"/>
    <col min="1538" max="1538" width="7" style="12" customWidth="1"/>
    <col min="1539" max="1539" width="5.7109375" style="12" customWidth="1"/>
    <col min="1540" max="1540" width="7.7109375" style="12" customWidth="1"/>
    <col min="1541" max="1541" width="8.7109375" style="12" customWidth="1"/>
    <col min="1542" max="1542" width="7.7109375" style="12" customWidth="1"/>
    <col min="1543" max="1543" width="8.7109375" style="12" customWidth="1"/>
    <col min="1544" max="1544" width="16.28515625" style="12" customWidth="1"/>
    <col min="1545" max="1545" width="7.7109375" style="12" customWidth="1"/>
    <col min="1546" max="1546" width="8" style="12" customWidth="1"/>
    <col min="1547" max="1547" width="7.7109375" style="12" customWidth="1"/>
    <col min="1548" max="1548" width="8.7109375" style="12" customWidth="1"/>
    <col min="1549" max="1788" width="9.140625" style="12"/>
    <col min="1789" max="1789" width="18.140625" style="12" customWidth="1"/>
    <col min="1790" max="1790" width="15.85546875" style="12" customWidth="1"/>
    <col min="1791" max="1792" width="6.7109375" style="12" customWidth="1"/>
    <col min="1793" max="1793" width="5.7109375" style="12" customWidth="1"/>
    <col min="1794" max="1794" width="7" style="12" customWidth="1"/>
    <col min="1795" max="1795" width="5.7109375" style="12" customWidth="1"/>
    <col min="1796" max="1796" width="7.7109375" style="12" customWidth="1"/>
    <col min="1797" max="1797" width="8.7109375" style="12" customWidth="1"/>
    <col min="1798" max="1798" width="7.7109375" style="12" customWidth="1"/>
    <col min="1799" max="1799" width="8.7109375" style="12" customWidth="1"/>
    <col min="1800" max="1800" width="16.28515625" style="12" customWidth="1"/>
    <col min="1801" max="1801" width="7.7109375" style="12" customWidth="1"/>
    <col min="1802" max="1802" width="8" style="12" customWidth="1"/>
    <col min="1803" max="1803" width="7.7109375" style="12" customWidth="1"/>
    <col min="1804" max="1804" width="8.7109375" style="12" customWidth="1"/>
    <col min="1805" max="2044" width="9.140625" style="12"/>
    <col min="2045" max="2045" width="18.140625" style="12" customWidth="1"/>
    <col min="2046" max="2046" width="15.85546875" style="12" customWidth="1"/>
    <col min="2047" max="2048" width="6.7109375" style="12" customWidth="1"/>
    <col min="2049" max="2049" width="5.7109375" style="12" customWidth="1"/>
    <col min="2050" max="2050" width="7" style="12" customWidth="1"/>
    <col min="2051" max="2051" width="5.7109375" style="12" customWidth="1"/>
    <col min="2052" max="2052" width="7.7109375" style="12" customWidth="1"/>
    <col min="2053" max="2053" width="8.7109375" style="12" customWidth="1"/>
    <col min="2054" max="2054" width="7.7109375" style="12" customWidth="1"/>
    <col min="2055" max="2055" width="8.7109375" style="12" customWidth="1"/>
    <col min="2056" max="2056" width="16.28515625" style="12" customWidth="1"/>
    <col min="2057" max="2057" width="7.7109375" style="12" customWidth="1"/>
    <col min="2058" max="2058" width="8" style="12" customWidth="1"/>
    <col min="2059" max="2059" width="7.7109375" style="12" customWidth="1"/>
    <col min="2060" max="2060" width="8.7109375" style="12" customWidth="1"/>
    <col min="2061" max="2300" width="9.140625" style="12"/>
    <col min="2301" max="2301" width="18.140625" style="12" customWidth="1"/>
    <col min="2302" max="2302" width="15.85546875" style="12" customWidth="1"/>
    <col min="2303" max="2304" width="6.7109375" style="12" customWidth="1"/>
    <col min="2305" max="2305" width="5.7109375" style="12" customWidth="1"/>
    <col min="2306" max="2306" width="7" style="12" customWidth="1"/>
    <col min="2307" max="2307" width="5.7109375" style="12" customWidth="1"/>
    <col min="2308" max="2308" width="7.7109375" style="12" customWidth="1"/>
    <col min="2309" max="2309" width="8.7109375" style="12" customWidth="1"/>
    <col min="2310" max="2310" width="7.7109375" style="12" customWidth="1"/>
    <col min="2311" max="2311" width="8.7109375" style="12" customWidth="1"/>
    <col min="2312" max="2312" width="16.28515625" style="12" customWidth="1"/>
    <col min="2313" max="2313" width="7.7109375" style="12" customWidth="1"/>
    <col min="2314" max="2314" width="8" style="12" customWidth="1"/>
    <col min="2315" max="2315" width="7.7109375" style="12" customWidth="1"/>
    <col min="2316" max="2316" width="8.7109375" style="12" customWidth="1"/>
    <col min="2317" max="2556" width="9.140625" style="12"/>
    <col min="2557" max="2557" width="18.140625" style="12" customWidth="1"/>
    <col min="2558" max="2558" width="15.85546875" style="12" customWidth="1"/>
    <col min="2559" max="2560" width="6.7109375" style="12" customWidth="1"/>
    <col min="2561" max="2561" width="5.7109375" style="12" customWidth="1"/>
    <col min="2562" max="2562" width="7" style="12" customWidth="1"/>
    <col min="2563" max="2563" width="5.7109375" style="12" customWidth="1"/>
    <col min="2564" max="2564" width="7.7109375" style="12" customWidth="1"/>
    <col min="2565" max="2565" width="8.7109375" style="12" customWidth="1"/>
    <col min="2566" max="2566" width="7.7109375" style="12" customWidth="1"/>
    <col min="2567" max="2567" width="8.7109375" style="12" customWidth="1"/>
    <col min="2568" max="2568" width="16.28515625" style="12" customWidth="1"/>
    <col min="2569" max="2569" width="7.7109375" style="12" customWidth="1"/>
    <col min="2570" max="2570" width="8" style="12" customWidth="1"/>
    <col min="2571" max="2571" width="7.7109375" style="12" customWidth="1"/>
    <col min="2572" max="2572" width="8.7109375" style="12" customWidth="1"/>
    <col min="2573" max="2812" width="9.140625" style="12"/>
    <col min="2813" max="2813" width="18.140625" style="12" customWidth="1"/>
    <col min="2814" max="2814" width="15.85546875" style="12" customWidth="1"/>
    <col min="2815" max="2816" width="6.7109375" style="12" customWidth="1"/>
    <col min="2817" max="2817" width="5.7109375" style="12" customWidth="1"/>
    <col min="2818" max="2818" width="7" style="12" customWidth="1"/>
    <col min="2819" max="2819" width="5.7109375" style="12" customWidth="1"/>
    <col min="2820" max="2820" width="7.7109375" style="12" customWidth="1"/>
    <col min="2821" max="2821" width="8.7109375" style="12" customWidth="1"/>
    <col min="2822" max="2822" width="7.7109375" style="12" customWidth="1"/>
    <col min="2823" max="2823" width="8.7109375" style="12" customWidth="1"/>
    <col min="2824" max="2824" width="16.28515625" style="12" customWidth="1"/>
    <col min="2825" max="2825" width="7.7109375" style="12" customWidth="1"/>
    <col min="2826" max="2826" width="8" style="12" customWidth="1"/>
    <col min="2827" max="2827" width="7.7109375" style="12" customWidth="1"/>
    <col min="2828" max="2828" width="8.7109375" style="12" customWidth="1"/>
    <col min="2829" max="3068" width="9.140625" style="12"/>
    <col min="3069" max="3069" width="18.140625" style="12" customWidth="1"/>
    <col min="3070" max="3070" width="15.85546875" style="12" customWidth="1"/>
    <col min="3071" max="3072" width="6.7109375" style="12" customWidth="1"/>
    <col min="3073" max="3073" width="5.7109375" style="12" customWidth="1"/>
    <col min="3074" max="3074" width="7" style="12" customWidth="1"/>
    <col min="3075" max="3075" width="5.7109375" style="12" customWidth="1"/>
    <col min="3076" max="3076" width="7.7109375" style="12" customWidth="1"/>
    <col min="3077" max="3077" width="8.7109375" style="12" customWidth="1"/>
    <col min="3078" max="3078" width="7.7109375" style="12" customWidth="1"/>
    <col min="3079" max="3079" width="8.7109375" style="12" customWidth="1"/>
    <col min="3080" max="3080" width="16.28515625" style="12" customWidth="1"/>
    <col min="3081" max="3081" width="7.7109375" style="12" customWidth="1"/>
    <col min="3082" max="3082" width="8" style="12" customWidth="1"/>
    <col min="3083" max="3083" width="7.7109375" style="12" customWidth="1"/>
    <col min="3084" max="3084" width="8.7109375" style="12" customWidth="1"/>
    <col min="3085" max="3324" width="9.140625" style="12"/>
    <col min="3325" max="3325" width="18.140625" style="12" customWidth="1"/>
    <col min="3326" max="3326" width="15.85546875" style="12" customWidth="1"/>
    <col min="3327" max="3328" width="6.7109375" style="12" customWidth="1"/>
    <col min="3329" max="3329" width="5.7109375" style="12" customWidth="1"/>
    <col min="3330" max="3330" width="7" style="12" customWidth="1"/>
    <col min="3331" max="3331" width="5.7109375" style="12" customWidth="1"/>
    <col min="3332" max="3332" width="7.7109375" style="12" customWidth="1"/>
    <col min="3333" max="3333" width="8.7109375" style="12" customWidth="1"/>
    <col min="3334" max="3334" width="7.7109375" style="12" customWidth="1"/>
    <col min="3335" max="3335" width="8.7109375" style="12" customWidth="1"/>
    <col min="3336" max="3336" width="16.28515625" style="12" customWidth="1"/>
    <col min="3337" max="3337" width="7.7109375" style="12" customWidth="1"/>
    <col min="3338" max="3338" width="8" style="12" customWidth="1"/>
    <col min="3339" max="3339" width="7.7109375" style="12" customWidth="1"/>
    <col min="3340" max="3340" width="8.7109375" style="12" customWidth="1"/>
    <col min="3341" max="3580" width="9.140625" style="12"/>
    <col min="3581" max="3581" width="18.140625" style="12" customWidth="1"/>
    <col min="3582" max="3582" width="15.85546875" style="12" customWidth="1"/>
    <col min="3583" max="3584" width="6.7109375" style="12" customWidth="1"/>
    <col min="3585" max="3585" width="5.7109375" style="12" customWidth="1"/>
    <col min="3586" max="3586" width="7" style="12" customWidth="1"/>
    <col min="3587" max="3587" width="5.7109375" style="12" customWidth="1"/>
    <col min="3588" max="3588" width="7.7109375" style="12" customWidth="1"/>
    <col min="3589" max="3589" width="8.7109375" style="12" customWidth="1"/>
    <col min="3590" max="3590" width="7.7109375" style="12" customWidth="1"/>
    <col min="3591" max="3591" width="8.7109375" style="12" customWidth="1"/>
    <col min="3592" max="3592" width="16.28515625" style="12" customWidth="1"/>
    <col min="3593" max="3593" width="7.7109375" style="12" customWidth="1"/>
    <col min="3594" max="3594" width="8" style="12" customWidth="1"/>
    <col min="3595" max="3595" width="7.7109375" style="12" customWidth="1"/>
    <col min="3596" max="3596" width="8.7109375" style="12" customWidth="1"/>
    <col min="3597" max="3836" width="9.140625" style="12"/>
    <col min="3837" max="3837" width="18.140625" style="12" customWidth="1"/>
    <col min="3838" max="3838" width="15.85546875" style="12" customWidth="1"/>
    <col min="3839" max="3840" width="6.7109375" style="12" customWidth="1"/>
    <col min="3841" max="3841" width="5.7109375" style="12" customWidth="1"/>
    <col min="3842" max="3842" width="7" style="12" customWidth="1"/>
    <col min="3843" max="3843" width="5.7109375" style="12" customWidth="1"/>
    <col min="3844" max="3844" width="7.7109375" style="12" customWidth="1"/>
    <col min="3845" max="3845" width="8.7109375" style="12" customWidth="1"/>
    <col min="3846" max="3846" width="7.7109375" style="12" customWidth="1"/>
    <col min="3847" max="3847" width="8.7109375" style="12" customWidth="1"/>
    <col min="3848" max="3848" width="16.28515625" style="12" customWidth="1"/>
    <col min="3849" max="3849" width="7.7109375" style="12" customWidth="1"/>
    <col min="3850" max="3850" width="8" style="12" customWidth="1"/>
    <col min="3851" max="3851" width="7.7109375" style="12" customWidth="1"/>
    <col min="3852" max="3852" width="8.7109375" style="12" customWidth="1"/>
    <col min="3853" max="4092" width="9.140625" style="12"/>
    <col min="4093" max="4093" width="18.140625" style="12" customWidth="1"/>
    <col min="4094" max="4094" width="15.85546875" style="12" customWidth="1"/>
    <col min="4095" max="4096" width="6.7109375" style="12" customWidth="1"/>
    <col min="4097" max="4097" width="5.7109375" style="12" customWidth="1"/>
    <col min="4098" max="4098" width="7" style="12" customWidth="1"/>
    <col min="4099" max="4099" width="5.7109375" style="12" customWidth="1"/>
    <col min="4100" max="4100" width="7.7109375" style="12" customWidth="1"/>
    <col min="4101" max="4101" width="8.7109375" style="12" customWidth="1"/>
    <col min="4102" max="4102" width="7.7109375" style="12" customWidth="1"/>
    <col min="4103" max="4103" width="8.7109375" style="12" customWidth="1"/>
    <col min="4104" max="4104" width="16.28515625" style="12" customWidth="1"/>
    <col min="4105" max="4105" width="7.7109375" style="12" customWidth="1"/>
    <col min="4106" max="4106" width="8" style="12" customWidth="1"/>
    <col min="4107" max="4107" width="7.7109375" style="12" customWidth="1"/>
    <col min="4108" max="4108" width="8.7109375" style="12" customWidth="1"/>
    <col min="4109" max="4348" width="9.140625" style="12"/>
    <col min="4349" max="4349" width="18.140625" style="12" customWidth="1"/>
    <col min="4350" max="4350" width="15.85546875" style="12" customWidth="1"/>
    <col min="4351" max="4352" width="6.7109375" style="12" customWidth="1"/>
    <col min="4353" max="4353" width="5.7109375" style="12" customWidth="1"/>
    <col min="4354" max="4354" width="7" style="12" customWidth="1"/>
    <col min="4355" max="4355" width="5.7109375" style="12" customWidth="1"/>
    <col min="4356" max="4356" width="7.7109375" style="12" customWidth="1"/>
    <col min="4357" max="4357" width="8.7109375" style="12" customWidth="1"/>
    <col min="4358" max="4358" width="7.7109375" style="12" customWidth="1"/>
    <col min="4359" max="4359" width="8.7109375" style="12" customWidth="1"/>
    <col min="4360" max="4360" width="16.28515625" style="12" customWidth="1"/>
    <col min="4361" max="4361" width="7.7109375" style="12" customWidth="1"/>
    <col min="4362" max="4362" width="8" style="12" customWidth="1"/>
    <col min="4363" max="4363" width="7.7109375" style="12" customWidth="1"/>
    <col min="4364" max="4364" width="8.7109375" style="12" customWidth="1"/>
    <col min="4365" max="4604" width="9.140625" style="12"/>
    <col min="4605" max="4605" width="18.140625" style="12" customWidth="1"/>
    <col min="4606" max="4606" width="15.85546875" style="12" customWidth="1"/>
    <col min="4607" max="4608" width="6.7109375" style="12" customWidth="1"/>
    <col min="4609" max="4609" width="5.7109375" style="12" customWidth="1"/>
    <col min="4610" max="4610" width="7" style="12" customWidth="1"/>
    <col min="4611" max="4611" width="5.7109375" style="12" customWidth="1"/>
    <col min="4612" max="4612" width="7.7109375" style="12" customWidth="1"/>
    <col min="4613" max="4613" width="8.7109375" style="12" customWidth="1"/>
    <col min="4614" max="4614" width="7.7109375" style="12" customWidth="1"/>
    <col min="4615" max="4615" width="8.7109375" style="12" customWidth="1"/>
    <col min="4616" max="4616" width="16.28515625" style="12" customWidth="1"/>
    <col min="4617" max="4617" width="7.7109375" style="12" customWidth="1"/>
    <col min="4618" max="4618" width="8" style="12" customWidth="1"/>
    <col min="4619" max="4619" width="7.7109375" style="12" customWidth="1"/>
    <col min="4620" max="4620" width="8.7109375" style="12" customWidth="1"/>
    <col min="4621" max="4860" width="9.140625" style="12"/>
    <col min="4861" max="4861" width="18.140625" style="12" customWidth="1"/>
    <col min="4862" max="4862" width="15.85546875" style="12" customWidth="1"/>
    <col min="4863" max="4864" width="6.7109375" style="12" customWidth="1"/>
    <col min="4865" max="4865" width="5.7109375" style="12" customWidth="1"/>
    <col min="4866" max="4866" width="7" style="12" customWidth="1"/>
    <col min="4867" max="4867" width="5.7109375" style="12" customWidth="1"/>
    <col min="4868" max="4868" width="7.7109375" style="12" customWidth="1"/>
    <col min="4869" max="4869" width="8.7109375" style="12" customWidth="1"/>
    <col min="4870" max="4870" width="7.7109375" style="12" customWidth="1"/>
    <col min="4871" max="4871" width="8.7109375" style="12" customWidth="1"/>
    <col min="4872" max="4872" width="16.28515625" style="12" customWidth="1"/>
    <col min="4873" max="4873" width="7.7109375" style="12" customWidth="1"/>
    <col min="4874" max="4874" width="8" style="12" customWidth="1"/>
    <col min="4875" max="4875" width="7.7109375" style="12" customWidth="1"/>
    <col min="4876" max="4876" width="8.7109375" style="12" customWidth="1"/>
    <col min="4877" max="5116" width="9.140625" style="12"/>
    <col min="5117" max="5117" width="18.140625" style="12" customWidth="1"/>
    <col min="5118" max="5118" width="15.85546875" style="12" customWidth="1"/>
    <col min="5119" max="5120" width="6.7109375" style="12" customWidth="1"/>
    <col min="5121" max="5121" width="5.7109375" style="12" customWidth="1"/>
    <col min="5122" max="5122" width="7" style="12" customWidth="1"/>
    <col min="5123" max="5123" width="5.7109375" style="12" customWidth="1"/>
    <col min="5124" max="5124" width="7.7109375" style="12" customWidth="1"/>
    <col min="5125" max="5125" width="8.7109375" style="12" customWidth="1"/>
    <col min="5126" max="5126" width="7.7109375" style="12" customWidth="1"/>
    <col min="5127" max="5127" width="8.7109375" style="12" customWidth="1"/>
    <col min="5128" max="5128" width="16.28515625" style="12" customWidth="1"/>
    <col min="5129" max="5129" width="7.7109375" style="12" customWidth="1"/>
    <col min="5130" max="5130" width="8" style="12" customWidth="1"/>
    <col min="5131" max="5131" width="7.7109375" style="12" customWidth="1"/>
    <col min="5132" max="5132" width="8.7109375" style="12" customWidth="1"/>
    <col min="5133" max="5372" width="9.140625" style="12"/>
    <col min="5373" max="5373" width="18.140625" style="12" customWidth="1"/>
    <col min="5374" max="5374" width="15.85546875" style="12" customWidth="1"/>
    <col min="5375" max="5376" width="6.7109375" style="12" customWidth="1"/>
    <col min="5377" max="5377" width="5.7109375" style="12" customWidth="1"/>
    <col min="5378" max="5378" width="7" style="12" customWidth="1"/>
    <col min="5379" max="5379" width="5.7109375" style="12" customWidth="1"/>
    <col min="5380" max="5380" width="7.7109375" style="12" customWidth="1"/>
    <col min="5381" max="5381" width="8.7109375" style="12" customWidth="1"/>
    <col min="5382" max="5382" width="7.7109375" style="12" customWidth="1"/>
    <col min="5383" max="5383" width="8.7109375" style="12" customWidth="1"/>
    <col min="5384" max="5384" width="16.28515625" style="12" customWidth="1"/>
    <col min="5385" max="5385" width="7.7109375" style="12" customWidth="1"/>
    <col min="5386" max="5386" width="8" style="12" customWidth="1"/>
    <col min="5387" max="5387" width="7.7109375" style="12" customWidth="1"/>
    <col min="5388" max="5388" width="8.7109375" style="12" customWidth="1"/>
    <col min="5389" max="5628" width="9.140625" style="12"/>
    <col min="5629" max="5629" width="18.140625" style="12" customWidth="1"/>
    <col min="5630" max="5630" width="15.85546875" style="12" customWidth="1"/>
    <col min="5631" max="5632" width="6.7109375" style="12" customWidth="1"/>
    <col min="5633" max="5633" width="5.7109375" style="12" customWidth="1"/>
    <col min="5634" max="5634" width="7" style="12" customWidth="1"/>
    <col min="5635" max="5635" width="5.7109375" style="12" customWidth="1"/>
    <col min="5636" max="5636" width="7.7109375" style="12" customWidth="1"/>
    <col min="5637" max="5637" width="8.7109375" style="12" customWidth="1"/>
    <col min="5638" max="5638" width="7.7109375" style="12" customWidth="1"/>
    <col min="5639" max="5639" width="8.7109375" style="12" customWidth="1"/>
    <col min="5640" max="5640" width="16.28515625" style="12" customWidth="1"/>
    <col min="5641" max="5641" width="7.7109375" style="12" customWidth="1"/>
    <col min="5642" max="5642" width="8" style="12" customWidth="1"/>
    <col min="5643" max="5643" width="7.7109375" style="12" customWidth="1"/>
    <col min="5644" max="5644" width="8.7109375" style="12" customWidth="1"/>
    <col min="5645" max="5884" width="9.140625" style="12"/>
    <col min="5885" max="5885" width="18.140625" style="12" customWidth="1"/>
    <col min="5886" max="5886" width="15.85546875" style="12" customWidth="1"/>
    <col min="5887" max="5888" width="6.7109375" style="12" customWidth="1"/>
    <col min="5889" max="5889" width="5.7109375" style="12" customWidth="1"/>
    <col min="5890" max="5890" width="7" style="12" customWidth="1"/>
    <col min="5891" max="5891" width="5.7109375" style="12" customWidth="1"/>
    <col min="5892" max="5892" width="7.7109375" style="12" customWidth="1"/>
    <col min="5893" max="5893" width="8.7109375" style="12" customWidth="1"/>
    <col min="5894" max="5894" width="7.7109375" style="12" customWidth="1"/>
    <col min="5895" max="5895" width="8.7109375" style="12" customWidth="1"/>
    <col min="5896" max="5896" width="16.28515625" style="12" customWidth="1"/>
    <col min="5897" max="5897" width="7.7109375" style="12" customWidth="1"/>
    <col min="5898" max="5898" width="8" style="12" customWidth="1"/>
    <col min="5899" max="5899" width="7.7109375" style="12" customWidth="1"/>
    <col min="5900" max="5900" width="8.7109375" style="12" customWidth="1"/>
    <col min="5901" max="6140" width="9.140625" style="12"/>
    <col min="6141" max="6141" width="18.140625" style="12" customWidth="1"/>
    <col min="6142" max="6142" width="15.85546875" style="12" customWidth="1"/>
    <col min="6143" max="6144" width="6.7109375" style="12" customWidth="1"/>
    <col min="6145" max="6145" width="5.7109375" style="12" customWidth="1"/>
    <col min="6146" max="6146" width="7" style="12" customWidth="1"/>
    <col min="6147" max="6147" width="5.7109375" style="12" customWidth="1"/>
    <col min="6148" max="6148" width="7.7109375" style="12" customWidth="1"/>
    <col min="6149" max="6149" width="8.7109375" style="12" customWidth="1"/>
    <col min="6150" max="6150" width="7.7109375" style="12" customWidth="1"/>
    <col min="6151" max="6151" width="8.7109375" style="12" customWidth="1"/>
    <col min="6152" max="6152" width="16.28515625" style="12" customWidth="1"/>
    <col min="6153" max="6153" width="7.7109375" style="12" customWidth="1"/>
    <col min="6154" max="6154" width="8" style="12" customWidth="1"/>
    <col min="6155" max="6155" width="7.7109375" style="12" customWidth="1"/>
    <col min="6156" max="6156" width="8.7109375" style="12" customWidth="1"/>
    <col min="6157" max="6396" width="9.140625" style="12"/>
    <col min="6397" max="6397" width="18.140625" style="12" customWidth="1"/>
    <col min="6398" max="6398" width="15.85546875" style="12" customWidth="1"/>
    <col min="6399" max="6400" width="6.7109375" style="12" customWidth="1"/>
    <col min="6401" max="6401" width="5.7109375" style="12" customWidth="1"/>
    <col min="6402" max="6402" width="7" style="12" customWidth="1"/>
    <col min="6403" max="6403" width="5.7109375" style="12" customWidth="1"/>
    <col min="6404" max="6404" width="7.7109375" style="12" customWidth="1"/>
    <col min="6405" max="6405" width="8.7109375" style="12" customWidth="1"/>
    <col min="6406" max="6406" width="7.7109375" style="12" customWidth="1"/>
    <col min="6407" max="6407" width="8.7109375" style="12" customWidth="1"/>
    <col min="6408" max="6408" width="16.28515625" style="12" customWidth="1"/>
    <col min="6409" max="6409" width="7.7109375" style="12" customWidth="1"/>
    <col min="6410" max="6410" width="8" style="12" customWidth="1"/>
    <col min="6411" max="6411" width="7.7109375" style="12" customWidth="1"/>
    <col min="6412" max="6412" width="8.7109375" style="12" customWidth="1"/>
    <col min="6413" max="6652" width="9.140625" style="12"/>
    <col min="6653" max="6653" width="18.140625" style="12" customWidth="1"/>
    <col min="6654" max="6654" width="15.85546875" style="12" customWidth="1"/>
    <col min="6655" max="6656" width="6.7109375" style="12" customWidth="1"/>
    <col min="6657" max="6657" width="5.7109375" style="12" customWidth="1"/>
    <col min="6658" max="6658" width="7" style="12" customWidth="1"/>
    <col min="6659" max="6659" width="5.7109375" style="12" customWidth="1"/>
    <col min="6660" max="6660" width="7.7109375" style="12" customWidth="1"/>
    <col min="6661" max="6661" width="8.7109375" style="12" customWidth="1"/>
    <col min="6662" max="6662" width="7.7109375" style="12" customWidth="1"/>
    <col min="6663" max="6663" width="8.7109375" style="12" customWidth="1"/>
    <col min="6664" max="6664" width="16.28515625" style="12" customWidth="1"/>
    <col min="6665" max="6665" width="7.7109375" style="12" customWidth="1"/>
    <col min="6666" max="6666" width="8" style="12" customWidth="1"/>
    <col min="6667" max="6667" width="7.7109375" style="12" customWidth="1"/>
    <col min="6668" max="6668" width="8.7109375" style="12" customWidth="1"/>
    <col min="6669" max="6908" width="9.140625" style="12"/>
    <col min="6909" max="6909" width="18.140625" style="12" customWidth="1"/>
    <col min="6910" max="6910" width="15.85546875" style="12" customWidth="1"/>
    <col min="6911" max="6912" width="6.7109375" style="12" customWidth="1"/>
    <col min="6913" max="6913" width="5.7109375" style="12" customWidth="1"/>
    <col min="6914" max="6914" width="7" style="12" customWidth="1"/>
    <col min="6915" max="6915" width="5.7109375" style="12" customWidth="1"/>
    <col min="6916" max="6916" width="7.7109375" style="12" customWidth="1"/>
    <col min="6917" max="6917" width="8.7109375" style="12" customWidth="1"/>
    <col min="6918" max="6918" width="7.7109375" style="12" customWidth="1"/>
    <col min="6919" max="6919" width="8.7109375" style="12" customWidth="1"/>
    <col min="6920" max="6920" width="16.28515625" style="12" customWidth="1"/>
    <col min="6921" max="6921" width="7.7109375" style="12" customWidth="1"/>
    <col min="6922" max="6922" width="8" style="12" customWidth="1"/>
    <col min="6923" max="6923" width="7.7109375" style="12" customWidth="1"/>
    <col min="6924" max="6924" width="8.7109375" style="12" customWidth="1"/>
    <col min="6925" max="7164" width="9.140625" style="12"/>
    <col min="7165" max="7165" width="18.140625" style="12" customWidth="1"/>
    <col min="7166" max="7166" width="15.85546875" style="12" customWidth="1"/>
    <col min="7167" max="7168" width="6.7109375" style="12" customWidth="1"/>
    <col min="7169" max="7169" width="5.7109375" style="12" customWidth="1"/>
    <col min="7170" max="7170" width="7" style="12" customWidth="1"/>
    <col min="7171" max="7171" width="5.7109375" style="12" customWidth="1"/>
    <col min="7172" max="7172" width="7.7109375" style="12" customWidth="1"/>
    <col min="7173" max="7173" width="8.7109375" style="12" customWidth="1"/>
    <col min="7174" max="7174" width="7.7109375" style="12" customWidth="1"/>
    <col min="7175" max="7175" width="8.7109375" style="12" customWidth="1"/>
    <col min="7176" max="7176" width="16.28515625" style="12" customWidth="1"/>
    <col min="7177" max="7177" width="7.7109375" style="12" customWidth="1"/>
    <col min="7178" max="7178" width="8" style="12" customWidth="1"/>
    <col min="7179" max="7179" width="7.7109375" style="12" customWidth="1"/>
    <col min="7180" max="7180" width="8.7109375" style="12" customWidth="1"/>
    <col min="7181" max="7420" width="9.140625" style="12"/>
    <col min="7421" max="7421" width="18.140625" style="12" customWidth="1"/>
    <col min="7422" max="7422" width="15.85546875" style="12" customWidth="1"/>
    <col min="7423" max="7424" width="6.7109375" style="12" customWidth="1"/>
    <col min="7425" max="7425" width="5.7109375" style="12" customWidth="1"/>
    <col min="7426" max="7426" width="7" style="12" customWidth="1"/>
    <col min="7427" max="7427" width="5.7109375" style="12" customWidth="1"/>
    <col min="7428" max="7428" width="7.7109375" style="12" customWidth="1"/>
    <col min="7429" max="7429" width="8.7109375" style="12" customWidth="1"/>
    <col min="7430" max="7430" width="7.7109375" style="12" customWidth="1"/>
    <col min="7431" max="7431" width="8.7109375" style="12" customWidth="1"/>
    <col min="7432" max="7432" width="16.28515625" style="12" customWidth="1"/>
    <col min="7433" max="7433" width="7.7109375" style="12" customWidth="1"/>
    <col min="7434" max="7434" width="8" style="12" customWidth="1"/>
    <col min="7435" max="7435" width="7.7109375" style="12" customWidth="1"/>
    <col min="7436" max="7436" width="8.7109375" style="12" customWidth="1"/>
    <col min="7437" max="7676" width="9.140625" style="12"/>
    <col min="7677" max="7677" width="18.140625" style="12" customWidth="1"/>
    <col min="7678" max="7678" width="15.85546875" style="12" customWidth="1"/>
    <col min="7679" max="7680" width="6.7109375" style="12" customWidth="1"/>
    <col min="7681" max="7681" width="5.7109375" style="12" customWidth="1"/>
    <col min="7682" max="7682" width="7" style="12" customWidth="1"/>
    <col min="7683" max="7683" width="5.7109375" style="12" customWidth="1"/>
    <col min="7684" max="7684" width="7.7109375" style="12" customWidth="1"/>
    <col min="7685" max="7685" width="8.7109375" style="12" customWidth="1"/>
    <col min="7686" max="7686" width="7.7109375" style="12" customWidth="1"/>
    <col min="7687" max="7687" width="8.7109375" style="12" customWidth="1"/>
    <col min="7688" max="7688" width="16.28515625" style="12" customWidth="1"/>
    <col min="7689" max="7689" width="7.7109375" style="12" customWidth="1"/>
    <col min="7690" max="7690" width="8" style="12" customWidth="1"/>
    <col min="7691" max="7691" width="7.7109375" style="12" customWidth="1"/>
    <col min="7692" max="7692" width="8.7109375" style="12" customWidth="1"/>
    <col min="7693" max="7932" width="9.140625" style="12"/>
    <col min="7933" max="7933" width="18.140625" style="12" customWidth="1"/>
    <col min="7934" max="7934" width="15.85546875" style="12" customWidth="1"/>
    <col min="7935" max="7936" width="6.7109375" style="12" customWidth="1"/>
    <col min="7937" max="7937" width="5.7109375" style="12" customWidth="1"/>
    <col min="7938" max="7938" width="7" style="12" customWidth="1"/>
    <col min="7939" max="7939" width="5.7109375" style="12" customWidth="1"/>
    <col min="7940" max="7940" width="7.7109375" style="12" customWidth="1"/>
    <col min="7941" max="7941" width="8.7109375" style="12" customWidth="1"/>
    <col min="7942" max="7942" width="7.7109375" style="12" customWidth="1"/>
    <col min="7943" max="7943" width="8.7109375" style="12" customWidth="1"/>
    <col min="7944" max="7944" width="16.28515625" style="12" customWidth="1"/>
    <col min="7945" max="7945" width="7.7109375" style="12" customWidth="1"/>
    <col min="7946" max="7946" width="8" style="12" customWidth="1"/>
    <col min="7947" max="7947" width="7.7109375" style="12" customWidth="1"/>
    <col min="7948" max="7948" width="8.7109375" style="12" customWidth="1"/>
    <col min="7949" max="8188" width="9.140625" style="12"/>
    <col min="8189" max="8189" width="18.140625" style="12" customWidth="1"/>
    <col min="8190" max="8190" width="15.85546875" style="12" customWidth="1"/>
    <col min="8191" max="8192" width="6.7109375" style="12" customWidth="1"/>
    <col min="8193" max="8193" width="5.7109375" style="12" customWidth="1"/>
    <col min="8194" max="8194" width="7" style="12" customWidth="1"/>
    <col min="8195" max="8195" width="5.7109375" style="12" customWidth="1"/>
    <col min="8196" max="8196" width="7.7109375" style="12" customWidth="1"/>
    <col min="8197" max="8197" width="8.7109375" style="12" customWidth="1"/>
    <col min="8198" max="8198" width="7.7109375" style="12" customWidth="1"/>
    <col min="8199" max="8199" width="8.7109375" style="12" customWidth="1"/>
    <col min="8200" max="8200" width="16.28515625" style="12" customWidth="1"/>
    <col min="8201" max="8201" width="7.7109375" style="12" customWidth="1"/>
    <col min="8202" max="8202" width="8" style="12" customWidth="1"/>
    <col min="8203" max="8203" width="7.7109375" style="12" customWidth="1"/>
    <col min="8204" max="8204" width="8.7109375" style="12" customWidth="1"/>
    <col min="8205" max="8444" width="9.140625" style="12"/>
    <col min="8445" max="8445" width="18.140625" style="12" customWidth="1"/>
    <col min="8446" max="8446" width="15.85546875" style="12" customWidth="1"/>
    <col min="8447" max="8448" width="6.7109375" style="12" customWidth="1"/>
    <col min="8449" max="8449" width="5.7109375" style="12" customWidth="1"/>
    <col min="8450" max="8450" width="7" style="12" customWidth="1"/>
    <col min="8451" max="8451" width="5.7109375" style="12" customWidth="1"/>
    <col min="8452" max="8452" width="7.7109375" style="12" customWidth="1"/>
    <col min="8453" max="8453" width="8.7109375" style="12" customWidth="1"/>
    <col min="8454" max="8454" width="7.7109375" style="12" customWidth="1"/>
    <col min="8455" max="8455" width="8.7109375" style="12" customWidth="1"/>
    <col min="8456" max="8456" width="16.28515625" style="12" customWidth="1"/>
    <col min="8457" max="8457" width="7.7109375" style="12" customWidth="1"/>
    <col min="8458" max="8458" width="8" style="12" customWidth="1"/>
    <col min="8459" max="8459" width="7.7109375" style="12" customWidth="1"/>
    <col min="8460" max="8460" width="8.7109375" style="12" customWidth="1"/>
    <col min="8461" max="8700" width="9.140625" style="12"/>
    <col min="8701" max="8701" width="18.140625" style="12" customWidth="1"/>
    <col min="8702" max="8702" width="15.85546875" style="12" customWidth="1"/>
    <col min="8703" max="8704" width="6.7109375" style="12" customWidth="1"/>
    <col min="8705" max="8705" width="5.7109375" style="12" customWidth="1"/>
    <col min="8706" max="8706" width="7" style="12" customWidth="1"/>
    <col min="8707" max="8707" width="5.7109375" style="12" customWidth="1"/>
    <col min="8708" max="8708" width="7.7109375" style="12" customWidth="1"/>
    <col min="8709" max="8709" width="8.7109375" style="12" customWidth="1"/>
    <col min="8710" max="8710" width="7.7109375" style="12" customWidth="1"/>
    <col min="8711" max="8711" width="8.7109375" style="12" customWidth="1"/>
    <col min="8712" max="8712" width="16.28515625" style="12" customWidth="1"/>
    <col min="8713" max="8713" width="7.7109375" style="12" customWidth="1"/>
    <col min="8714" max="8714" width="8" style="12" customWidth="1"/>
    <col min="8715" max="8715" width="7.7109375" style="12" customWidth="1"/>
    <col min="8716" max="8716" width="8.7109375" style="12" customWidth="1"/>
    <col min="8717" max="8956" width="9.140625" style="12"/>
    <col min="8957" max="8957" width="18.140625" style="12" customWidth="1"/>
    <col min="8958" max="8958" width="15.85546875" style="12" customWidth="1"/>
    <col min="8959" max="8960" width="6.7109375" style="12" customWidth="1"/>
    <col min="8961" max="8961" width="5.7109375" style="12" customWidth="1"/>
    <col min="8962" max="8962" width="7" style="12" customWidth="1"/>
    <col min="8963" max="8963" width="5.7109375" style="12" customWidth="1"/>
    <col min="8964" max="8964" width="7.7109375" style="12" customWidth="1"/>
    <col min="8965" max="8965" width="8.7109375" style="12" customWidth="1"/>
    <col min="8966" max="8966" width="7.7109375" style="12" customWidth="1"/>
    <col min="8967" max="8967" width="8.7109375" style="12" customWidth="1"/>
    <col min="8968" max="8968" width="16.28515625" style="12" customWidth="1"/>
    <col min="8969" max="8969" width="7.7109375" style="12" customWidth="1"/>
    <col min="8970" max="8970" width="8" style="12" customWidth="1"/>
    <col min="8971" max="8971" width="7.7109375" style="12" customWidth="1"/>
    <col min="8972" max="8972" width="8.7109375" style="12" customWidth="1"/>
    <col min="8973" max="9212" width="9.140625" style="12"/>
    <col min="9213" max="9213" width="18.140625" style="12" customWidth="1"/>
    <col min="9214" max="9214" width="15.85546875" style="12" customWidth="1"/>
    <col min="9215" max="9216" width="6.7109375" style="12" customWidth="1"/>
    <col min="9217" max="9217" width="5.7109375" style="12" customWidth="1"/>
    <col min="9218" max="9218" width="7" style="12" customWidth="1"/>
    <col min="9219" max="9219" width="5.7109375" style="12" customWidth="1"/>
    <col min="9220" max="9220" width="7.7109375" style="12" customWidth="1"/>
    <col min="9221" max="9221" width="8.7109375" style="12" customWidth="1"/>
    <col min="9222" max="9222" width="7.7109375" style="12" customWidth="1"/>
    <col min="9223" max="9223" width="8.7109375" style="12" customWidth="1"/>
    <col min="9224" max="9224" width="16.28515625" style="12" customWidth="1"/>
    <col min="9225" max="9225" width="7.7109375" style="12" customWidth="1"/>
    <col min="9226" max="9226" width="8" style="12" customWidth="1"/>
    <col min="9227" max="9227" width="7.7109375" style="12" customWidth="1"/>
    <col min="9228" max="9228" width="8.7109375" style="12" customWidth="1"/>
    <col min="9229" max="9468" width="9.140625" style="12"/>
    <col min="9469" max="9469" width="18.140625" style="12" customWidth="1"/>
    <col min="9470" max="9470" width="15.85546875" style="12" customWidth="1"/>
    <col min="9471" max="9472" width="6.7109375" style="12" customWidth="1"/>
    <col min="9473" max="9473" width="5.7109375" style="12" customWidth="1"/>
    <col min="9474" max="9474" width="7" style="12" customWidth="1"/>
    <col min="9475" max="9475" width="5.7109375" style="12" customWidth="1"/>
    <col min="9476" max="9476" width="7.7109375" style="12" customWidth="1"/>
    <col min="9477" max="9477" width="8.7109375" style="12" customWidth="1"/>
    <col min="9478" max="9478" width="7.7109375" style="12" customWidth="1"/>
    <col min="9479" max="9479" width="8.7109375" style="12" customWidth="1"/>
    <col min="9480" max="9480" width="16.28515625" style="12" customWidth="1"/>
    <col min="9481" max="9481" width="7.7109375" style="12" customWidth="1"/>
    <col min="9482" max="9482" width="8" style="12" customWidth="1"/>
    <col min="9483" max="9483" width="7.7109375" style="12" customWidth="1"/>
    <col min="9484" max="9484" width="8.7109375" style="12" customWidth="1"/>
    <col min="9485" max="9724" width="9.140625" style="12"/>
    <col min="9725" max="9725" width="18.140625" style="12" customWidth="1"/>
    <col min="9726" max="9726" width="15.85546875" style="12" customWidth="1"/>
    <col min="9727" max="9728" width="6.7109375" style="12" customWidth="1"/>
    <col min="9729" max="9729" width="5.7109375" style="12" customWidth="1"/>
    <col min="9730" max="9730" width="7" style="12" customWidth="1"/>
    <col min="9731" max="9731" width="5.7109375" style="12" customWidth="1"/>
    <col min="9732" max="9732" width="7.7109375" style="12" customWidth="1"/>
    <col min="9733" max="9733" width="8.7109375" style="12" customWidth="1"/>
    <col min="9734" max="9734" width="7.7109375" style="12" customWidth="1"/>
    <col min="9735" max="9735" width="8.7109375" style="12" customWidth="1"/>
    <col min="9736" max="9736" width="16.28515625" style="12" customWidth="1"/>
    <col min="9737" max="9737" width="7.7109375" style="12" customWidth="1"/>
    <col min="9738" max="9738" width="8" style="12" customWidth="1"/>
    <col min="9739" max="9739" width="7.7109375" style="12" customWidth="1"/>
    <col min="9740" max="9740" width="8.7109375" style="12" customWidth="1"/>
    <col min="9741" max="9980" width="9.140625" style="12"/>
    <col min="9981" max="9981" width="18.140625" style="12" customWidth="1"/>
    <col min="9982" max="9982" width="15.85546875" style="12" customWidth="1"/>
    <col min="9983" max="9984" width="6.7109375" style="12" customWidth="1"/>
    <col min="9985" max="9985" width="5.7109375" style="12" customWidth="1"/>
    <col min="9986" max="9986" width="7" style="12" customWidth="1"/>
    <col min="9987" max="9987" width="5.7109375" style="12" customWidth="1"/>
    <col min="9988" max="9988" width="7.7109375" style="12" customWidth="1"/>
    <col min="9989" max="9989" width="8.7109375" style="12" customWidth="1"/>
    <col min="9990" max="9990" width="7.7109375" style="12" customWidth="1"/>
    <col min="9991" max="9991" width="8.7109375" style="12" customWidth="1"/>
    <col min="9992" max="9992" width="16.28515625" style="12" customWidth="1"/>
    <col min="9993" max="9993" width="7.7109375" style="12" customWidth="1"/>
    <col min="9994" max="9994" width="8" style="12" customWidth="1"/>
    <col min="9995" max="9995" width="7.7109375" style="12" customWidth="1"/>
    <col min="9996" max="9996" width="8.7109375" style="12" customWidth="1"/>
    <col min="9997" max="10236" width="9.140625" style="12"/>
    <col min="10237" max="10237" width="18.140625" style="12" customWidth="1"/>
    <col min="10238" max="10238" width="15.85546875" style="12" customWidth="1"/>
    <col min="10239" max="10240" width="6.7109375" style="12" customWidth="1"/>
    <col min="10241" max="10241" width="5.7109375" style="12" customWidth="1"/>
    <col min="10242" max="10242" width="7" style="12" customWidth="1"/>
    <col min="10243" max="10243" width="5.7109375" style="12" customWidth="1"/>
    <col min="10244" max="10244" width="7.7109375" style="12" customWidth="1"/>
    <col min="10245" max="10245" width="8.7109375" style="12" customWidth="1"/>
    <col min="10246" max="10246" width="7.7109375" style="12" customWidth="1"/>
    <col min="10247" max="10247" width="8.7109375" style="12" customWidth="1"/>
    <col min="10248" max="10248" width="16.28515625" style="12" customWidth="1"/>
    <col min="10249" max="10249" width="7.7109375" style="12" customWidth="1"/>
    <col min="10250" max="10250" width="8" style="12" customWidth="1"/>
    <col min="10251" max="10251" width="7.7109375" style="12" customWidth="1"/>
    <col min="10252" max="10252" width="8.7109375" style="12" customWidth="1"/>
    <col min="10253" max="10492" width="9.140625" style="12"/>
    <col min="10493" max="10493" width="18.140625" style="12" customWidth="1"/>
    <col min="10494" max="10494" width="15.85546875" style="12" customWidth="1"/>
    <col min="10495" max="10496" width="6.7109375" style="12" customWidth="1"/>
    <col min="10497" max="10497" width="5.7109375" style="12" customWidth="1"/>
    <col min="10498" max="10498" width="7" style="12" customWidth="1"/>
    <col min="10499" max="10499" width="5.7109375" style="12" customWidth="1"/>
    <col min="10500" max="10500" width="7.7109375" style="12" customWidth="1"/>
    <col min="10501" max="10501" width="8.7109375" style="12" customWidth="1"/>
    <col min="10502" max="10502" width="7.7109375" style="12" customWidth="1"/>
    <col min="10503" max="10503" width="8.7109375" style="12" customWidth="1"/>
    <col min="10504" max="10504" width="16.28515625" style="12" customWidth="1"/>
    <col min="10505" max="10505" width="7.7109375" style="12" customWidth="1"/>
    <col min="10506" max="10506" width="8" style="12" customWidth="1"/>
    <col min="10507" max="10507" width="7.7109375" style="12" customWidth="1"/>
    <col min="10508" max="10508" width="8.7109375" style="12" customWidth="1"/>
    <col min="10509" max="10748" width="9.140625" style="12"/>
    <col min="10749" max="10749" width="18.140625" style="12" customWidth="1"/>
    <col min="10750" max="10750" width="15.85546875" style="12" customWidth="1"/>
    <col min="10751" max="10752" width="6.7109375" style="12" customWidth="1"/>
    <col min="10753" max="10753" width="5.7109375" style="12" customWidth="1"/>
    <col min="10754" max="10754" width="7" style="12" customWidth="1"/>
    <col min="10755" max="10755" width="5.7109375" style="12" customWidth="1"/>
    <col min="10756" max="10756" width="7.7109375" style="12" customWidth="1"/>
    <col min="10757" max="10757" width="8.7109375" style="12" customWidth="1"/>
    <col min="10758" max="10758" width="7.7109375" style="12" customWidth="1"/>
    <col min="10759" max="10759" width="8.7109375" style="12" customWidth="1"/>
    <col min="10760" max="10760" width="16.28515625" style="12" customWidth="1"/>
    <col min="10761" max="10761" width="7.7109375" style="12" customWidth="1"/>
    <col min="10762" max="10762" width="8" style="12" customWidth="1"/>
    <col min="10763" max="10763" width="7.7109375" style="12" customWidth="1"/>
    <col min="10764" max="10764" width="8.7109375" style="12" customWidth="1"/>
    <col min="10765" max="11004" width="9.140625" style="12"/>
    <col min="11005" max="11005" width="18.140625" style="12" customWidth="1"/>
    <col min="11006" max="11006" width="15.85546875" style="12" customWidth="1"/>
    <col min="11007" max="11008" width="6.7109375" style="12" customWidth="1"/>
    <col min="11009" max="11009" width="5.7109375" style="12" customWidth="1"/>
    <col min="11010" max="11010" width="7" style="12" customWidth="1"/>
    <col min="11011" max="11011" width="5.7109375" style="12" customWidth="1"/>
    <col min="11012" max="11012" width="7.7109375" style="12" customWidth="1"/>
    <col min="11013" max="11013" width="8.7109375" style="12" customWidth="1"/>
    <col min="11014" max="11014" width="7.7109375" style="12" customWidth="1"/>
    <col min="11015" max="11015" width="8.7109375" style="12" customWidth="1"/>
    <col min="11016" max="11016" width="16.28515625" style="12" customWidth="1"/>
    <col min="11017" max="11017" width="7.7109375" style="12" customWidth="1"/>
    <col min="11018" max="11018" width="8" style="12" customWidth="1"/>
    <col min="11019" max="11019" width="7.7109375" style="12" customWidth="1"/>
    <col min="11020" max="11020" width="8.7109375" style="12" customWidth="1"/>
    <col min="11021" max="11260" width="9.140625" style="12"/>
    <col min="11261" max="11261" width="18.140625" style="12" customWidth="1"/>
    <col min="11262" max="11262" width="15.85546875" style="12" customWidth="1"/>
    <col min="11263" max="11264" width="6.7109375" style="12" customWidth="1"/>
    <col min="11265" max="11265" width="5.7109375" style="12" customWidth="1"/>
    <col min="11266" max="11266" width="7" style="12" customWidth="1"/>
    <col min="11267" max="11267" width="5.7109375" style="12" customWidth="1"/>
    <col min="11268" max="11268" width="7.7109375" style="12" customWidth="1"/>
    <col min="11269" max="11269" width="8.7109375" style="12" customWidth="1"/>
    <col min="11270" max="11270" width="7.7109375" style="12" customWidth="1"/>
    <col min="11271" max="11271" width="8.7109375" style="12" customWidth="1"/>
    <col min="11272" max="11272" width="16.28515625" style="12" customWidth="1"/>
    <col min="11273" max="11273" width="7.7109375" style="12" customWidth="1"/>
    <col min="11274" max="11274" width="8" style="12" customWidth="1"/>
    <col min="11275" max="11275" width="7.7109375" style="12" customWidth="1"/>
    <col min="11276" max="11276" width="8.7109375" style="12" customWidth="1"/>
    <col min="11277" max="11516" width="9.140625" style="12"/>
    <col min="11517" max="11517" width="18.140625" style="12" customWidth="1"/>
    <col min="11518" max="11518" width="15.85546875" style="12" customWidth="1"/>
    <col min="11519" max="11520" width="6.7109375" style="12" customWidth="1"/>
    <col min="11521" max="11521" width="5.7109375" style="12" customWidth="1"/>
    <col min="11522" max="11522" width="7" style="12" customWidth="1"/>
    <col min="11523" max="11523" width="5.7109375" style="12" customWidth="1"/>
    <col min="11524" max="11524" width="7.7109375" style="12" customWidth="1"/>
    <col min="11525" max="11525" width="8.7109375" style="12" customWidth="1"/>
    <col min="11526" max="11526" width="7.7109375" style="12" customWidth="1"/>
    <col min="11527" max="11527" width="8.7109375" style="12" customWidth="1"/>
    <col min="11528" max="11528" width="16.28515625" style="12" customWidth="1"/>
    <col min="11529" max="11529" width="7.7109375" style="12" customWidth="1"/>
    <col min="11530" max="11530" width="8" style="12" customWidth="1"/>
    <col min="11531" max="11531" width="7.7109375" style="12" customWidth="1"/>
    <col min="11532" max="11532" width="8.7109375" style="12" customWidth="1"/>
    <col min="11533" max="11772" width="9.140625" style="12"/>
    <col min="11773" max="11773" width="18.140625" style="12" customWidth="1"/>
    <col min="11774" max="11774" width="15.85546875" style="12" customWidth="1"/>
    <col min="11775" max="11776" width="6.7109375" style="12" customWidth="1"/>
    <col min="11777" max="11777" width="5.7109375" style="12" customWidth="1"/>
    <col min="11778" max="11778" width="7" style="12" customWidth="1"/>
    <col min="11779" max="11779" width="5.7109375" style="12" customWidth="1"/>
    <col min="11780" max="11780" width="7.7109375" style="12" customWidth="1"/>
    <col min="11781" max="11781" width="8.7109375" style="12" customWidth="1"/>
    <col min="11782" max="11782" width="7.7109375" style="12" customWidth="1"/>
    <col min="11783" max="11783" width="8.7109375" style="12" customWidth="1"/>
    <col min="11784" max="11784" width="16.28515625" style="12" customWidth="1"/>
    <col min="11785" max="11785" width="7.7109375" style="12" customWidth="1"/>
    <col min="11786" max="11786" width="8" style="12" customWidth="1"/>
    <col min="11787" max="11787" width="7.7109375" style="12" customWidth="1"/>
    <col min="11788" max="11788" width="8.7109375" style="12" customWidth="1"/>
    <col min="11789" max="12028" width="9.140625" style="12"/>
    <col min="12029" max="12029" width="18.140625" style="12" customWidth="1"/>
    <col min="12030" max="12030" width="15.85546875" style="12" customWidth="1"/>
    <col min="12031" max="12032" width="6.7109375" style="12" customWidth="1"/>
    <col min="12033" max="12033" width="5.7109375" style="12" customWidth="1"/>
    <col min="12034" max="12034" width="7" style="12" customWidth="1"/>
    <col min="12035" max="12035" width="5.7109375" style="12" customWidth="1"/>
    <col min="12036" max="12036" width="7.7109375" style="12" customWidth="1"/>
    <col min="12037" max="12037" width="8.7109375" style="12" customWidth="1"/>
    <col min="12038" max="12038" width="7.7109375" style="12" customWidth="1"/>
    <col min="12039" max="12039" width="8.7109375" style="12" customWidth="1"/>
    <col min="12040" max="12040" width="16.28515625" style="12" customWidth="1"/>
    <col min="12041" max="12041" width="7.7109375" style="12" customWidth="1"/>
    <col min="12042" max="12042" width="8" style="12" customWidth="1"/>
    <col min="12043" max="12043" width="7.7109375" style="12" customWidth="1"/>
    <col min="12044" max="12044" width="8.7109375" style="12" customWidth="1"/>
    <col min="12045" max="12284" width="9.140625" style="12"/>
    <col min="12285" max="12285" width="18.140625" style="12" customWidth="1"/>
    <col min="12286" max="12286" width="15.85546875" style="12" customWidth="1"/>
    <col min="12287" max="12288" width="6.7109375" style="12" customWidth="1"/>
    <col min="12289" max="12289" width="5.7109375" style="12" customWidth="1"/>
    <col min="12290" max="12290" width="7" style="12" customWidth="1"/>
    <col min="12291" max="12291" width="5.7109375" style="12" customWidth="1"/>
    <col min="12292" max="12292" width="7.7109375" style="12" customWidth="1"/>
    <col min="12293" max="12293" width="8.7109375" style="12" customWidth="1"/>
    <col min="12294" max="12294" width="7.7109375" style="12" customWidth="1"/>
    <col min="12295" max="12295" width="8.7109375" style="12" customWidth="1"/>
    <col min="12296" max="12296" width="16.28515625" style="12" customWidth="1"/>
    <col min="12297" max="12297" width="7.7109375" style="12" customWidth="1"/>
    <col min="12298" max="12298" width="8" style="12" customWidth="1"/>
    <col min="12299" max="12299" width="7.7109375" style="12" customWidth="1"/>
    <col min="12300" max="12300" width="8.7109375" style="12" customWidth="1"/>
    <col min="12301" max="12540" width="9.140625" style="12"/>
    <col min="12541" max="12541" width="18.140625" style="12" customWidth="1"/>
    <col min="12542" max="12542" width="15.85546875" style="12" customWidth="1"/>
    <col min="12543" max="12544" width="6.7109375" style="12" customWidth="1"/>
    <col min="12545" max="12545" width="5.7109375" style="12" customWidth="1"/>
    <col min="12546" max="12546" width="7" style="12" customWidth="1"/>
    <col min="12547" max="12547" width="5.7109375" style="12" customWidth="1"/>
    <col min="12548" max="12548" width="7.7109375" style="12" customWidth="1"/>
    <col min="12549" max="12549" width="8.7109375" style="12" customWidth="1"/>
    <col min="12550" max="12550" width="7.7109375" style="12" customWidth="1"/>
    <col min="12551" max="12551" width="8.7109375" style="12" customWidth="1"/>
    <col min="12552" max="12552" width="16.28515625" style="12" customWidth="1"/>
    <col min="12553" max="12553" width="7.7109375" style="12" customWidth="1"/>
    <col min="12554" max="12554" width="8" style="12" customWidth="1"/>
    <col min="12555" max="12555" width="7.7109375" style="12" customWidth="1"/>
    <col min="12556" max="12556" width="8.7109375" style="12" customWidth="1"/>
    <col min="12557" max="12796" width="9.140625" style="12"/>
    <col min="12797" max="12797" width="18.140625" style="12" customWidth="1"/>
    <col min="12798" max="12798" width="15.85546875" style="12" customWidth="1"/>
    <col min="12799" max="12800" width="6.7109375" style="12" customWidth="1"/>
    <col min="12801" max="12801" width="5.7109375" style="12" customWidth="1"/>
    <col min="12802" max="12802" width="7" style="12" customWidth="1"/>
    <col min="12803" max="12803" width="5.7109375" style="12" customWidth="1"/>
    <col min="12804" max="12804" width="7.7109375" style="12" customWidth="1"/>
    <col min="12805" max="12805" width="8.7109375" style="12" customWidth="1"/>
    <col min="12806" max="12806" width="7.7109375" style="12" customWidth="1"/>
    <col min="12807" max="12807" width="8.7109375" style="12" customWidth="1"/>
    <col min="12808" max="12808" width="16.28515625" style="12" customWidth="1"/>
    <col min="12809" max="12809" width="7.7109375" style="12" customWidth="1"/>
    <col min="12810" max="12810" width="8" style="12" customWidth="1"/>
    <col min="12811" max="12811" width="7.7109375" style="12" customWidth="1"/>
    <col min="12812" max="12812" width="8.7109375" style="12" customWidth="1"/>
    <col min="12813" max="13052" width="9.140625" style="12"/>
    <col min="13053" max="13053" width="18.140625" style="12" customWidth="1"/>
    <col min="13054" max="13054" width="15.85546875" style="12" customWidth="1"/>
    <col min="13055" max="13056" width="6.7109375" style="12" customWidth="1"/>
    <col min="13057" max="13057" width="5.7109375" style="12" customWidth="1"/>
    <col min="13058" max="13058" width="7" style="12" customWidth="1"/>
    <col min="13059" max="13059" width="5.7109375" style="12" customWidth="1"/>
    <col min="13060" max="13060" width="7.7109375" style="12" customWidth="1"/>
    <col min="13061" max="13061" width="8.7109375" style="12" customWidth="1"/>
    <col min="13062" max="13062" width="7.7109375" style="12" customWidth="1"/>
    <col min="13063" max="13063" width="8.7109375" style="12" customWidth="1"/>
    <col min="13064" max="13064" width="16.28515625" style="12" customWidth="1"/>
    <col min="13065" max="13065" width="7.7109375" style="12" customWidth="1"/>
    <col min="13066" max="13066" width="8" style="12" customWidth="1"/>
    <col min="13067" max="13067" width="7.7109375" style="12" customWidth="1"/>
    <col min="13068" max="13068" width="8.7109375" style="12" customWidth="1"/>
    <col min="13069" max="13308" width="9.140625" style="12"/>
    <col min="13309" max="13309" width="18.140625" style="12" customWidth="1"/>
    <col min="13310" max="13310" width="15.85546875" style="12" customWidth="1"/>
    <col min="13311" max="13312" width="6.7109375" style="12" customWidth="1"/>
    <col min="13313" max="13313" width="5.7109375" style="12" customWidth="1"/>
    <col min="13314" max="13314" width="7" style="12" customWidth="1"/>
    <col min="13315" max="13315" width="5.7109375" style="12" customWidth="1"/>
    <col min="13316" max="13316" width="7.7109375" style="12" customWidth="1"/>
    <col min="13317" max="13317" width="8.7109375" style="12" customWidth="1"/>
    <col min="13318" max="13318" width="7.7109375" style="12" customWidth="1"/>
    <col min="13319" max="13319" width="8.7109375" style="12" customWidth="1"/>
    <col min="13320" max="13320" width="16.28515625" style="12" customWidth="1"/>
    <col min="13321" max="13321" width="7.7109375" style="12" customWidth="1"/>
    <col min="13322" max="13322" width="8" style="12" customWidth="1"/>
    <col min="13323" max="13323" width="7.7109375" style="12" customWidth="1"/>
    <col min="13324" max="13324" width="8.7109375" style="12" customWidth="1"/>
    <col min="13325" max="13564" width="9.140625" style="12"/>
    <col min="13565" max="13565" width="18.140625" style="12" customWidth="1"/>
    <col min="13566" max="13566" width="15.85546875" style="12" customWidth="1"/>
    <col min="13567" max="13568" width="6.7109375" style="12" customWidth="1"/>
    <col min="13569" max="13569" width="5.7109375" style="12" customWidth="1"/>
    <col min="13570" max="13570" width="7" style="12" customWidth="1"/>
    <col min="13571" max="13571" width="5.7109375" style="12" customWidth="1"/>
    <col min="13572" max="13572" width="7.7109375" style="12" customWidth="1"/>
    <col min="13573" max="13573" width="8.7109375" style="12" customWidth="1"/>
    <col min="13574" max="13574" width="7.7109375" style="12" customWidth="1"/>
    <col min="13575" max="13575" width="8.7109375" style="12" customWidth="1"/>
    <col min="13576" max="13576" width="16.28515625" style="12" customWidth="1"/>
    <col min="13577" max="13577" width="7.7109375" style="12" customWidth="1"/>
    <col min="13578" max="13578" width="8" style="12" customWidth="1"/>
    <col min="13579" max="13579" width="7.7109375" style="12" customWidth="1"/>
    <col min="13580" max="13580" width="8.7109375" style="12" customWidth="1"/>
    <col min="13581" max="13820" width="9.140625" style="12"/>
    <col min="13821" max="13821" width="18.140625" style="12" customWidth="1"/>
    <col min="13822" max="13822" width="15.85546875" style="12" customWidth="1"/>
    <col min="13823" max="13824" width="6.7109375" style="12" customWidth="1"/>
    <col min="13825" max="13825" width="5.7109375" style="12" customWidth="1"/>
    <col min="13826" max="13826" width="7" style="12" customWidth="1"/>
    <col min="13827" max="13827" width="5.7109375" style="12" customWidth="1"/>
    <col min="13828" max="13828" width="7.7109375" style="12" customWidth="1"/>
    <col min="13829" max="13829" width="8.7109375" style="12" customWidth="1"/>
    <col min="13830" max="13830" width="7.7109375" style="12" customWidth="1"/>
    <col min="13831" max="13831" width="8.7109375" style="12" customWidth="1"/>
    <col min="13832" max="13832" width="16.28515625" style="12" customWidth="1"/>
    <col min="13833" max="13833" width="7.7109375" style="12" customWidth="1"/>
    <col min="13834" max="13834" width="8" style="12" customWidth="1"/>
    <col min="13835" max="13835" width="7.7109375" style="12" customWidth="1"/>
    <col min="13836" max="13836" width="8.7109375" style="12" customWidth="1"/>
    <col min="13837" max="14076" width="9.140625" style="12"/>
    <col min="14077" max="14077" width="18.140625" style="12" customWidth="1"/>
    <col min="14078" max="14078" width="15.85546875" style="12" customWidth="1"/>
    <col min="14079" max="14080" width="6.7109375" style="12" customWidth="1"/>
    <col min="14081" max="14081" width="5.7109375" style="12" customWidth="1"/>
    <col min="14082" max="14082" width="7" style="12" customWidth="1"/>
    <col min="14083" max="14083" width="5.7109375" style="12" customWidth="1"/>
    <col min="14084" max="14084" width="7.7109375" style="12" customWidth="1"/>
    <col min="14085" max="14085" width="8.7109375" style="12" customWidth="1"/>
    <col min="14086" max="14086" width="7.7109375" style="12" customWidth="1"/>
    <col min="14087" max="14087" width="8.7109375" style="12" customWidth="1"/>
    <col min="14088" max="14088" width="16.28515625" style="12" customWidth="1"/>
    <col min="14089" max="14089" width="7.7109375" style="12" customWidth="1"/>
    <col min="14090" max="14090" width="8" style="12" customWidth="1"/>
    <col min="14091" max="14091" width="7.7109375" style="12" customWidth="1"/>
    <col min="14092" max="14092" width="8.7109375" style="12" customWidth="1"/>
    <col min="14093" max="14332" width="9.140625" style="12"/>
    <col min="14333" max="14333" width="18.140625" style="12" customWidth="1"/>
    <col min="14334" max="14334" width="15.85546875" style="12" customWidth="1"/>
    <col min="14335" max="14336" width="6.7109375" style="12" customWidth="1"/>
    <col min="14337" max="14337" width="5.7109375" style="12" customWidth="1"/>
    <col min="14338" max="14338" width="7" style="12" customWidth="1"/>
    <col min="14339" max="14339" width="5.7109375" style="12" customWidth="1"/>
    <col min="14340" max="14340" width="7.7109375" style="12" customWidth="1"/>
    <col min="14341" max="14341" width="8.7109375" style="12" customWidth="1"/>
    <col min="14342" max="14342" width="7.7109375" style="12" customWidth="1"/>
    <col min="14343" max="14343" width="8.7109375" style="12" customWidth="1"/>
    <col min="14344" max="14344" width="16.28515625" style="12" customWidth="1"/>
    <col min="14345" max="14345" width="7.7109375" style="12" customWidth="1"/>
    <col min="14346" max="14346" width="8" style="12" customWidth="1"/>
    <col min="14347" max="14347" width="7.7109375" style="12" customWidth="1"/>
    <col min="14348" max="14348" width="8.7109375" style="12" customWidth="1"/>
    <col min="14349" max="14588" width="9.140625" style="12"/>
    <col min="14589" max="14589" width="18.140625" style="12" customWidth="1"/>
    <col min="14590" max="14590" width="15.85546875" style="12" customWidth="1"/>
    <col min="14591" max="14592" width="6.7109375" style="12" customWidth="1"/>
    <col min="14593" max="14593" width="5.7109375" style="12" customWidth="1"/>
    <col min="14594" max="14594" width="7" style="12" customWidth="1"/>
    <col min="14595" max="14595" width="5.7109375" style="12" customWidth="1"/>
    <col min="14596" max="14596" width="7.7109375" style="12" customWidth="1"/>
    <col min="14597" max="14597" width="8.7109375" style="12" customWidth="1"/>
    <col min="14598" max="14598" width="7.7109375" style="12" customWidth="1"/>
    <col min="14599" max="14599" width="8.7109375" style="12" customWidth="1"/>
    <col min="14600" max="14600" width="16.28515625" style="12" customWidth="1"/>
    <col min="14601" max="14601" width="7.7109375" style="12" customWidth="1"/>
    <col min="14602" max="14602" width="8" style="12" customWidth="1"/>
    <col min="14603" max="14603" width="7.7109375" style="12" customWidth="1"/>
    <col min="14604" max="14604" width="8.7109375" style="12" customWidth="1"/>
    <col min="14605" max="14844" width="9.140625" style="12"/>
    <col min="14845" max="14845" width="18.140625" style="12" customWidth="1"/>
    <col min="14846" max="14846" width="15.85546875" style="12" customWidth="1"/>
    <col min="14847" max="14848" width="6.7109375" style="12" customWidth="1"/>
    <col min="14849" max="14849" width="5.7109375" style="12" customWidth="1"/>
    <col min="14850" max="14850" width="7" style="12" customWidth="1"/>
    <col min="14851" max="14851" width="5.7109375" style="12" customWidth="1"/>
    <col min="14852" max="14852" width="7.7109375" style="12" customWidth="1"/>
    <col min="14853" max="14853" width="8.7109375" style="12" customWidth="1"/>
    <col min="14854" max="14854" width="7.7109375" style="12" customWidth="1"/>
    <col min="14855" max="14855" width="8.7109375" style="12" customWidth="1"/>
    <col min="14856" max="14856" width="16.28515625" style="12" customWidth="1"/>
    <col min="14857" max="14857" width="7.7109375" style="12" customWidth="1"/>
    <col min="14858" max="14858" width="8" style="12" customWidth="1"/>
    <col min="14859" max="14859" width="7.7109375" style="12" customWidth="1"/>
    <col min="14860" max="14860" width="8.7109375" style="12" customWidth="1"/>
    <col min="14861" max="15100" width="9.140625" style="12"/>
    <col min="15101" max="15101" width="18.140625" style="12" customWidth="1"/>
    <col min="15102" max="15102" width="15.85546875" style="12" customWidth="1"/>
    <col min="15103" max="15104" width="6.7109375" style="12" customWidth="1"/>
    <col min="15105" max="15105" width="5.7109375" style="12" customWidth="1"/>
    <col min="15106" max="15106" width="7" style="12" customWidth="1"/>
    <col min="15107" max="15107" width="5.7109375" style="12" customWidth="1"/>
    <col min="15108" max="15108" width="7.7109375" style="12" customWidth="1"/>
    <col min="15109" max="15109" width="8.7109375" style="12" customWidth="1"/>
    <col min="15110" max="15110" width="7.7109375" style="12" customWidth="1"/>
    <col min="15111" max="15111" width="8.7109375" style="12" customWidth="1"/>
    <col min="15112" max="15112" width="16.28515625" style="12" customWidth="1"/>
    <col min="15113" max="15113" width="7.7109375" style="12" customWidth="1"/>
    <col min="15114" max="15114" width="8" style="12" customWidth="1"/>
    <col min="15115" max="15115" width="7.7109375" style="12" customWidth="1"/>
    <col min="15116" max="15116" width="8.7109375" style="12" customWidth="1"/>
    <col min="15117" max="15356" width="9.140625" style="12"/>
    <col min="15357" max="15357" width="18.140625" style="12" customWidth="1"/>
    <col min="15358" max="15358" width="15.85546875" style="12" customWidth="1"/>
    <col min="15359" max="15360" width="6.7109375" style="12" customWidth="1"/>
    <col min="15361" max="15361" width="5.7109375" style="12" customWidth="1"/>
    <col min="15362" max="15362" width="7" style="12" customWidth="1"/>
    <col min="15363" max="15363" width="5.7109375" style="12" customWidth="1"/>
    <col min="15364" max="15364" width="7.7109375" style="12" customWidth="1"/>
    <col min="15365" max="15365" width="8.7109375" style="12" customWidth="1"/>
    <col min="15366" max="15366" width="7.7109375" style="12" customWidth="1"/>
    <col min="15367" max="15367" width="8.7109375" style="12" customWidth="1"/>
    <col min="15368" max="15368" width="16.28515625" style="12" customWidth="1"/>
    <col min="15369" max="15369" width="7.7109375" style="12" customWidth="1"/>
    <col min="15370" max="15370" width="8" style="12" customWidth="1"/>
    <col min="15371" max="15371" width="7.7109375" style="12" customWidth="1"/>
    <col min="15372" max="15372" width="8.7109375" style="12" customWidth="1"/>
    <col min="15373" max="15612" width="9.140625" style="12"/>
    <col min="15613" max="15613" width="18.140625" style="12" customWidth="1"/>
    <col min="15614" max="15614" width="15.85546875" style="12" customWidth="1"/>
    <col min="15615" max="15616" width="6.7109375" style="12" customWidth="1"/>
    <col min="15617" max="15617" width="5.7109375" style="12" customWidth="1"/>
    <col min="15618" max="15618" width="7" style="12" customWidth="1"/>
    <col min="15619" max="15619" width="5.7109375" style="12" customWidth="1"/>
    <col min="15620" max="15620" width="7.7109375" style="12" customWidth="1"/>
    <col min="15621" max="15621" width="8.7109375" style="12" customWidth="1"/>
    <col min="15622" max="15622" width="7.7109375" style="12" customWidth="1"/>
    <col min="15623" max="15623" width="8.7109375" style="12" customWidth="1"/>
    <col min="15624" max="15624" width="16.28515625" style="12" customWidth="1"/>
    <col min="15625" max="15625" width="7.7109375" style="12" customWidth="1"/>
    <col min="15626" max="15626" width="8" style="12" customWidth="1"/>
    <col min="15627" max="15627" width="7.7109375" style="12" customWidth="1"/>
    <col min="15628" max="15628" width="8.7109375" style="12" customWidth="1"/>
    <col min="15629" max="15868" width="9.140625" style="12"/>
    <col min="15869" max="15869" width="18.140625" style="12" customWidth="1"/>
    <col min="15870" max="15870" width="15.85546875" style="12" customWidth="1"/>
    <col min="15871" max="15872" width="6.7109375" style="12" customWidth="1"/>
    <col min="15873" max="15873" width="5.7109375" style="12" customWidth="1"/>
    <col min="15874" max="15874" width="7" style="12" customWidth="1"/>
    <col min="15875" max="15875" width="5.7109375" style="12" customWidth="1"/>
    <col min="15876" max="15876" width="7.7109375" style="12" customWidth="1"/>
    <col min="15877" max="15877" width="8.7109375" style="12" customWidth="1"/>
    <col min="15878" max="15878" width="7.7109375" style="12" customWidth="1"/>
    <col min="15879" max="15879" width="8.7109375" style="12" customWidth="1"/>
    <col min="15880" max="15880" width="16.28515625" style="12" customWidth="1"/>
    <col min="15881" max="15881" width="7.7109375" style="12" customWidth="1"/>
    <col min="15882" max="15882" width="8" style="12" customWidth="1"/>
    <col min="15883" max="15883" width="7.7109375" style="12" customWidth="1"/>
    <col min="15884" max="15884" width="8.7109375" style="12" customWidth="1"/>
    <col min="15885" max="16124" width="9.140625" style="12"/>
    <col min="16125" max="16125" width="18.140625" style="12" customWidth="1"/>
    <col min="16126" max="16126" width="15.85546875" style="12" customWidth="1"/>
    <col min="16127" max="16128" width="6.7109375" style="12" customWidth="1"/>
    <col min="16129" max="16129" width="5.7109375" style="12" customWidth="1"/>
    <col min="16130" max="16130" width="7" style="12" customWidth="1"/>
    <col min="16131" max="16131" width="5.7109375" style="12" customWidth="1"/>
    <col min="16132" max="16132" width="7.7109375" style="12" customWidth="1"/>
    <col min="16133" max="16133" width="8.7109375" style="12" customWidth="1"/>
    <col min="16134" max="16134" width="7.7109375" style="12" customWidth="1"/>
    <col min="16135" max="16135" width="8.7109375" style="12" customWidth="1"/>
    <col min="16136" max="16136" width="16.28515625" style="12" customWidth="1"/>
    <col min="16137" max="16137" width="7.7109375" style="12" customWidth="1"/>
    <col min="16138" max="16138" width="8" style="12" customWidth="1"/>
    <col min="16139" max="16139" width="7.7109375" style="12" customWidth="1"/>
    <col min="16140" max="16140" width="8.7109375" style="12" customWidth="1"/>
    <col min="16141" max="16384" width="9.140625" style="12"/>
  </cols>
  <sheetData>
    <row r="1" spans="1:20" s="53" customFormat="1" ht="37.5" customHeight="1" thickBot="1" x14ac:dyDescent="0.25">
      <c r="A1" s="803"/>
      <c r="B1" s="806"/>
      <c r="C1" s="804"/>
      <c r="D1" s="804"/>
      <c r="E1" s="804"/>
      <c r="F1" s="804"/>
      <c r="G1" s="804"/>
      <c r="H1" s="804"/>
      <c r="I1" s="804"/>
      <c r="J1" s="804"/>
      <c r="K1" s="804"/>
      <c r="L1" s="806"/>
      <c r="M1" s="804"/>
      <c r="N1" s="804"/>
      <c r="O1" s="804"/>
      <c r="P1" s="804"/>
      <c r="Q1" s="804"/>
      <c r="R1" s="804"/>
      <c r="S1" s="804"/>
      <c r="T1" s="805"/>
    </row>
    <row r="2" spans="1:20" s="54" customFormat="1" x14ac:dyDescent="0.2">
      <c r="A2" s="213" t="s">
        <v>96</v>
      </c>
      <c r="B2" s="648" t="str">
        <f>ORÇAMENTO!I4</f>
        <v>SENSE106</v>
      </c>
      <c r="C2" s="59"/>
      <c r="D2" s="59"/>
      <c r="E2" s="59"/>
      <c r="F2" s="59"/>
      <c r="G2" s="59"/>
      <c r="L2" s="214" t="s">
        <v>15</v>
      </c>
      <c r="M2" s="59"/>
      <c r="N2" s="214" t="s">
        <v>8</v>
      </c>
    </row>
    <row r="3" spans="1:20" s="54" customFormat="1" ht="15" customHeight="1" x14ac:dyDescent="0.2">
      <c r="A3" s="58" t="str">
        <f>ORÇAMENTO!G5</f>
        <v>EMPRESA:</v>
      </c>
      <c r="B3" s="648" t="str">
        <f>ORÇAMENTO!I5</f>
        <v>HOLZE EMPREENDIMENTOS</v>
      </c>
      <c r="C3" s="59"/>
      <c r="D3" s="59"/>
      <c r="E3" s="59"/>
      <c r="F3" s="59"/>
      <c r="G3" s="59"/>
      <c r="L3" s="58" t="str">
        <f>ORÇAMENTO!O5</f>
        <v>R01 - Edileni Silva</v>
      </c>
      <c r="M3" s="59"/>
      <c r="N3" s="61">
        <f>ORÇAMENTO!P5</f>
        <v>45608</v>
      </c>
    </row>
    <row r="4" spans="1:20" ht="15" customHeight="1" x14ac:dyDescent="0.2">
      <c r="A4" s="1328" t="s">
        <v>39</v>
      </c>
      <c r="B4" s="1328" t="s">
        <v>11</v>
      </c>
      <c r="C4" s="1330" t="s">
        <v>40</v>
      </c>
      <c r="D4" s="1331"/>
      <c r="E4" s="1331"/>
      <c r="F4" s="1332"/>
      <c r="G4" s="1330" t="s">
        <v>47</v>
      </c>
      <c r="H4" s="1331"/>
      <c r="I4" s="1332"/>
      <c r="J4" s="1330" t="s">
        <v>95</v>
      </c>
      <c r="K4" s="1331"/>
      <c r="L4" s="1332"/>
      <c r="M4" s="86" t="s">
        <v>56</v>
      </c>
      <c r="N4" s="1333" t="s">
        <v>102</v>
      </c>
      <c r="P4" s="1330" t="s">
        <v>97</v>
      </c>
      <c r="Q4" s="1332"/>
      <c r="R4" s="54"/>
      <c r="S4" s="1330" t="s">
        <v>469</v>
      </c>
      <c r="T4" s="1332"/>
    </row>
    <row r="5" spans="1:20" ht="20.45" customHeight="1" x14ac:dyDescent="0.2">
      <c r="A5" s="1329"/>
      <c r="B5" s="1329"/>
      <c r="C5" s="149" t="s">
        <v>116</v>
      </c>
      <c r="D5" s="150" t="s">
        <v>117</v>
      </c>
      <c r="E5" s="150" t="s">
        <v>118</v>
      </c>
      <c r="F5" s="114" t="s">
        <v>18</v>
      </c>
      <c r="G5" s="113" t="s">
        <v>72</v>
      </c>
      <c r="H5" s="151" t="s">
        <v>119</v>
      </c>
      <c r="I5" s="148" t="s">
        <v>120</v>
      </c>
      <c r="J5" s="151" t="s">
        <v>121</v>
      </c>
      <c r="K5" s="148" t="s">
        <v>122</v>
      </c>
      <c r="L5" s="113" t="s">
        <v>100</v>
      </c>
      <c r="M5" s="112" t="s">
        <v>10</v>
      </c>
      <c r="N5" s="1334"/>
      <c r="P5" s="148" t="s">
        <v>4</v>
      </c>
      <c r="Q5" s="118" t="s">
        <v>100</v>
      </c>
      <c r="S5" s="148" t="s">
        <v>1</v>
      </c>
      <c r="T5" s="118" t="s">
        <v>470</v>
      </c>
    </row>
    <row r="6" spans="1:20" s="153" customFormat="1" ht="13.15" customHeight="1" x14ac:dyDescent="0.2">
      <c r="A6" s="294" t="s">
        <v>420</v>
      </c>
      <c r="B6" s="288"/>
      <c r="C6" s="288"/>
      <c r="D6" s="288"/>
      <c r="E6" s="288"/>
      <c r="F6" s="288"/>
      <c r="G6" s="288"/>
      <c r="H6" s="154" t="str">
        <f t="shared" ref="H6:H17" si="0">IF(C6="","",IF(F6&lt;0,-C6+(D6*(E6+0.02)),C6+(D6*(E6+0.02))))</f>
        <v/>
      </c>
      <c r="I6" s="154" t="str">
        <f>IF(C6="","",IF(F6&gt;0,F6*H6,F6*-H6))</f>
        <v/>
      </c>
      <c r="J6" s="154" t="str">
        <f t="shared" ref="J6:J17" si="1">IF(C6="","",IF(F6&lt;0,-C6*E6,C6*E6))</f>
        <v/>
      </c>
      <c r="K6" s="154" t="str">
        <f>IF(C6="","",IF(F6&gt;0,J6*F6,-J6*F6))</f>
        <v/>
      </c>
      <c r="L6" s="259"/>
      <c r="M6" s="154"/>
      <c r="N6" s="155"/>
      <c r="P6" s="216">
        <f t="shared" ref="P6:P13" si="2">IF(Q6="","",SUMIF($L$6:$L$21,Q6,$K$6:$K$21))</f>
        <v>0</v>
      </c>
      <c r="Q6" s="642" t="s">
        <v>1225</v>
      </c>
      <c r="R6" s="12"/>
      <c r="S6" s="216">
        <f t="shared" ref="S6:S13" si="3">IF(T6="","",SUMIF($L$6:$L$21,T6,$I$6:$I$21))</f>
        <v>0</v>
      </c>
      <c r="T6" s="643" t="s">
        <v>1225</v>
      </c>
    </row>
    <row r="7" spans="1:20" s="153" customFormat="1" ht="13.15" customHeight="1" x14ac:dyDescent="0.2">
      <c r="A7" s="291" t="s">
        <v>418</v>
      </c>
      <c r="B7" s="292"/>
      <c r="C7" s="156"/>
      <c r="D7" s="156"/>
      <c r="E7" s="156"/>
      <c r="F7" s="162"/>
      <c r="G7" s="156">
        <v>1</v>
      </c>
      <c r="H7" s="158" t="str">
        <f>IF(C7="","",IF(F7&lt;0,-C7+(D7*(E7+0.02)),C7+(D7*(E7+0.02))))</f>
        <v/>
      </c>
      <c r="I7" s="221">
        <f>I9</f>
        <v>376.7</v>
      </c>
      <c r="J7" s="158" t="str">
        <f>IF(C7="","",IF(F7&lt;0,-C7*E7,C7*E7))</f>
        <v/>
      </c>
      <c r="K7" s="222">
        <v>58</v>
      </c>
      <c r="L7" s="252" t="s">
        <v>409</v>
      </c>
      <c r="M7" s="229" t="s">
        <v>62</v>
      </c>
      <c r="N7" s="219"/>
      <c r="P7" s="216">
        <f t="shared" si="2"/>
        <v>58</v>
      </c>
      <c r="Q7" s="642" t="s">
        <v>409</v>
      </c>
      <c r="R7" s="12"/>
      <c r="S7" s="216">
        <f t="shared" si="3"/>
        <v>376.7</v>
      </c>
      <c r="T7" s="643" t="s">
        <v>409</v>
      </c>
    </row>
    <row r="8" spans="1:20" s="153" customFormat="1" ht="13.15" customHeight="1" x14ac:dyDescent="0.2">
      <c r="A8" s="294" t="s">
        <v>425</v>
      </c>
      <c r="B8" s="288"/>
      <c r="C8" s="288"/>
      <c r="D8" s="288"/>
      <c r="E8" s="288"/>
      <c r="F8" s="288"/>
      <c r="G8" s="288"/>
      <c r="H8" s="154" t="str">
        <f t="shared" si="0"/>
        <v/>
      </c>
      <c r="I8" s="154" t="str">
        <f>IF(C8="","",IF(F8&gt;0,F8*H8,F8*-H8))</f>
        <v/>
      </c>
      <c r="J8" s="154" t="str">
        <f t="shared" si="1"/>
        <v/>
      </c>
      <c r="K8" s="154" t="str">
        <f>IF(C8="","",IF(F8&gt;0,J8*F8,-J8*F8))</f>
        <v/>
      </c>
      <c r="L8" s="259"/>
      <c r="M8" s="154"/>
      <c r="N8" s="155"/>
      <c r="P8" s="220">
        <f t="shared" si="2"/>
        <v>58</v>
      </c>
      <c r="Q8" s="642" t="s">
        <v>410</v>
      </c>
      <c r="R8" s="12"/>
      <c r="S8" s="220">
        <f t="shared" si="3"/>
        <v>376.7</v>
      </c>
      <c r="T8" s="642" t="s">
        <v>410</v>
      </c>
    </row>
    <row r="9" spans="1:20" s="153" customFormat="1" ht="13.15" customHeight="1" x14ac:dyDescent="0.2">
      <c r="A9" s="291" t="s">
        <v>418</v>
      </c>
      <c r="B9" s="292"/>
      <c r="C9" s="156"/>
      <c r="D9" s="156"/>
      <c r="E9" s="156"/>
      <c r="F9" s="162"/>
      <c r="G9" s="225">
        <v>1</v>
      </c>
      <c r="H9" s="158" t="str">
        <f t="shared" si="0"/>
        <v/>
      </c>
      <c r="I9" s="221">
        <f>I11</f>
        <v>376.7</v>
      </c>
      <c r="J9" s="158" t="str">
        <f>IF(C9="","",IF(F9&lt;0,-C9*E9,C9*E9))</f>
        <v/>
      </c>
      <c r="K9" s="222">
        <v>58</v>
      </c>
      <c r="L9" s="252" t="s">
        <v>410</v>
      </c>
      <c r="M9" s="229" t="s">
        <v>62</v>
      </c>
      <c r="N9" s="219"/>
      <c r="P9" s="220">
        <f t="shared" si="2"/>
        <v>62.8</v>
      </c>
      <c r="Q9" s="643" t="s">
        <v>431</v>
      </c>
      <c r="R9" s="12"/>
      <c r="S9" s="220">
        <f t="shared" si="3"/>
        <v>376.7</v>
      </c>
      <c r="T9" s="643" t="s">
        <v>431</v>
      </c>
    </row>
    <row r="10" spans="1:20" s="153" customFormat="1" ht="13.15" customHeight="1" x14ac:dyDescent="0.2">
      <c r="A10" s="294" t="s">
        <v>494</v>
      </c>
      <c r="B10" s="288"/>
      <c r="C10" s="288"/>
      <c r="D10" s="288"/>
      <c r="E10" s="288"/>
      <c r="F10" s="288"/>
      <c r="G10" s="288"/>
      <c r="H10" s="154" t="str">
        <f>IF(C10="","",IF(F10&lt;0,-C10+(D10*(E10+0.02)),C10+(D10*(E10+0.02))))</f>
        <v/>
      </c>
      <c r="I10" s="639" t="str">
        <f>IF(C10="","",IF(F10&gt;0,F10*H10,F10*-H10))</f>
        <v/>
      </c>
      <c r="J10" s="154" t="str">
        <f>IF(C10="","",IF(F10&lt;0,-C10*E10,C10*E10))</f>
        <v/>
      </c>
      <c r="K10" s="639" t="str">
        <f>IF(C10="","",IF(F10&gt;0,J10*F10,-J10*F10))</f>
        <v/>
      </c>
      <c r="L10" s="259"/>
      <c r="M10" s="154"/>
      <c r="N10" s="155"/>
      <c r="P10" s="220">
        <f t="shared" si="2"/>
        <v>90</v>
      </c>
      <c r="Q10" s="643" t="s">
        <v>474</v>
      </c>
      <c r="R10" s="12"/>
      <c r="S10" s="220">
        <f t="shared" si="3"/>
        <v>376.7</v>
      </c>
      <c r="T10" s="643" t="s">
        <v>474</v>
      </c>
    </row>
    <row r="11" spans="1:20" s="153" customFormat="1" ht="13.15" customHeight="1" x14ac:dyDescent="0.2">
      <c r="A11" s="291" t="s">
        <v>418</v>
      </c>
      <c r="B11" s="293"/>
      <c r="C11" s="225"/>
      <c r="D11" s="225"/>
      <c r="E11" s="225"/>
      <c r="F11" s="228"/>
      <c r="G11" s="225">
        <v>1</v>
      </c>
      <c r="H11" s="221" t="str">
        <f>IF(C11="","",IF(F11&lt;0,-C11+(D11*(E11+0.02)),C11+(D11*(E11+0.02))))</f>
        <v/>
      </c>
      <c r="I11" s="221">
        <f>I13</f>
        <v>376.7</v>
      </c>
      <c r="J11" s="221" t="str">
        <f>IF(C11="","",IF(F11&lt;0,-C11*E11,C11*E11))</f>
        <v/>
      </c>
      <c r="K11" s="222">
        <v>62.8</v>
      </c>
      <c r="L11" s="252" t="s">
        <v>431</v>
      </c>
      <c r="M11" s="229" t="s">
        <v>62</v>
      </c>
      <c r="N11" s="219"/>
      <c r="P11" s="220">
        <f t="shared" si="2"/>
        <v>616</v>
      </c>
      <c r="Q11" s="643" t="s">
        <v>445</v>
      </c>
      <c r="R11" s="12"/>
      <c r="S11" s="220">
        <f t="shared" si="3"/>
        <v>822.8</v>
      </c>
      <c r="T11" s="643" t="s">
        <v>445</v>
      </c>
    </row>
    <row r="12" spans="1:20" s="153" customFormat="1" ht="13.15" customHeight="1" x14ac:dyDescent="0.2">
      <c r="A12" s="294" t="s">
        <v>493</v>
      </c>
      <c r="B12" s="288"/>
      <c r="C12" s="288"/>
      <c r="D12" s="288"/>
      <c r="E12" s="288"/>
      <c r="F12" s="288"/>
      <c r="G12" s="288"/>
      <c r="H12" s="639" t="str">
        <f t="shared" si="0"/>
        <v/>
      </c>
      <c r="I12" s="639" t="str">
        <f>IF(C12="","",IF(F12&gt;0,F12*H12,F12*-H12))</f>
        <v/>
      </c>
      <c r="J12" s="639" t="str">
        <f t="shared" si="1"/>
        <v/>
      </c>
      <c r="K12" s="639" t="str">
        <f>IF(C12="","",IF(F12&gt;0,J12*F12,-J12*F12))</f>
        <v/>
      </c>
      <c r="L12" s="259"/>
      <c r="M12" s="154"/>
      <c r="N12" s="155"/>
      <c r="P12" s="220">
        <f t="shared" si="2"/>
        <v>30.4</v>
      </c>
      <c r="Q12" s="643" t="s">
        <v>458</v>
      </c>
      <c r="R12" s="12"/>
      <c r="S12" s="220">
        <f t="shared" si="3"/>
        <v>41.14</v>
      </c>
      <c r="T12" s="643" t="s">
        <v>458</v>
      </c>
    </row>
    <row r="13" spans="1:20" s="153" customFormat="1" ht="13.15" customHeight="1" x14ac:dyDescent="0.2">
      <c r="A13" s="291" t="s">
        <v>418</v>
      </c>
      <c r="B13" s="293"/>
      <c r="C13" s="225">
        <v>376.7</v>
      </c>
      <c r="D13" s="225"/>
      <c r="E13" s="225"/>
      <c r="F13" s="228">
        <v>1</v>
      </c>
      <c r="G13" s="225">
        <v>1</v>
      </c>
      <c r="H13" s="221">
        <f t="shared" si="0"/>
        <v>376.7</v>
      </c>
      <c r="I13" s="221">
        <f>IF(C13="","",IF(F13&gt;0,F13*H13,F13*-H13))</f>
        <v>376.7</v>
      </c>
      <c r="J13" s="221">
        <f t="shared" si="1"/>
        <v>0</v>
      </c>
      <c r="K13" s="222">
        <v>90</v>
      </c>
      <c r="L13" s="252" t="s">
        <v>474</v>
      </c>
      <c r="M13" s="229" t="s">
        <v>62</v>
      </c>
      <c r="N13" s="219"/>
      <c r="P13" s="224">
        <f t="shared" si="2"/>
        <v>17.3</v>
      </c>
      <c r="Q13" s="643" t="s">
        <v>475</v>
      </c>
      <c r="R13" s="12"/>
      <c r="S13" s="224">
        <f t="shared" si="3"/>
        <v>101.57999999999998</v>
      </c>
      <c r="T13" s="643" t="s">
        <v>475</v>
      </c>
    </row>
    <row r="14" spans="1:20" s="153" customFormat="1" ht="13.15" customHeight="1" x14ac:dyDescent="0.2">
      <c r="A14" s="294" t="s">
        <v>501</v>
      </c>
      <c r="B14" s="288"/>
      <c r="C14" s="288"/>
      <c r="D14" s="288"/>
      <c r="E14" s="288"/>
      <c r="F14" s="288"/>
      <c r="G14" s="288"/>
      <c r="H14" s="639" t="str">
        <f>IF(C14="","",IF(F14&lt;0,-C14+(D14*(E14+0.02)),C14+(D14*(E14+0.02))))</f>
        <v/>
      </c>
      <c r="I14" s="639" t="str">
        <f>IF(C14="","",IF(F14&gt;0,F14*H14,F14*-H14))</f>
        <v/>
      </c>
      <c r="J14" s="639" t="str">
        <f>IF(C14="","",IF(F14&lt;0,-C14*E14,C14*E14))</f>
        <v/>
      </c>
      <c r="K14" s="639" t="str">
        <f>IF(C14="","",IF(F14&gt;0,J14*F14,-J14*F14))</f>
        <v/>
      </c>
      <c r="L14" s="259"/>
      <c r="M14" s="154"/>
      <c r="N14" s="155"/>
      <c r="P14" s="260">
        <f>SUM(P6:P13)</f>
        <v>932.49999999999989</v>
      </c>
      <c r="Q14" s="251" t="str">
        <f>IF(K22=P14,"OK","Conferir")</f>
        <v>OK</v>
      </c>
      <c r="R14" s="12"/>
      <c r="S14" s="260">
        <f>SUM(S6:S13)</f>
        <v>2472.3199999999997</v>
      </c>
      <c r="T14" s="141" t="str">
        <f>IF(I22=S14,"OK","Conferir")</f>
        <v>OK</v>
      </c>
    </row>
    <row r="15" spans="1:20" s="153" customFormat="1" ht="13.15" customHeight="1" x14ac:dyDescent="0.2">
      <c r="A15" s="291" t="s">
        <v>418</v>
      </c>
      <c r="B15" s="293"/>
      <c r="C15" s="225">
        <v>41.14</v>
      </c>
      <c r="D15" s="225"/>
      <c r="E15" s="225"/>
      <c r="F15" s="228">
        <v>20</v>
      </c>
      <c r="G15" s="225">
        <v>1</v>
      </c>
      <c r="H15" s="221">
        <v>41.14</v>
      </c>
      <c r="I15" s="221">
        <f>IF(C15="","",IF(F15&gt;0,F15*H15,F15*-H15))</f>
        <v>822.8</v>
      </c>
      <c r="J15" s="221">
        <v>30.8</v>
      </c>
      <c r="K15" s="222">
        <f>J15*F15</f>
        <v>616</v>
      </c>
      <c r="L15" s="252" t="s">
        <v>445</v>
      </c>
      <c r="M15" s="229" t="s">
        <v>62</v>
      </c>
      <c r="N15" s="219"/>
      <c r="P15" s="207"/>
      <c r="Q15" s="207"/>
      <c r="R15" s="12"/>
    </row>
    <row r="16" spans="1:20" s="153" customFormat="1" ht="13.15" customHeight="1" x14ac:dyDescent="0.2">
      <c r="A16" s="294" t="s">
        <v>527</v>
      </c>
      <c r="B16" s="288"/>
      <c r="C16" s="288"/>
      <c r="D16" s="288"/>
      <c r="E16" s="288"/>
      <c r="F16" s="288"/>
      <c r="G16" s="288"/>
      <c r="H16" s="639" t="str">
        <f t="shared" si="0"/>
        <v/>
      </c>
      <c r="I16" s="639" t="str">
        <f>IF(C16="","",IF(F16&gt;0,F16*H16,F16*-H16))</f>
        <v/>
      </c>
      <c r="J16" s="639" t="str">
        <f t="shared" si="1"/>
        <v/>
      </c>
      <c r="K16" s="639" t="str">
        <f>IF(C16="","",IF(F16&gt;0,J16*F16,-J16*F16))</f>
        <v/>
      </c>
      <c r="L16" s="259"/>
      <c r="M16" s="154"/>
      <c r="N16" s="155"/>
      <c r="P16" s="207"/>
      <c r="Q16" s="207"/>
      <c r="R16" s="12"/>
    </row>
    <row r="17" spans="1:18" s="227" customFormat="1" ht="12.75" customHeight="1" x14ac:dyDescent="0.2">
      <c r="A17" s="291" t="s">
        <v>418</v>
      </c>
      <c r="B17" s="293"/>
      <c r="C17" s="225"/>
      <c r="D17" s="225"/>
      <c r="E17" s="225"/>
      <c r="F17" s="228"/>
      <c r="G17" s="225">
        <v>1</v>
      </c>
      <c r="H17" s="221" t="str">
        <f t="shared" si="0"/>
        <v/>
      </c>
      <c r="I17" s="221">
        <v>41.14</v>
      </c>
      <c r="J17" s="221" t="str">
        <f t="shared" si="1"/>
        <v/>
      </c>
      <c r="K17" s="222">
        <v>30.4</v>
      </c>
      <c r="L17" s="252" t="s">
        <v>458</v>
      </c>
      <c r="M17" s="229" t="s">
        <v>62</v>
      </c>
      <c r="N17" s="219"/>
      <c r="P17" s="207"/>
      <c r="Q17" s="207"/>
      <c r="R17" s="12"/>
    </row>
    <row r="18" spans="1:18" s="153" customFormat="1" ht="13.15" customHeight="1" x14ac:dyDescent="0.2">
      <c r="A18" s="294" t="s">
        <v>526</v>
      </c>
      <c r="B18" s="288"/>
      <c r="C18" s="288"/>
      <c r="D18" s="288"/>
      <c r="E18" s="288"/>
      <c r="F18" s="288"/>
      <c r="G18" s="288"/>
      <c r="H18" s="639" t="str">
        <f>IF(C18="","",IF(F18&lt;0,-C18+(D18*(E18+0.02)),C18+(D18*(E18+0.02))))</f>
        <v/>
      </c>
      <c r="I18" s="639" t="str">
        <f>IF(C18="","",IF(F18&gt;0,F18*H18,F18*-H18))</f>
        <v/>
      </c>
      <c r="J18" s="639" t="str">
        <f>IF(C18="","",IF(F18&lt;0,-C18*E18,C18*E18))</f>
        <v/>
      </c>
      <c r="K18" s="639" t="str">
        <f>IF(C18="","",IF(F18&gt;0,J18*F18,-J18*F18))</f>
        <v/>
      </c>
      <c r="L18" s="259"/>
      <c r="M18" s="154"/>
      <c r="N18" s="155"/>
      <c r="P18" s="207"/>
      <c r="Q18" s="207"/>
      <c r="R18" s="12"/>
    </row>
    <row r="19" spans="1:18" s="153" customFormat="1" ht="13.15" customHeight="1" x14ac:dyDescent="0.2">
      <c r="A19" s="291" t="s">
        <v>418</v>
      </c>
      <c r="B19" s="293"/>
      <c r="C19" s="225"/>
      <c r="D19" s="225"/>
      <c r="E19" s="225"/>
      <c r="F19" s="228"/>
      <c r="G19" s="225">
        <v>1</v>
      </c>
      <c r="H19" s="221" t="str">
        <f>IF(C19="","",IF(F19&lt;0,-C19+(D19*(E19+0.02)),C19+(D19*(E19+0.02))))</f>
        <v/>
      </c>
      <c r="I19" s="221">
        <v>56.86</v>
      </c>
      <c r="J19" s="221"/>
      <c r="K19" s="222">
        <v>8.36</v>
      </c>
      <c r="L19" s="252" t="s">
        <v>475</v>
      </c>
      <c r="M19" s="229" t="s">
        <v>62</v>
      </c>
      <c r="N19" s="219"/>
      <c r="P19" s="207"/>
      <c r="Q19" s="207"/>
      <c r="R19" s="12"/>
    </row>
    <row r="20" spans="1:18" s="153" customFormat="1" ht="13.15" customHeight="1" x14ac:dyDescent="0.2">
      <c r="A20" s="291" t="s">
        <v>418</v>
      </c>
      <c r="B20" s="293"/>
      <c r="C20" s="225"/>
      <c r="D20" s="225"/>
      <c r="E20" s="225"/>
      <c r="F20" s="228"/>
      <c r="G20" s="225">
        <v>1</v>
      </c>
      <c r="H20" s="221" t="str">
        <f>IF(C20="","",IF(F20&lt;0,-C20+(D20*(E20+0.02)),C20+(D20*(E20+0.02))))</f>
        <v/>
      </c>
      <c r="I20" s="221">
        <v>39.619999999999997</v>
      </c>
      <c r="J20" s="221" t="str">
        <f>IF(C20="","",IF(F20&lt;0,-C20*E20,C20*E20))</f>
        <v/>
      </c>
      <c r="K20" s="222">
        <v>7.92</v>
      </c>
      <c r="L20" s="252" t="s">
        <v>475</v>
      </c>
      <c r="M20" s="229" t="s">
        <v>62</v>
      </c>
      <c r="N20" s="219"/>
      <c r="P20" s="207"/>
      <c r="Q20" s="207"/>
      <c r="R20" s="12"/>
    </row>
    <row r="21" spans="1:18" s="153" customFormat="1" ht="13.15" customHeight="1" thickBot="1" x14ac:dyDescent="0.25">
      <c r="A21" s="291" t="s">
        <v>418</v>
      </c>
      <c r="B21" s="293"/>
      <c r="C21" s="225"/>
      <c r="D21" s="225"/>
      <c r="E21" s="225"/>
      <c r="F21" s="228"/>
      <c r="G21" s="225">
        <v>1</v>
      </c>
      <c r="H21" s="221" t="str">
        <f>IF(C21="","",IF(F21&lt;0,-C21+(D21*(E21+0.02)),C21+(D21*(E21+0.02))))</f>
        <v/>
      </c>
      <c r="I21" s="221">
        <v>5.0999999999999996</v>
      </c>
      <c r="J21" s="221" t="str">
        <f>IF(C21="","",IF(F21&lt;0,-C21*E21,C21*E21))</f>
        <v/>
      </c>
      <c r="K21" s="222">
        <v>1.02</v>
      </c>
      <c r="L21" s="252" t="s">
        <v>475</v>
      </c>
      <c r="M21" s="229" t="s">
        <v>62</v>
      </c>
      <c r="N21" s="219"/>
      <c r="P21" s="207"/>
      <c r="Q21" s="207"/>
      <c r="R21" s="12"/>
    </row>
    <row r="22" spans="1:18" s="153" customFormat="1" ht="13.15" customHeight="1" thickTop="1" thickBot="1" x14ac:dyDescent="0.25">
      <c r="A22" s="231"/>
      <c r="B22" s="232"/>
      <c r="C22" s="139"/>
      <c r="D22" s="139"/>
      <c r="E22" s="139"/>
      <c r="F22" s="139"/>
      <c r="G22" s="139"/>
      <c r="H22" s="139"/>
      <c r="I22" s="139">
        <f>SUM(I6:I21)</f>
        <v>2472.3199999999997</v>
      </c>
      <c r="J22" s="139"/>
      <c r="K22" s="139">
        <f>SUM(K6:K21)</f>
        <v>932.49999999999989</v>
      </c>
      <c r="L22" s="208"/>
      <c r="M22" s="139"/>
      <c r="N22" s="209"/>
      <c r="P22" s="207"/>
      <c r="Q22" s="207"/>
      <c r="R22" s="12"/>
    </row>
    <row r="23" spans="1:18" s="153" customFormat="1" ht="13.15" customHeight="1" thickTop="1" x14ac:dyDescent="0.2">
      <c r="A23" s="161"/>
      <c r="B23" s="212"/>
      <c r="C23" s="161"/>
      <c r="D23" s="161"/>
      <c r="E23" s="161"/>
      <c r="F23" s="161"/>
      <c r="G23" s="161"/>
      <c r="H23" s="161"/>
      <c r="I23" s="210"/>
      <c r="J23" s="210"/>
      <c r="K23" s="210"/>
      <c r="L23" s="211"/>
      <c r="M23" s="210"/>
      <c r="N23" s="210"/>
      <c r="P23" s="207"/>
      <c r="Q23" s="207"/>
      <c r="R23" s="12"/>
    </row>
    <row r="24" spans="1:18" s="153" customFormat="1" ht="13.15" customHeight="1" x14ac:dyDescent="0.2">
      <c r="A24" s="12"/>
      <c r="B24" s="25"/>
      <c r="C24" s="12"/>
      <c r="D24" s="39"/>
      <c r="E24" s="39"/>
      <c r="F24" s="17"/>
      <c r="G24" s="17"/>
      <c r="H24" s="17"/>
      <c r="I24" s="81"/>
      <c r="J24" s="81"/>
      <c r="K24" s="81"/>
      <c r="L24" s="152"/>
      <c r="M24" s="81"/>
      <c r="N24" s="81"/>
      <c r="P24" s="207"/>
      <c r="Q24" s="207"/>
      <c r="R24" s="12"/>
    </row>
    <row r="25" spans="1:18" s="153" customFormat="1" ht="13.15" customHeight="1" x14ac:dyDescent="0.2">
      <c r="A25" s="1349" t="s">
        <v>1220</v>
      </c>
      <c r="B25" s="1350" t="s">
        <v>1222</v>
      </c>
      <c r="C25" s="1350"/>
      <c r="D25" s="1350"/>
      <c r="E25" s="864"/>
      <c r="F25" s="864"/>
      <c r="G25" s="864"/>
      <c r="H25" s="864"/>
      <c r="I25" s="864"/>
      <c r="J25" s="864"/>
      <c r="K25" s="864"/>
      <c r="L25" s="864"/>
      <c r="M25" s="864"/>
      <c r="N25" s="207"/>
      <c r="O25" s="207"/>
      <c r="P25" s="12"/>
    </row>
    <row r="26" spans="1:18" s="153" customFormat="1" ht="22.5" x14ac:dyDescent="0.2">
      <c r="A26" s="1349" t="s">
        <v>1217</v>
      </c>
      <c r="B26" s="800" t="s">
        <v>1218</v>
      </c>
      <c r="C26" s="800" t="s">
        <v>1219</v>
      </c>
      <c r="D26" s="800" t="s">
        <v>10</v>
      </c>
      <c r="E26" s="864"/>
      <c r="F26" s="864"/>
      <c r="G26" s="864"/>
      <c r="H26" s="864"/>
      <c r="I26" s="864"/>
      <c r="J26" s="864"/>
      <c r="K26" s="864"/>
      <c r="L26" s="864"/>
      <c r="M26" s="864"/>
      <c r="N26" s="207"/>
      <c r="O26" s="207"/>
      <c r="P26" s="12"/>
    </row>
    <row r="27" spans="1:18" s="153" customFormat="1" ht="13.15" customHeight="1" x14ac:dyDescent="0.2">
      <c r="A27" s="289" t="s">
        <v>228</v>
      </c>
      <c r="B27" s="799"/>
      <c r="C27" s="799"/>
      <c r="D27" s="289"/>
      <c r="F27" s="864"/>
      <c r="G27" s="864"/>
      <c r="H27" s="864" t="s">
        <v>1703</v>
      </c>
      <c r="I27" s="864" t="s">
        <v>1701</v>
      </c>
      <c r="J27" s="864" t="s">
        <v>1702</v>
      </c>
      <c r="K27" s="864"/>
      <c r="L27" s="864"/>
      <c r="M27" s="864"/>
      <c r="N27" s="207"/>
      <c r="O27" s="207"/>
      <c r="P27" s="12"/>
    </row>
    <row r="28" spans="1:18" s="153" customFormat="1" ht="13.15" customHeight="1" x14ac:dyDescent="0.2">
      <c r="A28" s="289" t="s">
        <v>401</v>
      </c>
      <c r="B28" s="225">
        <v>483</v>
      </c>
      <c r="C28" s="225">
        <v>83</v>
      </c>
      <c r="D28" s="289" t="s">
        <v>1221</v>
      </c>
      <c r="E28" s="864"/>
      <c r="G28" s="963" t="s">
        <v>1942</v>
      </c>
      <c r="H28" s="864">
        <f>SUM(B28)*2</f>
        <v>966</v>
      </c>
      <c r="I28" s="965">
        <f>H28*0.45</f>
        <v>434.7</v>
      </c>
      <c r="J28" s="965">
        <f>I28*30</f>
        <v>13041</v>
      </c>
      <c r="K28" s="864"/>
      <c r="L28" s="864"/>
      <c r="M28" s="864"/>
      <c r="N28" s="207"/>
      <c r="O28" s="207"/>
      <c r="P28" s="12"/>
    </row>
    <row r="29" spans="1:18" s="153" customFormat="1" ht="13.15" customHeight="1" x14ac:dyDescent="0.2">
      <c r="A29" s="289" t="s">
        <v>402</v>
      </c>
      <c r="B29" s="225">
        <v>483</v>
      </c>
      <c r="C29" s="225">
        <v>83</v>
      </c>
      <c r="D29" s="289" t="s">
        <v>1221</v>
      </c>
      <c r="E29" s="864"/>
      <c r="G29" s="964" t="s">
        <v>1943</v>
      </c>
      <c r="H29" s="864">
        <f>SUM(B32)/20*3</f>
        <v>666</v>
      </c>
      <c r="I29" s="965">
        <f>H29*0.45</f>
        <v>299.7</v>
      </c>
      <c r="J29" s="965">
        <f>I29*30</f>
        <v>8991</v>
      </c>
      <c r="K29" s="864"/>
      <c r="L29" s="864"/>
      <c r="M29" s="864"/>
      <c r="N29" s="207"/>
      <c r="O29" s="207"/>
      <c r="P29" s="12"/>
    </row>
    <row r="30" spans="1:18" s="153" customFormat="1" ht="13.15" customHeight="1" x14ac:dyDescent="0.2">
      <c r="A30" s="289" t="s">
        <v>403</v>
      </c>
      <c r="B30" s="225">
        <v>483</v>
      </c>
      <c r="C30" s="225">
        <v>83</v>
      </c>
      <c r="D30" s="289" t="s">
        <v>1221</v>
      </c>
      <c r="E30" s="864"/>
      <c r="F30" s="864"/>
      <c r="G30" s="864"/>
      <c r="H30" s="864"/>
      <c r="I30" s="864"/>
      <c r="J30" s="864"/>
      <c r="K30" s="864"/>
      <c r="L30" s="864"/>
      <c r="M30" s="864"/>
      <c r="N30" s="207"/>
      <c r="O30" s="207"/>
      <c r="P30" s="12"/>
    </row>
    <row r="31" spans="1:18" s="153" customFormat="1" ht="13.15" customHeight="1" x14ac:dyDescent="0.2">
      <c r="A31" s="289" t="s">
        <v>229</v>
      </c>
      <c r="B31" s="225">
        <v>161</v>
      </c>
      <c r="C31" s="225">
        <v>23</v>
      </c>
      <c r="D31" s="289" t="s">
        <v>1221</v>
      </c>
      <c r="E31" s="864"/>
      <c r="F31" s="864"/>
      <c r="G31" s="864"/>
      <c r="H31" s="864"/>
      <c r="I31" s="864"/>
      <c r="J31" s="864"/>
      <c r="K31" s="864"/>
      <c r="L31" s="864"/>
      <c r="M31" s="864"/>
      <c r="N31" s="207"/>
      <c r="O31" s="207"/>
      <c r="P31" s="12"/>
    </row>
    <row r="32" spans="1:18" s="153" customFormat="1" ht="13.15" customHeight="1" x14ac:dyDescent="0.2">
      <c r="A32" s="289" t="s">
        <v>405</v>
      </c>
      <c r="B32" s="225">
        <f>20*222</f>
        <v>4440</v>
      </c>
      <c r="C32" s="225">
        <f>20*40</f>
        <v>800</v>
      </c>
      <c r="D32" s="289" t="s">
        <v>1221</v>
      </c>
      <c r="E32" s="864"/>
      <c r="F32" s="864"/>
      <c r="G32" s="864"/>
      <c r="H32" s="864"/>
      <c r="I32" s="864"/>
      <c r="J32" s="864"/>
      <c r="K32" s="864"/>
      <c r="L32" s="864"/>
      <c r="M32" s="864"/>
      <c r="N32" s="207"/>
      <c r="O32" s="207"/>
      <c r="P32" s="12"/>
    </row>
    <row r="33" spans="1:18" s="153" customFormat="1" ht="13.15" customHeight="1" x14ac:dyDescent="0.2">
      <c r="A33" s="289" t="s">
        <v>84</v>
      </c>
      <c r="B33" s="225">
        <v>222</v>
      </c>
      <c r="C33" s="225">
        <v>40</v>
      </c>
      <c r="D33" s="289" t="s">
        <v>1221</v>
      </c>
      <c r="E33" s="864"/>
      <c r="F33" s="864"/>
      <c r="G33" s="864"/>
      <c r="H33" s="864"/>
      <c r="I33" s="864"/>
      <c r="J33" s="864"/>
      <c r="K33" s="864"/>
      <c r="L33" s="864"/>
      <c r="M33" s="864"/>
      <c r="N33" s="207"/>
      <c r="O33" s="207"/>
      <c r="P33" s="12"/>
    </row>
    <row r="34" spans="1:18" s="227" customFormat="1" ht="13.15" customHeight="1" x14ac:dyDescent="0.2">
      <c r="A34" s="289" t="s">
        <v>897</v>
      </c>
      <c r="B34" s="225"/>
      <c r="C34" s="225"/>
      <c r="D34" s="289"/>
      <c r="E34" s="864"/>
      <c r="F34" s="864"/>
      <c r="G34" s="864"/>
      <c r="H34" s="864"/>
      <c r="I34" s="864"/>
      <c r="J34" s="864"/>
      <c r="K34" s="864"/>
      <c r="L34" s="864"/>
      <c r="M34" s="864"/>
      <c r="N34" s="207"/>
      <c r="O34" s="207"/>
      <c r="P34" s="12"/>
    </row>
    <row r="35" spans="1:18" s="227" customFormat="1" ht="13.15" customHeight="1" x14ac:dyDescent="0.2">
      <c r="A35" s="12"/>
      <c r="B35" s="12"/>
      <c r="C35" s="12"/>
      <c r="D35" s="12"/>
      <c r="E35" s="864"/>
      <c r="F35" s="864"/>
      <c r="G35" s="864"/>
      <c r="H35" s="864"/>
      <c r="I35" s="864"/>
      <c r="J35" s="864"/>
      <c r="K35" s="864"/>
      <c r="L35" s="864"/>
      <c r="M35" s="864"/>
      <c r="N35" s="19"/>
      <c r="P35" s="207"/>
      <c r="Q35" s="207"/>
      <c r="R35" s="12"/>
    </row>
    <row r="36" spans="1:18" s="227" customFormat="1" x14ac:dyDescent="0.2">
      <c r="A36" s="12"/>
      <c r="B36" s="12"/>
      <c r="C36" s="864">
        <f>SUM(B28:C31)*2</f>
        <v>3764</v>
      </c>
      <c r="D36" s="864">
        <f>C36*0.45*30</f>
        <v>50814</v>
      </c>
      <c r="E36" s="12" t="s">
        <v>1442</v>
      </c>
      <c r="F36" s="12"/>
      <c r="G36" s="12"/>
      <c r="H36" s="12"/>
      <c r="I36" s="12"/>
      <c r="J36" s="12"/>
      <c r="K36" s="12"/>
      <c r="L36" s="25"/>
      <c r="M36" s="12"/>
      <c r="N36" s="19"/>
      <c r="P36" s="207"/>
      <c r="Q36" s="207"/>
      <c r="R36" s="12"/>
    </row>
    <row r="37" spans="1:18" s="153" customFormat="1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25"/>
      <c r="M37" s="12"/>
      <c r="N37" s="19"/>
      <c r="P37" s="207"/>
      <c r="Q37" s="207"/>
      <c r="R37" s="12"/>
    </row>
    <row r="38" spans="1:18" s="153" customFormat="1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25"/>
      <c r="M38" s="12"/>
      <c r="N38" s="19"/>
      <c r="P38" s="207"/>
      <c r="Q38" s="207"/>
      <c r="R38" s="12"/>
    </row>
    <row r="39" spans="1:18" s="153" customFormat="1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25"/>
      <c r="M39" s="12"/>
      <c r="N39" s="19"/>
      <c r="O39" s="165"/>
      <c r="P39" s="207"/>
      <c r="Q39" s="207"/>
      <c r="R39" s="12"/>
    </row>
    <row r="40" spans="1:18" s="153" customFormat="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25"/>
      <c r="M40" s="12"/>
      <c r="N40" s="19"/>
      <c r="P40" s="207"/>
      <c r="Q40" s="207"/>
      <c r="R40" s="12"/>
    </row>
    <row r="41" spans="1:18" s="153" customFormat="1" x14ac:dyDescent="0.2">
      <c r="A41" s="12"/>
      <c r="B41" s="25"/>
      <c r="C41" s="12"/>
      <c r="D41" s="12"/>
      <c r="E41" s="12"/>
      <c r="F41" s="12"/>
      <c r="G41" s="12"/>
      <c r="H41" s="12"/>
      <c r="I41" s="12"/>
      <c r="J41" s="12"/>
      <c r="K41" s="12"/>
      <c r="L41" s="25"/>
      <c r="M41" s="12"/>
      <c r="N41" s="12"/>
      <c r="O41" s="207"/>
      <c r="P41" s="207"/>
      <c r="R41" s="12"/>
    </row>
    <row r="43" spans="1:18" x14ac:dyDescent="0.2">
      <c r="O43" s="81"/>
      <c r="P43" s="12"/>
    </row>
    <row r="49" spans="16:17" x14ac:dyDescent="0.2">
      <c r="P49" s="12"/>
      <c r="Q49" s="12"/>
    </row>
    <row r="50" spans="16:17" x14ac:dyDescent="0.2">
      <c r="P50" s="12"/>
      <c r="Q50" s="12"/>
    </row>
    <row r="51" spans="16:17" x14ac:dyDescent="0.2">
      <c r="P51" s="12"/>
      <c r="Q51" s="12"/>
    </row>
    <row r="52" spans="16:17" x14ac:dyDescent="0.2">
      <c r="P52" s="12"/>
      <c r="Q52" s="12"/>
    </row>
    <row r="53" spans="16:17" x14ac:dyDescent="0.2">
      <c r="P53" s="12"/>
      <c r="Q53" s="12"/>
    </row>
    <row r="54" spans="16:17" x14ac:dyDescent="0.2">
      <c r="P54" s="12"/>
      <c r="Q54" s="12"/>
    </row>
    <row r="55" spans="16:17" x14ac:dyDescent="0.2">
      <c r="P55" s="12"/>
      <c r="Q55" s="12"/>
    </row>
    <row r="56" spans="16:17" x14ac:dyDescent="0.2">
      <c r="P56" s="12"/>
      <c r="Q56" s="12"/>
    </row>
    <row r="57" spans="16:17" x14ac:dyDescent="0.2">
      <c r="P57" s="12"/>
      <c r="Q57" s="12"/>
    </row>
    <row r="58" spans="16:17" x14ac:dyDescent="0.2">
      <c r="P58" s="12"/>
      <c r="Q58" s="12"/>
    </row>
    <row r="59" spans="16:17" x14ac:dyDescent="0.2">
      <c r="P59" s="12"/>
      <c r="Q59" s="12"/>
    </row>
    <row r="60" spans="16:17" x14ac:dyDescent="0.2">
      <c r="P60" s="12"/>
      <c r="Q60" s="12"/>
    </row>
    <row r="61" spans="16:17" x14ac:dyDescent="0.2">
      <c r="P61" s="12"/>
      <c r="Q61" s="12"/>
    </row>
  </sheetData>
  <mergeCells count="10">
    <mergeCell ref="J4:L4"/>
    <mergeCell ref="S4:T4"/>
    <mergeCell ref="P4:Q4"/>
    <mergeCell ref="N4:N5"/>
    <mergeCell ref="C4:F4"/>
    <mergeCell ref="A4:A5"/>
    <mergeCell ref="B4:B5"/>
    <mergeCell ref="G4:I4"/>
    <mergeCell ref="A25:A26"/>
    <mergeCell ref="B25:D25"/>
  </mergeCells>
  <dataValidations disablePrompts="1" count="1">
    <dataValidation type="list" allowBlank="1" showInputMessage="1" showErrorMessage="1" sqref="L6:L21" xr:uid="{00000000-0002-0000-1600-000000000000}">
      <formula1>$Q$7:$Q$13</formula1>
    </dataValidation>
  </dataValidations>
  <printOptions horizontalCentered="1"/>
  <pageMargins left="0.39370078740157483" right="0" top="0.39370078740157483" bottom="0.39370078740157483" header="0.51181102362204722" footer="0.19685039370078741"/>
  <pageSetup paperSize="9" scale="46" orientation="portrait" r:id="rId1"/>
  <headerFooter alignWithMargins="0">
    <oddFooter>&amp;L&amp;8&amp;F - &amp;A&amp;R&amp;8&amp;P / &amp;N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1"/>
    <pageSetUpPr fitToPage="1"/>
  </sheetPr>
  <dimension ref="A1:T46"/>
  <sheetViews>
    <sheetView showGridLines="0" view="pageBreakPreview" zoomScaleNormal="100" zoomScaleSheetLayoutView="100" workbookViewId="0">
      <pane ySplit="5" topLeftCell="A6" activePane="bottomLeft" state="frozen"/>
      <selection activeCell="M8" sqref="M8:M9"/>
      <selection pane="bottomLeft" activeCell="E14" sqref="E14"/>
    </sheetView>
  </sheetViews>
  <sheetFormatPr defaultRowHeight="12.75" x14ac:dyDescent="0.2"/>
  <cols>
    <col min="1" max="1" width="23.140625" style="12" customWidth="1"/>
    <col min="2" max="2" width="7.85546875" style="25" customWidth="1"/>
    <col min="3" max="3" width="8.5703125" style="12" customWidth="1"/>
    <col min="4" max="4" width="9.7109375" style="12" customWidth="1"/>
    <col min="5" max="8" width="7.42578125" style="12" customWidth="1"/>
    <col min="9" max="9" width="9.140625" style="12" customWidth="1"/>
    <col min="10" max="11" width="7.42578125" style="12" customWidth="1"/>
    <col min="12" max="12" width="17.85546875" style="25" bestFit="1" customWidth="1"/>
    <col min="13" max="13" width="15.140625" style="12" bestFit="1" customWidth="1"/>
    <col min="14" max="14" width="17.28515625" style="12" customWidth="1"/>
    <col min="15" max="15" width="3.140625" style="12" customWidth="1"/>
    <col min="16" max="16" width="9.7109375" style="19" customWidth="1"/>
    <col min="17" max="17" width="16.85546875" style="19" bestFit="1" customWidth="1"/>
    <col min="18" max="18" width="3.28515625" style="12" customWidth="1"/>
    <col min="19" max="19" width="9.140625" style="12"/>
    <col min="20" max="20" width="16.85546875" style="12" bestFit="1" customWidth="1"/>
    <col min="21" max="252" width="9.140625" style="12"/>
    <col min="253" max="253" width="18.140625" style="12" customWidth="1"/>
    <col min="254" max="254" width="15.85546875" style="12" customWidth="1"/>
    <col min="255" max="256" width="6.7109375" style="12" customWidth="1"/>
    <col min="257" max="257" width="5.7109375" style="12" customWidth="1"/>
    <col min="258" max="258" width="7" style="12" customWidth="1"/>
    <col min="259" max="259" width="5.7109375" style="12" customWidth="1"/>
    <col min="260" max="260" width="7.7109375" style="12" customWidth="1"/>
    <col min="261" max="261" width="8.7109375" style="12" customWidth="1"/>
    <col min="262" max="262" width="7.7109375" style="12" customWidth="1"/>
    <col min="263" max="263" width="8.7109375" style="12" customWidth="1"/>
    <col min="264" max="264" width="16.28515625" style="12" customWidth="1"/>
    <col min="265" max="265" width="7.7109375" style="12" customWidth="1"/>
    <col min="266" max="266" width="8" style="12" customWidth="1"/>
    <col min="267" max="267" width="7.7109375" style="12" customWidth="1"/>
    <col min="268" max="268" width="8.7109375" style="12" customWidth="1"/>
    <col min="269" max="508" width="9.140625" style="12"/>
    <col min="509" max="509" width="18.140625" style="12" customWidth="1"/>
    <col min="510" max="510" width="15.85546875" style="12" customWidth="1"/>
    <col min="511" max="512" width="6.7109375" style="12" customWidth="1"/>
    <col min="513" max="513" width="5.7109375" style="12" customWidth="1"/>
    <col min="514" max="514" width="7" style="12" customWidth="1"/>
    <col min="515" max="515" width="5.7109375" style="12" customWidth="1"/>
    <col min="516" max="516" width="7.7109375" style="12" customWidth="1"/>
    <col min="517" max="517" width="8.7109375" style="12" customWidth="1"/>
    <col min="518" max="518" width="7.7109375" style="12" customWidth="1"/>
    <col min="519" max="519" width="8.7109375" style="12" customWidth="1"/>
    <col min="520" max="520" width="16.28515625" style="12" customWidth="1"/>
    <col min="521" max="521" width="7.7109375" style="12" customWidth="1"/>
    <col min="522" max="522" width="8" style="12" customWidth="1"/>
    <col min="523" max="523" width="7.7109375" style="12" customWidth="1"/>
    <col min="524" max="524" width="8.7109375" style="12" customWidth="1"/>
    <col min="525" max="764" width="9.140625" style="12"/>
    <col min="765" max="765" width="18.140625" style="12" customWidth="1"/>
    <col min="766" max="766" width="15.85546875" style="12" customWidth="1"/>
    <col min="767" max="768" width="6.7109375" style="12" customWidth="1"/>
    <col min="769" max="769" width="5.7109375" style="12" customWidth="1"/>
    <col min="770" max="770" width="7" style="12" customWidth="1"/>
    <col min="771" max="771" width="5.7109375" style="12" customWidth="1"/>
    <col min="772" max="772" width="7.7109375" style="12" customWidth="1"/>
    <col min="773" max="773" width="8.7109375" style="12" customWidth="1"/>
    <col min="774" max="774" width="7.7109375" style="12" customWidth="1"/>
    <col min="775" max="775" width="8.7109375" style="12" customWidth="1"/>
    <col min="776" max="776" width="16.28515625" style="12" customWidth="1"/>
    <col min="777" max="777" width="7.7109375" style="12" customWidth="1"/>
    <col min="778" max="778" width="8" style="12" customWidth="1"/>
    <col min="779" max="779" width="7.7109375" style="12" customWidth="1"/>
    <col min="780" max="780" width="8.7109375" style="12" customWidth="1"/>
    <col min="781" max="1020" width="9.140625" style="12"/>
    <col min="1021" max="1021" width="18.140625" style="12" customWidth="1"/>
    <col min="1022" max="1022" width="15.85546875" style="12" customWidth="1"/>
    <col min="1023" max="1024" width="6.7109375" style="12" customWidth="1"/>
    <col min="1025" max="1025" width="5.7109375" style="12" customWidth="1"/>
    <col min="1026" max="1026" width="7" style="12" customWidth="1"/>
    <col min="1027" max="1027" width="5.7109375" style="12" customWidth="1"/>
    <col min="1028" max="1028" width="7.7109375" style="12" customWidth="1"/>
    <col min="1029" max="1029" width="8.7109375" style="12" customWidth="1"/>
    <col min="1030" max="1030" width="7.7109375" style="12" customWidth="1"/>
    <col min="1031" max="1031" width="8.7109375" style="12" customWidth="1"/>
    <col min="1032" max="1032" width="16.28515625" style="12" customWidth="1"/>
    <col min="1033" max="1033" width="7.7109375" style="12" customWidth="1"/>
    <col min="1034" max="1034" width="8" style="12" customWidth="1"/>
    <col min="1035" max="1035" width="7.7109375" style="12" customWidth="1"/>
    <col min="1036" max="1036" width="8.7109375" style="12" customWidth="1"/>
    <col min="1037" max="1276" width="9.140625" style="12"/>
    <col min="1277" max="1277" width="18.140625" style="12" customWidth="1"/>
    <col min="1278" max="1278" width="15.85546875" style="12" customWidth="1"/>
    <col min="1279" max="1280" width="6.7109375" style="12" customWidth="1"/>
    <col min="1281" max="1281" width="5.7109375" style="12" customWidth="1"/>
    <col min="1282" max="1282" width="7" style="12" customWidth="1"/>
    <col min="1283" max="1283" width="5.7109375" style="12" customWidth="1"/>
    <col min="1284" max="1284" width="7.7109375" style="12" customWidth="1"/>
    <col min="1285" max="1285" width="8.7109375" style="12" customWidth="1"/>
    <col min="1286" max="1286" width="7.7109375" style="12" customWidth="1"/>
    <col min="1287" max="1287" width="8.7109375" style="12" customWidth="1"/>
    <col min="1288" max="1288" width="16.28515625" style="12" customWidth="1"/>
    <col min="1289" max="1289" width="7.7109375" style="12" customWidth="1"/>
    <col min="1290" max="1290" width="8" style="12" customWidth="1"/>
    <col min="1291" max="1291" width="7.7109375" style="12" customWidth="1"/>
    <col min="1292" max="1292" width="8.7109375" style="12" customWidth="1"/>
    <col min="1293" max="1532" width="9.140625" style="12"/>
    <col min="1533" max="1533" width="18.140625" style="12" customWidth="1"/>
    <col min="1534" max="1534" width="15.85546875" style="12" customWidth="1"/>
    <col min="1535" max="1536" width="6.7109375" style="12" customWidth="1"/>
    <col min="1537" max="1537" width="5.7109375" style="12" customWidth="1"/>
    <col min="1538" max="1538" width="7" style="12" customWidth="1"/>
    <col min="1539" max="1539" width="5.7109375" style="12" customWidth="1"/>
    <col min="1540" max="1540" width="7.7109375" style="12" customWidth="1"/>
    <col min="1541" max="1541" width="8.7109375" style="12" customWidth="1"/>
    <col min="1542" max="1542" width="7.7109375" style="12" customWidth="1"/>
    <col min="1543" max="1543" width="8.7109375" style="12" customWidth="1"/>
    <col min="1544" max="1544" width="16.28515625" style="12" customWidth="1"/>
    <col min="1545" max="1545" width="7.7109375" style="12" customWidth="1"/>
    <col min="1546" max="1546" width="8" style="12" customWidth="1"/>
    <col min="1547" max="1547" width="7.7109375" style="12" customWidth="1"/>
    <col min="1548" max="1548" width="8.7109375" style="12" customWidth="1"/>
    <col min="1549" max="1788" width="9.140625" style="12"/>
    <col min="1789" max="1789" width="18.140625" style="12" customWidth="1"/>
    <col min="1790" max="1790" width="15.85546875" style="12" customWidth="1"/>
    <col min="1791" max="1792" width="6.7109375" style="12" customWidth="1"/>
    <col min="1793" max="1793" width="5.7109375" style="12" customWidth="1"/>
    <col min="1794" max="1794" width="7" style="12" customWidth="1"/>
    <col min="1795" max="1795" width="5.7109375" style="12" customWidth="1"/>
    <col min="1796" max="1796" width="7.7109375" style="12" customWidth="1"/>
    <col min="1797" max="1797" width="8.7109375" style="12" customWidth="1"/>
    <col min="1798" max="1798" width="7.7109375" style="12" customWidth="1"/>
    <col min="1799" max="1799" width="8.7109375" style="12" customWidth="1"/>
    <col min="1800" max="1800" width="16.28515625" style="12" customWidth="1"/>
    <col min="1801" max="1801" width="7.7109375" style="12" customWidth="1"/>
    <col min="1802" max="1802" width="8" style="12" customWidth="1"/>
    <col min="1803" max="1803" width="7.7109375" style="12" customWidth="1"/>
    <col min="1804" max="1804" width="8.7109375" style="12" customWidth="1"/>
    <col min="1805" max="2044" width="9.140625" style="12"/>
    <col min="2045" max="2045" width="18.140625" style="12" customWidth="1"/>
    <col min="2046" max="2046" width="15.85546875" style="12" customWidth="1"/>
    <col min="2047" max="2048" width="6.7109375" style="12" customWidth="1"/>
    <col min="2049" max="2049" width="5.7109375" style="12" customWidth="1"/>
    <col min="2050" max="2050" width="7" style="12" customWidth="1"/>
    <col min="2051" max="2051" width="5.7109375" style="12" customWidth="1"/>
    <col min="2052" max="2052" width="7.7109375" style="12" customWidth="1"/>
    <col min="2053" max="2053" width="8.7109375" style="12" customWidth="1"/>
    <col min="2054" max="2054" width="7.7109375" style="12" customWidth="1"/>
    <col min="2055" max="2055" width="8.7109375" style="12" customWidth="1"/>
    <col min="2056" max="2056" width="16.28515625" style="12" customWidth="1"/>
    <col min="2057" max="2057" width="7.7109375" style="12" customWidth="1"/>
    <col min="2058" max="2058" width="8" style="12" customWidth="1"/>
    <col min="2059" max="2059" width="7.7109375" style="12" customWidth="1"/>
    <col min="2060" max="2060" width="8.7109375" style="12" customWidth="1"/>
    <col min="2061" max="2300" width="9.140625" style="12"/>
    <col min="2301" max="2301" width="18.140625" style="12" customWidth="1"/>
    <col min="2302" max="2302" width="15.85546875" style="12" customWidth="1"/>
    <col min="2303" max="2304" width="6.7109375" style="12" customWidth="1"/>
    <col min="2305" max="2305" width="5.7109375" style="12" customWidth="1"/>
    <col min="2306" max="2306" width="7" style="12" customWidth="1"/>
    <col min="2307" max="2307" width="5.7109375" style="12" customWidth="1"/>
    <col min="2308" max="2308" width="7.7109375" style="12" customWidth="1"/>
    <col min="2309" max="2309" width="8.7109375" style="12" customWidth="1"/>
    <col min="2310" max="2310" width="7.7109375" style="12" customWidth="1"/>
    <col min="2311" max="2311" width="8.7109375" style="12" customWidth="1"/>
    <col min="2312" max="2312" width="16.28515625" style="12" customWidth="1"/>
    <col min="2313" max="2313" width="7.7109375" style="12" customWidth="1"/>
    <col min="2314" max="2314" width="8" style="12" customWidth="1"/>
    <col min="2315" max="2315" width="7.7109375" style="12" customWidth="1"/>
    <col min="2316" max="2316" width="8.7109375" style="12" customWidth="1"/>
    <col min="2317" max="2556" width="9.140625" style="12"/>
    <col min="2557" max="2557" width="18.140625" style="12" customWidth="1"/>
    <col min="2558" max="2558" width="15.85546875" style="12" customWidth="1"/>
    <col min="2559" max="2560" width="6.7109375" style="12" customWidth="1"/>
    <col min="2561" max="2561" width="5.7109375" style="12" customWidth="1"/>
    <col min="2562" max="2562" width="7" style="12" customWidth="1"/>
    <col min="2563" max="2563" width="5.7109375" style="12" customWidth="1"/>
    <col min="2564" max="2564" width="7.7109375" style="12" customWidth="1"/>
    <col min="2565" max="2565" width="8.7109375" style="12" customWidth="1"/>
    <col min="2566" max="2566" width="7.7109375" style="12" customWidth="1"/>
    <col min="2567" max="2567" width="8.7109375" style="12" customWidth="1"/>
    <col min="2568" max="2568" width="16.28515625" style="12" customWidth="1"/>
    <col min="2569" max="2569" width="7.7109375" style="12" customWidth="1"/>
    <col min="2570" max="2570" width="8" style="12" customWidth="1"/>
    <col min="2571" max="2571" width="7.7109375" style="12" customWidth="1"/>
    <col min="2572" max="2572" width="8.7109375" style="12" customWidth="1"/>
    <col min="2573" max="2812" width="9.140625" style="12"/>
    <col min="2813" max="2813" width="18.140625" style="12" customWidth="1"/>
    <col min="2814" max="2814" width="15.85546875" style="12" customWidth="1"/>
    <col min="2815" max="2816" width="6.7109375" style="12" customWidth="1"/>
    <col min="2817" max="2817" width="5.7109375" style="12" customWidth="1"/>
    <col min="2818" max="2818" width="7" style="12" customWidth="1"/>
    <col min="2819" max="2819" width="5.7109375" style="12" customWidth="1"/>
    <col min="2820" max="2820" width="7.7109375" style="12" customWidth="1"/>
    <col min="2821" max="2821" width="8.7109375" style="12" customWidth="1"/>
    <col min="2822" max="2822" width="7.7109375" style="12" customWidth="1"/>
    <col min="2823" max="2823" width="8.7109375" style="12" customWidth="1"/>
    <col min="2824" max="2824" width="16.28515625" style="12" customWidth="1"/>
    <col min="2825" max="2825" width="7.7109375" style="12" customWidth="1"/>
    <col min="2826" max="2826" width="8" style="12" customWidth="1"/>
    <col min="2827" max="2827" width="7.7109375" style="12" customWidth="1"/>
    <col min="2828" max="2828" width="8.7109375" style="12" customWidth="1"/>
    <col min="2829" max="3068" width="9.140625" style="12"/>
    <col min="3069" max="3069" width="18.140625" style="12" customWidth="1"/>
    <col min="3070" max="3070" width="15.85546875" style="12" customWidth="1"/>
    <col min="3071" max="3072" width="6.7109375" style="12" customWidth="1"/>
    <col min="3073" max="3073" width="5.7109375" style="12" customWidth="1"/>
    <col min="3074" max="3074" width="7" style="12" customWidth="1"/>
    <col min="3075" max="3075" width="5.7109375" style="12" customWidth="1"/>
    <col min="3076" max="3076" width="7.7109375" style="12" customWidth="1"/>
    <col min="3077" max="3077" width="8.7109375" style="12" customWidth="1"/>
    <col min="3078" max="3078" width="7.7109375" style="12" customWidth="1"/>
    <col min="3079" max="3079" width="8.7109375" style="12" customWidth="1"/>
    <col min="3080" max="3080" width="16.28515625" style="12" customWidth="1"/>
    <col min="3081" max="3081" width="7.7109375" style="12" customWidth="1"/>
    <col min="3082" max="3082" width="8" style="12" customWidth="1"/>
    <col min="3083" max="3083" width="7.7109375" style="12" customWidth="1"/>
    <col min="3084" max="3084" width="8.7109375" style="12" customWidth="1"/>
    <col min="3085" max="3324" width="9.140625" style="12"/>
    <col min="3325" max="3325" width="18.140625" style="12" customWidth="1"/>
    <col min="3326" max="3326" width="15.85546875" style="12" customWidth="1"/>
    <col min="3327" max="3328" width="6.7109375" style="12" customWidth="1"/>
    <col min="3329" max="3329" width="5.7109375" style="12" customWidth="1"/>
    <col min="3330" max="3330" width="7" style="12" customWidth="1"/>
    <col min="3331" max="3331" width="5.7109375" style="12" customWidth="1"/>
    <col min="3332" max="3332" width="7.7109375" style="12" customWidth="1"/>
    <col min="3333" max="3333" width="8.7109375" style="12" customWidth="1"/>
    <col min="3334" max="3334" width="7.7109375" style="12" customWidth="1"/>
    <col min="3335" max="3335" width="8.7109375" style="12" customWidth="1"/>
    <col min="3336" max="3336" width="16.28515625" style="12" customWidth="1"/>
    <col min="3337" max="3337" width="7.7109375" style="12" customWidth="1"/>
    <col min="3338" max="3338" width="8" style="12" customWidth="1"/>
    <col min="3339" max="3339" width="7.7109375" style="12" customWidth="1"/>
    <col min="3340" max="3340" width="8.7109375" style="12" customWidth="1"/>
    <col min="3341" max="3580" width="9.140625" style="12"/>
    <col min="3581" max="3581" width="18.140625" style="12" customWidth="1"/>
    <col min="3582" max="3582" width="15.85546875" style="12" customWidth="1"/>
    <col min="3583" max="3584" width="6.7109375" style="12" customWidth="1"/>
    <col min="3585" max="3585" width="5.7109375" style="12" customWidth="1"/>
    <col min="3586" max="3586" width="7" style="12" customWidth="1"/>
    <col min="3587" max="3587" width="5.7109375" style="12" customWidth="1"/>
    <col min="3588" max="3588" width="7.7109375" style="12" customWidth="1"/>
    <col min="3589" max="3589" width="8.7109375" style="12" customWidth="1"/>
    <col min="3590" max="3590" width="7.7109375" style="12" customWidth="1"/>
    <col min="3591" max="3591" width="8.7109375" style="12" customWidth="1"/>
    <col min="3592" max="3592" width="16.28515625" style="12" customWidth="1"/>
    <col min="3593" max="3593" width="7.7109375" style="12" customWidth="1"/>
    <col min="3594" max="3594" width="8" style="12" customWidth="1"/>
    <col min="3595" max="3595" width="7.7109375" style="12" customWidth="1"/>
    <col min="3596" max="3596" width="8.7109375" style="12" customWidth="1"/>
    <col min="3597" max="3836" width="9.140625" style="12"/>
    <col min="3837" max="3837" width="18.140625" style="12" customWidth="1"/>
    <col min="3838" max="3838" width="15.85546875" style="12" customWidth="1"/>
    <col min="3839" max="3840" width="6.7109375" style="12" customWidth="1"/>
    <col min="3841" max="3841" width="5.7109375" style="12" customWidth="1"/>
    <col min="3842" max="3842" width="7" style="12" customWidth="1"/>
    <col min="3843" max="3843" width="5.7109375" style="12" customWidth="1"/>
    <col min="3844" max="3844" width="7.7109375" style="12" customWidth="1"/>
    <col min="3845" max="3845" width="8.7109375" style="12" customWidth="1"/>
    <col min="3846" max="3846" width="7.7109375" style="12" customWidth="1"/>
    <col min="3847" max="3847" width="8.7109375" style="12" customWidth="1"/>
    <col min="3848" max="3848" width="16.28515625" style="12" customWidth="1"/>
    <col min="3849" max="3849" width="7.7109375" style="12" customWidth="1"/>
    <col min="3850" max="3850" width="8" style="12" customWidth="1"/>
    <col min="3851" max="3851" width="7.7109375" style="12" customWidth="1"/>
    <col min="3852" max="3852" width="8.7109375" style="12" customWidth="1"/>
    <col min="3853" max="4092" width="9.140625" style="12"/>
    <col min="4093" max="4093" width="18.140625" style="12" customWidth="1"/>
    <col min="4094" max="4094" width="15.85546875" style="12" customWidth="1"/>
    <col min="4095" max="4096" width="6.7109375" style="12" customWidth="1"/>
    <col min="4097" max="4097" width="5.7109375" style="12" customWidth="1"/>
    <col min="4098" max="4098" width="7" style="12" customWidth="1"/>
    <col min="4099" max="4099" width="5.7109375" style="12" customWidth="1"/>
    <col min="4100" max="4100" width="7.7109375" style="12" customWidth="1"/>
    <col min="4101" max="4101" width="8.7109375" style="12" customWidth="1"/>
    <col min="4102" max="4102" width="7.7109375" style="12" customWidth="1"/>
    <col min="4103" max="4103" width="8.7109375" style="12" customWidth="1"/>
    <col min="4104" max="4104" width="16.28515625" style="12" customWidth="1"/>
    <col min="4105" max="4105" width="7.7109375" style="12" customWidth="1"/>
    <col min="4106" max="4106" width="8" style="12" customWidth="1"/>
    <col min="4107" max="4107" width="7.7109375" style="12" customWidth="1"/>
    <col min="4108" max="4108" width="8.7109375" style="12" customWidth="1"/>
    <col min="4109" max="4348" width="9.140625" style="12"/>
    <col min="4349" max="4349" width="18.140625" style="12" customWidth="1"/>
    <col min="4350" max="4350" width="15.85546875" style="12" customWidth="1"/>
    <col min="4351" max="4352" width="6.7109375" style="12" customWidth="1"/>
    <col min="4353" max="4353" width="5.7109375" style="12" customWidth="1"/>
    <col min="4354" max="4354" width="7" style="12" customWidth="1"/>
    <col min="4355" max="4355" width="5.7109375" style="12" customWidth="1"/>
    <col min="4356" max="4356" width="7.7109375" style="12" customWidth="1"/>
    <col min="4357" max="4357" width="8.7109375" style="12" customWidth="1"/>
    <col min="4358" max="4358" width="7.7109375" style="12" customWidth="1"/>
    <col min="4359" max="4359" width="8.7109375" style="12" customWidth="1"/>
    <col min="4360" max="4360" width="16.28515625" style="12" customWidth="1"/>
    <col min="4361" max="4361" width="7.7109375" style="12" customWidth="1"/>
    <col min="4362" max="4362" width="8" style="12" customWidth="1"/>
    <col min="4363" max="4363" width="7.7109375" style="12" customWidth="1"/>
    <col min="4364" max="4364" width="8.7109375" style="12" customWidth="1"/>
    <col min="4365" max="4604" width="9.140625" style="12"/>
    <col min="4605" max="4605" width="18.140625" style="12" customWidth="1"/>
    <col min="4606" max="4606" width="15.85546875" style="12" customWidth="1"/>
    <col min="4607" max="4608" width="6.7109375" style="12" customWidth="1"/>
    <col min="4609" max="4609" width="5.7109375" style="12" customWidth="1"/>
    <col min="4610" max="4610" width="7" style="12" customWidth="1"/>
    <col min="4611" max="4611" width="5.7109375" style="12" customWidth="1"/>
    <col min="4612" max="4612" width="7.7109375" style="12" customWidth="1"/>
    <col min="4613" max="4613" width="8.7109375" style="12" customWidth="1"/>
    <col min="4614" max="4614" width="7.7109375" style="12" customWidth="1"/>
    <col min="4615" max="4615" width="8.7109375" style="12" customWidth="1"/>
    <col min="4616" max="4616" width="16.28515625" style="12" customWidth="1"/>
    <col min="4617" max="4617" width="7.7109375" style="12" customWidth="1"/>
    <col min="4618" max="4618" width="8" style="12" customWidth="1"/>
    <col min="4619" max="4619" width="7.7109375" style="12" customWidth="1"/>
    <col min="4620" max="4620" width="8.7109375" style="12" customWidth="1"/>
    <col min="4621" max="4860" width="9.140625" style="12"/>
    <col min="4861" max="4861" width="18.140625" style="12" customWidth="1"/>
    <col min="4862" max="4862" width="15.85546875" style="12" customWidth="1"/>
    <col min="4863" max="4864" width="6.7109375" style="12" customWidth="1"/>
    <col min="4865" max="4865" width="5.7109375" style="12" customWidth="1"/>
    <col min="4866" max="4866" width="7" style="12" customWidth="1"/>
    <col min="4867" max="4867" width="5.7109375" style="12" customWidth="1"/>
    <col min="4868" max="4868" width="7.7109375" style="12" customWidth="1"/>
    <col min="4869" max="4869" width="8.7109375" style="12" customWidth="1"/>
    <col min="4870" max="4870" width="7.7109375" style="12" customWidth="1"/>
    <col min="4871" max="4871" width="8.7109375" style="12" customWidth="1"/>
    <col min="4872" max="4872" width="16.28515625" style="12" customWidth="1"/>
    <col min="4873" max="4873" width="7.7109375" style="12" customWidth="1"/>
    <col min="4874" max="4874" width="8" style="12" customWidth="1"/>
    <col min="4875" max="4875" width="7.7109375" style="12" customWidth="1"/>
    <col min="4876" max="4876" width="8.7109375" style="12" customWidth="1"/>
    <col min="4877" max="5116" width="9.140625" style="12"/>
    <col min="5117" max="5117" width="18.140625" style="12" customWidth="1"/>
    <col min="5118" max="5118" width="15.85546875" style="12" customWidth="1"/>
    <col min="5119" max="5120" width="6.7109375" style="12" customWidth="1"/>
    <col min="5121" max="5121" width="5.7109375" style="12" customWidth="1"/>
    <col min="5122" max="5122" width="7" style="12" customWidth="1"/>
    <col min="5123" max="5123" width="5.7109375" style="12" customWidth="1"/>
    <col min="5124" max="5124" width="7.7109375" style="12" customWidth="1"/>
    <col min="5125" max="5125" width="8.7109375" style="12" customWidth="1"/>
    <col min="5126" max="5126" width="7.7109375" style="12" customWidth="1"/>
    <col min="5127" max="5127" width="8.7109375" style="12" customWidth="1"/>
    <col min="5128" max="5128" width="16.28515625" style="12" customWidth="1"/>
    <col min="5129" max="5129" width="7.7109375" style="12" customWidth="1"/>
    <col min="5130" max="5130" width="8" style="12" customWidth="1"/>
    <col min="5131" max="5131" width="7.7109375" style="12" customWidth="1"/>
    <col min="5132" max="5132" width="8.7109375" style="12" customWidth="1"/>
    <col min="5133" max="5372" width="9.140625" style="12"/>
    <col min="5373" max="5373" width="18.140625" style="12" customWidth="1"/>
    <col min="5374" max="5374" width="15.85546875" style="12" customWidth="1"/>
    <col min="5375" max="5376" width="6.7109375" style="12" customWidth="1"/>
    <col min="5377" max="5377" width="5.7109375" style="12" customWidth="1"/>
    <col min="5378" max="5378" width="7" style="12" customWidth="1"/>
    <col min="5379" max="5379" width="5.7109375" style="12" customWidth="1"/>
    <col min="5380" max="5380" width="7.7109375" style="12" customWidth="1"/>
    <col min="5381" max="5381" width="8.7109375" style="12" customWidth="1"/>
    <col min="5382" max="5382" width="7.7109375" style="12" customWidth="1"/>
    <col min="5383" max="5383" width="8.7109375" style="12" customWidth="1"/>
    <col min="5384" max="5384" width="16.28515625" style="12" customWidth="1"/>
    <col min="5385" max="5385" width="7.7109375" style="12" customWidth="1"/>
    <col min="5386" max="5386" width="8" style="12" customWidth="1"/>
    <col min="5387" max="5387" width="7.7109375" style="12" customWidth="1"/>
    <col min="5388" max="5388" width="8.7109375" style="12" customWidth="1"/>
    <col min="5389" max="5628" width="9.140625" style="12"/>
    <col min="5629" max="5629" width="18.140625" style="12" customWidth="1"/>
    <col min="5630" max="5630" width="15.85546875" style="12" customWidth="1"/>
    <col min="5631" max="5632" width="6.7109375" style="12" customWidth="1"/>
    <col min="5633" max="5633" width="5.7109375" style="12" customWidth="1"/>
    <col min="5634" max="5634" width="7" style="12" customWidth="1"/>
    <col min="5635" max="5635" width="5.7109375" style="12" customWidth="1"/>
    <col min="5636" max="5636" width="7.7109375" style="12" customWidth="1"/>
    <col min="5637" max="5637" width="8.7109375" style="12" customWidth="1"/>
    <col min="5638" max="5638" width="7.7109375" style="12" customWidth="1"/>
    <col min="5639" max="5639" width="8.7109375" style="12" customWidth="1"/>
    <col min="5640" max="5640" width="16.28515625" style="12" customWidth="1"/>
    <col min="5641" max="5641" width="7.7109375" style="12" customWidth="1"/>
    <col min="5642" max="5642" width="8" style="12" customWidth="1"/>
    <col min="5643" max="5643" width="7.7109375" style="12" customWidth="1"/>
    <col min="5644" max="5644" width="8.7109375" style="12" customWidth="1"/>
    <col min="5645" max="5884" width="9.140625" style="12"/>
    <col min="5885" max="5885" width="18.140625" style="12" customWidth="1"/>
    <col min="5886" max="5886" width="15.85546875" style="12" customWidth="1"/>
    <col min="5887" max="5888" width="6.7109375" style="12" customWidth="1"/>
    <col min="5889" max="5889" width="5.7109375" style="12" customWidth="1"/>
    <col min="5890" max="5890" width="7" style="12" customWidth="1"/>
    <col min="5891" max="5891" width="5.7109375" style="12" customWidth="1"/>
    <col min="5892" max="5892" width="7.7109375" style="12" customWidth="1"/>
    <col min="5893" max="5893" width="8.7109375" style="12" customWidth="1"/>
    <col min="5894" max="5894" width="7.7109375" style="12" customWidth="1"/>
    <col min="5895" max="5895" width="8.7109375" style="12" customWidth="1"/>
    <col min="5896" max="5896" width="16.28515625" style="12" customWidth="1"/>
    <col min="5897" max="5897" width="7.7109375" style="12" customWidth="1"/>
    <col min="5898" max="5898" width="8" style="12" customWidth="1"/>
    <col min="5899" max="5899" width="7.7109375" style="12" customWidth="1"/>
    <col min="5900" max="5900" width="8.7109375" style="12" customWidth="1"/>
    <col min="5901" max="6140" width="9.140625" style="12"/>
    <col min="6141" max="6141" width="18.140625" style="12" customWidth="1"/>
    <col min="6142" max="6142" width="15.85546875" style="12" customWidth="1"/>
    <col min="6143" max="6144" width="6.7109375" style="12" customWidth="1"/>
    <col min="6145" max="6145" width="5.7109375" style="12" customWidth="1"/>
    <col min="6146" max="6146" width="7" style="12" customWidth="1"/>
    <col min="6147" max="6147" width="5.7109375" style="12" customWidth="1"/>
    <col min="6148" max="6148" width="7.7109375" style="12" customWidth="1"/>
    <col min="6149" max="6149" width="8.7109375" style="12" customWidth="1"/>
    <col min="6150" max="6150" width="7.7109375" style="12" customWidth="1"/>
    <col min="6151" max="6151" width="8.7109375" style="12" customWidth="1"/>
    <col min="6152" max="6152" width="16.28515625" style="12" customWidth="1"/>
    <col min="6153" max="6153" width="7.7109375" style="12" customWidth="1"/>
    <col min="6154" max="6154" width="8" style="12" customWidth="1"/>
    <col min="6155" max="6155" width="7.7109375" style="12" customWidth="1"/>
    <col min="6156" max="6156" width="8.7109375" style="12" customWidth="1"/>
    <col min="6157" max="6396" width="9.140625" style="12"/>
    <col min="6397" max="6397" width="18.140625" style="12" customWidth="1"/>
    <col min="6398" max="6398" width="15.85546875" style="12" customWidth="1"/>
    <col min="6399" max="6400" width="6.7109375" style="12" customWidth="1"/>
    <col min="6401" max="6401" width="5.7109375" style="12" customWidth="1"/>
    <col min="6402" max="6402" width="7" style="12" customWidth="1"/>
    <col min="6403" max="6403" width="5.7109375" style="12" customWidth="1"/>
    <col min="6404" max="6404" width="7.7109375" style="12" customWidth="1"/>
    <col min="6405" max="6405" width="8.7109375" style="12" customWidth="1"/>
    <col min="6406" max="6406" width="7.7109375" style="12" customWidth="1"/>
    <col min="6407" max="6407" width="8.7109375" style="12" customWidth="1"/>
    <col min="6408" max="6408" width="16.28515625" style="12" customWidth="1"/>
    <col min="6409" max="6409" width="7.7109375" style="12" customWidth="1"/>
    <col min="6410" max="6410" width="8" style="12" customWidth="1"/>
    <col min="6411" max="6411" width="7.7109375" style="12" customWidth="1"/>
    <col min="6412" max="6412" width="8.7109375" style="12" customWidth="1"/>
    <col min="6413" max="6652" width="9.140625" style="12"/>
    <col min="6653" max="6653" width="18.140625" style="12" customWidth="1"/>
    <col min="6654" max="6654" width="15.85546875" style="12" customWidth="1"/>
    <col min="6655" max="6656" width="6.7109375" style="12" customWidth="1"/>
    <col min="6657" max="6657" width="5.7109375" style="12" customWidth="1"/>
    <col min="6658" max="6658" width="7" style="12" customWidth="1"/>
    <col min="6659" max="6659" width="5.7109375" style="12" customWidth="1"/>
    <col min="6660" max="6660" width="7.7109375" style="12" customWidth="1"/>
    <col min="6661" max="6661" width="8.7109375" style="12" customWidth="1"/>
    <col min="6662" max="6662" width="7.7109375" style="12" customWidth="1"/>
    <col min="6663" max="6663" width="8.7109375" style="12" customWidth="1"/>
    <col min="6664" max="6664" width="16.28515625" style="12" customWidth="1"/>
    <col min="6665" max="6665" width="7.7109375" style="12" customWidth="1"/>
    <col min="6666" max="6666" width="8" style="12" customWidth="1"/>
    <col min="6667" max="6667" width="7.7109375" style="12" customWidth="1"/>
    <col min="6668" max="6668" width="8.7109375" style="12" customWidth="1"/>
    <col min="6669" max="6908" width="9.140625" style="12"/>
    <col min="6909" max="6909" width="18.140625" style="12" customWidth="1"/>
    <col min="6910" max="6910" width="15.85546875" style="12" customWidth="1"/>
    <col min="6911" max="6912" width="6.7109375" style="12" customWidth="1"/>
    <col min="6913" max="6913" width="5.7109375" style="12" customWidth="1"/>
    <col min="6914" max="6914" width="7" style="12" customWidth="1"/>
    <col min="6915" max="6915" width="5.7109375" style="12" customWidth="1"/>
    <col min="6916" max="6916" width="7.7109375" style="12" customWidth="1"/>
    <col min="6917" max="6917" width="8.7109375" style="12" customWidth="1"/>
    <col min="6918" max="6918" width="7.7109375" style="12" customWidth="1"/>
    <col min="6919" max="6919" width="8.7109375" style="12" customWidth="1"/>
    <col min="6920" max="6920" width="16.28515625" style="12" customWidth="1"/>
    <col min="6921" max="6921" width="7.7109375" style="12" customWidth="1"/>
    <col min="6922" max="6922" width="8" style="12" customWidth="1"/>
    <col min="6923" max="6923" width="7.7109375" style="12" customWidth="1"/>
    <col min="6924" max="6924" width="8.7109375" style="12" customWidth="1"/>
    <col min="6925" max="7164" width="9.140625" style="12"/>
    <col min="7165" max="7165" width="18.140625" style="12" customWidth="1"/>
    <col min="7166" max="7166" width="15.85546875" style="12" customWidth="1"/>
    <col min="7167" max="7168" width="6.7109375" style="12" customWidth="1"/>
    <col min="7169" max="7169" width="5.7109375" style="12" customWidth="1"/>
    <col min="7170" max="7170" width="7" style="12" customWidth="1"/>
    <col min="7171" max="7171" width="5.7109375" style="12" customWidth="1"/>
    <col min="7172" max="7172" width="7.7109375" style="12" customWidth="1"/>
    <col min="7173" max="7173" width="8.7109375" style="12" customWidth="1"/>
    <col min="7174" max="7174" width="7.7109375" style="12" customWidth="1"/>
    <col min="7175" max="7175" width="8.7109375" style="12" customWidth="1"/>
    <col min="7176" max="7176" width="16.28515625" style="12" customWidth="1"/>
    <col min="7177" max="7177" width="7.7109375" style="12" customWidth="1"/>
    <col min="7178" max="7178" width="8" style="12" customWidth="1"/>
    <col min="7179" max="7179" width="7.7109375" style="12" customWidth="1"/>
    <col min="7180" max="7180" width="8.7109375" style="12" customWidth="1"/>
    <col min="7181" max="7420" width="9.140625" style="12"/>
    <col min="7421" max="7421" width="18.140625" style="12" customWidth="1"/>
    <col min="7422" max="7422" width="15.85546875" style="12" customWidth="1"/>
    <col min="7423" max="7424" width="6.7109375" style="12" customWidth="1"/>
    <col min="7425" max="7425" width="5.7109375" style="12" customWidth="1"/>
    <col min="7426" max="7426" width="7" style="12" customWidth="1"/>
    <col min="7427" max="7427" width="5.7109375" style="12" customWidth="1"/>
    <col min="7428" max="7428" width="7.7109375" style="12" customWidth="1"/>
    <col min="7429" max="7429" width="8.7109375" style="12" customWidth="1"/>
    <col min="7430" max="7430" width="7.7109375" style="12" customWidth="1"/>
    <col min="7431" max="7431" width="8.7109375" style="12" customWidth="1"/>
    <col min="7432" max="7432" width="16.28515625" style="12" customWidth="1"/>
    <col min="7433" max="7433" width="7.7109375" style="12" customWidth="1"/>
    <col min="7434" max="7434" width="8" style="12" customWidth="1"/>
    <col min="7435" max="7435" width="7.7109375" style="12" customWidth="1"/>
    <col min="7436" max="7436" width="8.7109375" style="12" customWidth="1"/>
    <col min="7437" max="7676" width="9.140625" style="12"/>
    <col min="7677" max="7677" width="18.140625" style="12" customWidth="1"/>
    <col min="7678" max="7678" width="15.85546875" style="12" customWidth="1"/>
    <col min="7679" max="7680" width="6.7109375" style="12" customWidth="1"/>
    <col min="7681" max="7681" width="5.7109375" style="12" customWidth="1"/>
    <col min="7682" max="7682" width="7" style="12" customWidth="1"/>
    <col min="7683" max="7683" width="5.7109375" style="12" customWidth="1"/>
    <col min="7684" max="7684" width="7.7109375" style="12" customWidth="1"/>
    <col min="7685" max="7685" width="8.7109375" style="12" customWidth="1"/>
    <col min="7686" max="7686" width="7.7109375" style="12" customWidth="1"/>
    <col min="7687" max="7687" width="8.7109375" style="12" customWidth="1"/>
    <col min="7688" max="7688" width="16.28515625" style="12" customWidth="1"/>
    <col min="7689" max="7689" width="7.7109375" style="12" customWidth="1"/>
    <col min="7690" max="7690" width="8" style="12" customWidth="1"/>
    <col min="7691" max="7691" width="7.7109375" style="12" customWidth="1"/>
    <col min="7692" max="7692" width="8.7109375" style="12" customWidth="1"/>
    <col min="7693" max="7932" width="9.140625" style="12"/>
    <col min="7933" max="7933" width="18.140625" style="12" customWidth="1"/>
    <col min="7934" max="7934" width="15.85546875" style="12" customWidth="1"/>
    <col min="7935" max="7936" width="6.7109375" style="12" customWidth="1"/>
    <col min="7937" max="7937" width="5.7109375" style="12" customWidth="1"/>
    <col min="7938" max="7938" width="7" style="12" customWidth="1"/>
    <col min="7939" max="7939" width="5.7109375" style="12" customWidth="1"/>
    <col min="7940" max="7940" width="7.7109375" style="12" customWidth="1"/>
    <col min="7941" max="7941" width="8.7109375" style="12" customWidth="1"/>
    <col min="7942" max="7942" width="7.7109375" style="12" customWidth="1"/>
    <col min="7943" max="7943" width="8.7109375" style="12" customWidth="1"/>
    <col min="7944" max="7944" width="16.28515625" style="12" customWidth="1"/>
    <col min="7945" max="7945" width="7.7109375" style="12" customWidth="1"/>
    <col min="7946" max="7946" width="8" style="12" customWidth="1"/>
    <col min="7947" max="7947" width="7.7109375" style="12" customWidth="1"/>
    <col min="7948" max="7948" width="8.7109375" style="12" customWidth="1"/>
    <col min="7949" max="8188" width="9.140625" style="12"/>
    <col min="8189" max="8189" width="18.140625" style="12" customWidth="1"/>
    <col min="8190" max="8190" width="15.85546875" style="12" customWidth="1"/>
    <col min="8191" max="8192" width="6.7109375" style="12" customWidth="1"/>
    <col min="8193" max="8193" width="5.7109375" style="12" customWidth="1"/>
    <col min="8194" max="8194" width="7" style="12" customWidth="1"/>
    <col min="8195" max="8195" width="5.7109375" style="12" customWidth="1"/>
    <col min="8196" max="8196" width="7.7109375" style="12" customWidth="1"/>
    <col min="8197" max="8197" width="8.7109375" style="12" customWidth="1"/>
    <col min="8198" max="8198" width="7.7109375" style="12" customWidth="1"/>
    <col min="8199" max="8199" width="8.7109375" style="12" customWidth="1"/>
    <col min="8200" max="8200" width="16.28515625" style="12" customWidth="1"/>
    <col min="8201" max="8201" width="7.7109375" style="12" customWidth="1"/>
    <col min="8202" max="8202" width="8" style="12" customWidth="1"/>
    <col min="8203" max="8203" width="7.7109375" style="12" customWidth="1"/>
    <col min="8204" max="8204" width="8.7109375" style="12" customWidth="1"/>
    <col min="8205" max="8444" width="9.140625" style="12"/>
    <col min="8445" max="8445" width="18.140625" style="12" customWidth="1"/>
    <col min="8446" max="8446" width="15.85546875" style="12" customWidth="1"/>
    <col min="8447" max="8448" width="6.7109375" style="12" customWidth="1"/>
    <col min="8449" max="8449" width="5.7109375" style="12" customWidth="1"/>
    <col min="8450" max="8450" width="7" style="12" customWidth="1"/>
    <col min="8451" max="8451" width="5.7109375" style="12" customWidth="1"/>
    <col min="8452" max="8452" width="7.7109375" style="12" customWidth="1"/>
    <col min="8453" max="8453" width="8.7109375" style="12" customWidth="1"/>
    <col min="8454" max="8454" width="7.7109375" style="12" customWidth="1"/>
    <col min="8455" max="8455" width="8.7109375" style="12" customWidth="1"/>
    <col min="8456" max="8456" width="16.28515625" style="12" customWidth="1"/>
    <col min="8457" max="8457" width="7.7109375" style="12" customWidth="1"/>
    <col min="8458" max="8458" width="8" style="12" customWidth="1"/>
    <col min="8459" max="8459" width="7.7109375" style="12" customWidth="1"/>
    <col min="8460" max="8460" width="8.7109375" style="12" customWidth="1"/>
    <col min="8461" max="8700" width="9.140625" style="12"/>
    <col min="8701" max="8701" width="18.140625" style="12" customWidth="1"/>
    <col min="8702" max="8702" width="15.85546875" style="12" customWidth="1"/>
    <col min="8703" max="8704" width="6.7109375" style="12" customWidth="1"/>
    <col min="8705" max="8705" width="5.7109375" style="12" customWidth="1"/>
    <col min="8706" max="8706" width="7" style="12" customWidth="1"/>
    <col min="8707" max="8707" width="5.7109375" style="12" customWidth="1"/>
    <col min="8708" max="8708" width="7.7109375" style="12" customWidth="1"/>
    <col min="8709" max="8709" width="8.7109375" style="12" customWidth="1"/>
    <col min="8710" max="8710" width="7.7109375" style="12" customWidth="1"/>
    <col min="8711" max="8711" width="8.7109375" style="12" customWidth="1"/>
    <col min="8712" max="8712" width="16.28515625" style="12" customWidth="1"/>
    <col min="8713" max="8713" width="7.7109375" style="12" customWidth="1"/>
    <col min="8714" max="8714" width="8" style="12" customWidth="1"/>
    <col min="8715" max="8715" width="7.7109375" style="12" customWidth="1"/>
    <col min="8716" max="8716" width="8.7109375" style="12" customWidth="1"/>
    <col min="8717" max="8956" width="9.140625" style="12"/>
    <col min="8957" max="8957" width="18.140625" style="12" customWidth="1"/>
    <col min="8958" max="8958" width="15.85546875" style="12" customWidth="1"/>
    <col min="8959" max="8960" width="6.7109375" style="12" customWidth="1"/>
    <col min="8961" max="8961" width="5.7109375" style="12" customWidth="1"/>
    <col min="8962" max="8962" width="7" style="12" customWidth="1"/>
    <col min="8963" max="8963" width="5.7109375" style="12" customWidth="1"/>
    <col min="8964" max="8964" width="7.7109375" style="12" customWidth="1"/>
    <col min="8965" max="8965" width="8.7109375" style="12" customWidth="1"/>
    <col min="8966" max="8966" width="7.7109375" style="12" customWidth="1"/>
    <col min="8967" max="8967" width="8.7109375" style="12" customWidth="1"/>
    <col min="8968" max="8968" width="16.28515625" style="12" customWidth="1"/>
    <col min="8969" max="8969" width="7.7109375" style="12" customWidth="1"/>
    <col min="8970" max="8970" width="8" style="12" customWidth="1"/>
    <col min="8971" max="8971" width="7.7109375" style="12" customWidth="1"/>
    <col min="8972" max="8972" width="8.7109375" style="12" customWidth="1"/>
    <col min="8973" max="9212" width="9.140625" style="12"/>
    <col min="9213" max="9213" width="18.140625" style="12" customWidth="1"/>
    <col min="9214" max="9214" width="15.85546875" style="12" customWidth="1"/>
    <col min="9215" max="9216" width="6.7109375" style="12" customWidth="1"/>
    <col min="9217" max="9217" width="5.7109375" style="12" customWidth="1"/>
    <col min="9218" max="9218" width="7" style="12" customWidth="1"/>
    <col min="9219" max="9219" width="5.7109375" style="12" customWidth="1"/>
    <col min="9220" max="9220" width="7.7109375" style="12" customWidth="1"/>
    <col min="9221" max="9221" width="8.7109375" style="12" customWidth="1"/>
    <col min="9222" max="9222" width="7.7109375" style="12" customWidth="1"/>
    <col min="9223" max="9223" width="8.7109375" style="12" customWidth="1"/>
    <col min="9224" max="9224" width="16.28515625" style="12" customWidth="1"/>
    <col min="9225" max="9225" width="7.7109375" style="12" customWidth="1"/>
    <col min="9226" max="9226" width="8" style="12" customWidth="1"/>
    <col min="9227" max="9227" width="7.7109375" style="12" customWidth="1"/>
    <col min="9228" max="9228" width="8.7109375" style="12" customWidth="1"/>
    <col min="9229" max="9468" width="9.140625" style="12"/>
    <col min="9469" max="9469" width="18.140625" style="12" customWidth="1"/>
    <col min="9470" max="9470" width="15.85546875" style="12" customWidth="1"/>
    <col min="9471" max="9472" width="6.7109375" style="12" customWidth="1"/>
    <col min="9473" max="9473" width="5.7109375" style="12" customWidth="1"/>
    <col min="9474" max="9474" width="7" style="12" customWidth="1"/>
    <col min="9475" max="9475" width="5.7109375" style="12" customWidth="1"/>
    <col min="9476" max="9476" width="7.7109375" style="12" customWidth="1"/>
    <col min="9477" max="9477" width="8.7109375" style="12" customWidth="1"/>
    <col min="9478" max="9478" width="7.7109375" style="12" customWidth="1"/>
    <col min="9479" max="9479" width="8.7109375" style="12" customWidth="1"/>
    <col min="9480" max="9480" width="16.28515625" style="12" customWidth="1"/>
    <col min="9481" max="9481" width="7.7109375" style="12" customWidth="1"/>
    <col min="9482" max="9482" width="8" style="12" customWidth="1"/>
    <col min="9483" max="9483" width="7.7109375" style="12" customWidth="1"/>
    <col min="9484" max="9484" width="8.7109375" style="12" customWidth="1"/>
    <col min="9485" max="9724" width="9.140625" style="12"/>
    <col min="9725" max="9725" width="18.140625" style="12" customWidth="1"/>
    <col min="9726" max="9726" width="15.85546875" style="12" customWidth="1"/>
    <col min="9727" max="9728" width="6.7109375" style="12" customWidth="1"/>
    <col min="9729" max="9729" width="5.7109375" style="12" customWidth="1"/>
    <col min="9730" max="9730" width="7" style="12" customWidth="1"/>
    <col min="9731" max="9731" width="5.7109375" style="12" customWidth="1"/>
    <col min="9732" max="9732" width="7.7109375" style="12" customWidth="1"/>
    <col min="9733" max="9733" width="8.7109375" style="12" customWidth="1"/>
    <col min="9734" max="9734" width="7.7109375" style="12" customWidth="1"/>
    <col min="9735" max="9735" width="8.7109375" style="12" customWidth="1"/>
    <col min="9736" max="9736" width="16.28515625" style="12" customWidth="1"/>
    <col min="9737" max="9737" width="7.7109375" style="12" customWidth="1"/>
    <col min="9738" max="9738" width="8" style="12" customWidth="1"/>
    <col min="9739" max="9739" width="7.7109375" style="12" customWidth="1"/>
    <col min="9740" max="9740" width="8.7109375" style="12" customWidth="1"/>
    <col min="9741" max="9980" width="9.140625" style="12"/>
    <col min="9981" max="9981" width="18.140625" style="12" customWidth="1"/>
    <col min="9982" max="9982" width="15.85546875" style="12" customWidth="1"/>
    <col min="9983" max="9984" width="6.7109375" style="12" customWidth="1"/>
    <col min="9985" max="9985" width="5.7109375" style="12" customWidth="1"/>
    <col min="9986" max="9986" width="7" style="12" customWidth="1"/>
    <col min="9987" max="9987" width="5.7109375" style="12" customWidth="1"/>
    <col min="9988" max="9988" width="7.7109375" style="12" customWidth="1"/>
    <col min="9989" max="9989" width="8.7109375" style="12" customWidth="1"/>
    <col min="9990" max="9990" width="7.7109375" style="12" customWidth="1"/>
    <col min="9991" max="9991" width="8.7109375" style="12" customWidth="1"/>
    <col min="9992" max="9992" width="16.28515625" style="12" customWidth="1"/>
    <col min="9993" max="9993" width="7.7109375" style="12" customWidth="1"/>
    <col min="9994" max="9994" width="8" style="12" customWidth="1"/>
    <col min="9995" max="9995" width="7.7109375" style="12" customWidth="1"/>
    <col min="9996" max="9996" width="8.7109375" style="12" customWidth="1"/>
    <col min="9997" max="10236" width="9.140625" style="12"/>
    <col min="10237" max="10237" width="18.140625" style="12" customWidth="1"/>
    <col min="10238" max="10238" width="15.85546875" style="12" customWidth="1"/>
    <col min="10239" max="10240" width="6.7109375" style="12" customWidth="1"/>
    <col min="10241" max="10241" width="5.7109375" style="12" customWidth="1"/>
    <col min="10242" max="10242" width="7" style="12" customWidth="1"/>
    <col min="10243" max="10243" width="5.7109375" style="12" customWidth="1"/>
    <col min="10244" max="10244" width="7.7109375" style="12" customWidth="1"/>
    <col min="10245" max="10245" width="8.7109375" style="12" customWidth="1"/>
    <col min="10246" max="10246" width="7.7109375" style="12" customWidth="1"/>
    <col min="10247" max="10247" width="8.7109375" style="12" customWidth="1"/>
    <col min="10248" max="10248" width="16.28515625" style="12" customWidth="1"/>
    <col min="10249" max="10249" width="7.7109375" style="12" customWidth="1"/>
    <col min="10250" max="10250" width="8" style="12" customWidth="1"/>
    <col min="10251" max="10251" width="7.7109375" style="12" customWidth="1"/>
    <col min="10252" max="10252" width="8.7109375" style="12" customWidth="1"/>
    <col min="10253" max="10492" width="9.140625" style="12"/>
    <col min="10493" max="10493" width="18.140625" style="12" customWidth="1"/>
    <col min="10494" max="10494" width="15.85546875" style="12" customWidth="1"/>
    <col min="10495" max="10496" width="6.7109375" style="12" customWidth="1"/>
    <col min="10497" max="10497" width="5.7109375" style="12" customWidth="1"/>
    <col min="10498" max="10498" width="7" style="12" customWidth="1"/>
    <col min="10499" max="10499" width="5.7109375" style="12" customWidth="1"/>
    <col min="10500" max="10500" width="7.7109375" style="12" customWidth="1"/>
    <col min="10501" max="10501" width="8.7109375" style="12" customWidth="1"/>
    <col min="10502" max="10502" width="7.7109375" style="12" customWidth="1"/>
    <col min="10503" max="10503" width="8.7109375" style="12" customWidth="1"/>
    <col min="10504" max="10504" width="16.28515625" style="12" customWidth="1"/>
    <col min="10505" max="10505" width="7.7109375" style="12" customWidth="1"/>
    <col min="10506" max="10506" width="8" style="12" customWidth="1"/>
    <col min="10507" max="10507" width="7.7109375" style="12" customWidth="1"/>
    <col min="10508" max="10508" width="8.7109375" style="12" customWidth="1"/>
    <col min="10509" max="10748" width="9.140625" style="12"/>
    <col min="10749" max="10749" width="18.140625" style="12" customWidth="1"/>
    <col min="10750" max="10750" width="15.85546875" style="12" customWidth="1"/>
    <col min="10751" max="10752" width="6.7109375" style="12" customWidth="1"/>
    <col min="10753" max="10753" width="5.7109375" style="12" customWidth="1"/>
    <col min="10754" max="10754" width="7" style="12" customWidth="1"/>
    <col min="10755" max="10755" width="5.7109375" style="12" customWidth="1"/>
    <col min="10756" max="10756" width="7.7109375" style="12" customWidth="1"/>
    <col min="10757" max="10757" width="8.7109375" style="12" customWidth="1"/>
    <col min="10758" max="10758" width="7.7109375" style="12" customWidth="1"/>
    <col min="10759" max="10759" width="8.7109375" style="12" customWidth="1"/>
    <col min="10760" max="10760" width="16.28515625" style="12" customWidth="1"/>
    <col min="10761" max="10761" width="7.7109375" style="12" customWidth="1"/>
    <col min="10762" max="10762" width="8" style="12" customWidth="1"/>
    <col min="10763" max="10763" width="7.7109375" style="12" customWidth="1"/>
    <col min="10764" max="10764" width="8.7109375" style="12" customWidth="1"/>
    <col min="10765" max="11004" width="9.140625" style="12"/>
    <col min="11005" max="11005" width="18.140625" style="12" customWidth="1"/>
    <col min="11006" max="11006" width="15.85546875" style="12" customWidth="1"/>
    <col min="11007" max="11008" width="6.7109375" style="12" customWidth="1"/>
    <col min="11009" max="11009" width="5.7109375" style="12" customWidth="1"/>
    <col min="11010" max="11010" width="7" style="12" customWidth="1"/>
    <col min="11011" max="11011" width="5.7109375" style="12" customWidth="1"/>
    <col min="11012" max="11012" width="7.7109375" style="12" customWidth="1"/>
    <col min="11013" max="11013" width="8.7109375" style="12" customWidth="1"/>
    <col min="11014" max="11014" width="7.7109375" style="12" customWidth="1"/>
    <col min="11015" max="11015" width="8.7109375" style="12" customWidth="1"/>
    <col min="11016" max="11016" width="16.28515625" style="12" customWidth="1"/>
    <col min="11017" max="11017" width="7.7109375" style="12" customWidth="1"/>
    <col min="11018" max="11018" width="8" style="12" customWidth="1"/>
    <col min="11019" max="11019" width="7.7109375" style="12" customWidth="1"/>
    <col min="11020" max="11020" width="8.7109375" style="12" customWidth="1"/>
    <col min="11021" max="11260" width="9.140625" style="12"/>
    <col min="11261" max="11261" width="18.140625" style="12" customWidth="1"/>
    <col min="11262" max="11262" width="15.85546875" style="12" customWidth="1"/>
    <col min="11263" max="11264" width="6.7109375" style="12" customWidth="1"/>
    <col min="11265" max="11265" width="5.7109375" style="12" customWidth="1"/>
    <col min="11266" max="11266" width="7" style="12" customWidth="1"/>
    <col min="11267" max="11267" width="5.7109375" style="12" customWidth="1"/>
    <col min="11268" max="11268" width="7.7109375" style="12" customWidth="1"/>
    <col min="11269" max="11269" width="8.7109375" style="12" customWidth="1"/>
    <col min="11270" max="11270" width="7.7109375" style="12" customWidth="1"/>
    <col min="11271" max="11271" width="8.7109375" style="12" customWidth="1"/>
    <col min="11272" max="11272" width="16.28515625" style="12" customWidth="1"/>
    <col min="11273" max="11273" width="7.7109375" style="12" customWidth="1"/>
    <col min="11274" max="11274" width="8" style="12" customWidth="1"/>
    <col min="11275" max="11275" width="7.7109375" style="12" customWidth="1"/>
    <col min="11276" max="11276" width="8.7109375" style="12" customWidth="1"/>
    <col min="11277" max="11516" width="9.140625" style="12"/>
    <col min="11517" max="11517" width="18.140625" style="12" customWidth="1"/>
    <col min="11518" max="11518" width="15.85546875" style="12" customWidth="1"/>
    <col min="11519" max="11520" width="6.7109375" style="12" customWidth="1"/>
    <col min="11521" max="11521" width="5.7109375" style="12" customWidth="1"/>
    <col min="11522" max="11522" width="7" style="12" customWidth="1"/>
    <col min="11523" max="11523" width="5.7109375" style="12" customWidth="1"/>
    <col min="11524" max="11524" width="7.7109375" style="12" customWidth="1"/>
    <col min="11525" max="11525" width="8.7109375" style="12" customWidth="1"/>
    <col min="11526" max="11526" width="7.7109375" style="12" customWidth="1"/>
    <col min="11527" max="11527" width="8.7109375" style="12" customWidth="1"/>
    <col min="11528" max="11528" width="16.28515625" style="12" customWidth="1"/>
    <col min="11529" max="11529" width="7.7109375" style="12" customWidth="1"/>
    <col min="11530" max="11530" width="8" style="12" customWidth="1"/>
    <col min="11531" max="11531" width="7.7109375" style="12" customWidth="1"/>
    <col min="11532" max="11532" width="8.7109375" style="12" customWidth="1"/>
    <col min="11533" max="11772" width="9.140625" style="12"/>
    <col min="11773" max="11773" width="18.140625" style="12" customWidth="1"/>
    <col min="11774" max="11774" width="15.85546875" style="12" customWidth="1"/>
    <col min="11775" max="11776" width="6.7109375" style="12" customWidth="1"/>
    <col min="11777" max="11777" width="5.7109375" style="12" customWidth="1"/>
    <col min="11778" max="11778" width="7" style="12" customWidth="1"/>
    <col min="11779" max="11779" width="5.7109375" style="12" customWidth="1"/>
    <col min="11780" max="11780" width="7.7109375" style="12" customWidth="1"/>
    <col min="11781" max="11781" width="8.7109375" style="12" customWidth="1"/>
    <col min="11782" max="11782" width="7.7109375" style="12" customWidth="1"/>
    <col min="11783" max="11783" width="8.7109375" style="12" customWidth="1"/>
    <col min="11784" max="11784" width="16.28515625" style="12" customWidth="1"/>
    <col min="11785" max="11785" width="7.7109375" style="12" customWidth="1"/>
    <col min="11786" max="11786" width="8" style="12" customWidth="1"/>
    <col min="11787" max="11787" width="7.7109375" style="12" customWidth="1"/>
    <col min="11788" max="11788" width="8.7109375" style="12" customWidth="1"/>
    <col min="11789" max="12028" width="9.140625" style="12"/>
    <col min="12029" max="12029" width="18.140625" style="12" customWidth="1"/>
    <col min="12030" max="12030" width="15.85546875" style="12" customWidth="1"/>
    <col min="12031" max="12032" width="6.7109375" style="12" customWidth="1"/>
    <col min="12033" max="12033" width="5.7109375" style="12" customWidth="1"/>
    <col min="12034" max="12034" width="7" style="12" customWidth="1"/>
    <col min="12035" max="12035" width="5.7109375" style="12" customWidth="1"/>
    <col min="12036" max="12036" width="7.7109375" style="12" customWidth="1"/>
    <col min="12037" max="12037" width="8.7109375" style="12" customWidth="1"/>
    <col min="12038" max="12038" width="7.7109375" style="12" customWidth="1"/>
    <col min="12039" max="12039" width="8.7109375" style="12" customWidth="1"/>
    <col min="12040" max="12040" width="16.28515625" style="12" customWidth="1"/>
    <col min="12041" max="12041" width="7.7109375" style="12" customWidth="1"/>
    <col min="12042" max="12042" width="8" style="12" customWidth="1"/>
    <col min="12043" max="12043" width="7.7109375" style="12" customWidth="1"/>
    <col min="12044" max="12044" width="8.7109375" style="12" customWidth="1"/>
    <col min="12045" max="12284" width="9.140625" style="12"/>
    <col min="12285" max="12285" width="18.140625" style="12" customWidth="1"/>
    <col min="12286" max="12286" width="15.85546875" style="12" customWidth="1"/>
    <col min="12287" max="12288" width="6.7109375" style="12" customWidth="1"/>
    <col min="12289" max="12289" width="5.7109375" style="12" customWidth="1"/>
    <col min="12290" max="12290" width="7" style="12" customWidth="1"/>
    <col min="12291" max="12291" width="5.7109375" style="12" customWidth="1"/>
    <col min="12292" max="12292" width="7.7109375" style="12" customWidth="1"/>
    <col min="12293" max="12293" width="8.7109375" style="12" customWidth="1"/>
    <col min="12294" max="12294" width="7.7109375" style="12" customWidth="1"/>
    <col min="12295" max="12295" width="8.7109375" style="12" customWidth="1"/>
    <col min="12296" max="12296" width="16.28515625" style="12" customWidth="1"/>
    <col min="12297" max="12297" width="7.7109375" style="12" customWidth="1"/>
    <col min="12298" max="12298" width="8" style="12" customWidth="1"/>
    <col min="12299" max="12299" width="7.7109375" style="12" customWidth="1"/>
    <col min="12300" max="12300" width="8.7109375" style="12" customWidth="1"/>
    <col min="12301" max="12540" width="9.140625" style="12"/>
    <col min="12541" max="12541" width="18.140625" style="12" customWidth="1"/>
    <col min="12542" max="12542" width="15.85546875" style="12" customWidth="1"/>
    <col min="12543" max="12544" width="6.7109375" style="12" customWidth="1"/>
    <col min="12545" max="12545" width="5.7109375" style="12" customWidth="1"/>
    <col min="12546" max="12546" width="7" style="12" customWidth="1"/>
    <col min="12547" max="12547" width="5.7109375" style="12" customWidth="1"/>
    <col min="12548" max="12548" width="7.7109375" style="12" customWidth="1"/>
    <col min="12549" max="12549" width="8.7109375" style="12" customWidth="1"/>
    <col min="12550" max="12550" width="7.7109375" style="12" customWidth="1"/>
    <col min="12551" max="12551" width="8.7109375" style="12" customWidth="1"/>
    <col min="12552" max="12552" width="16.28515625" style="12" customWidth="1"/>
    <col min="12553" max="12553" width="7.7109375" style="12" customWidth="1"/>
    <col min="12554" max="12554" width="8" style="12" customWidth="1"/>
    <col min="12555" max="12555" width="7.7109375" style="12" customWidth="1"/>
    <col min="12556" max="12556" width="8.7109375" style="12" customWidth="1"/>
    <col min="12557" max="12796" width="9.140625" style="12"/>
    <col min="12797" max="12797" width="18.140625" style="12" customWidth="1"/>
    <col min="12798" max="12798" width="15.85546875" style="12" customWidth="1"/>
    <col min="12799" max="12800" width="6.7109375" style="12" customWidth="1"/>
    <col min="12801" max="12801" width="5.7109375" style="12" customWidth="1"/>
    <col min="12802" max="12802" width="7" style="12" customWidth="1"/>
    <col min="12803" max="12803" width="5.7109375" style="12" customWidth="1"/>
    <col min="12804" max="12804" width="7.7109375" style="12" customWidth="1"/>
    <col min="12805" max="12805" width="8.7109375" style="12" customWidth="1"/>
    <col min="12806" max="12806" width="7.7109375" style="12" customWidth="1"/>
    <col min="12807" max="12807" width="8.7109375" style="12" customWidth="1"/>
    <col min="12808" max="12808" width="16.28515625" style="12" customWidth="1"/>
    <col min="12809" max="12809" width="7.7109375" style="12" customWidth="1"/>
    <col min="12810" max="12810" width="8" style="12" customWidth="1"/>
    <col min="12811" max="12811" width="7.7109375" style="12" customWidth="1"/>
    <col min="12812" max="12812" width="8.7109375" style="12" customWidth="1"/>
    <col min="12813" max="13052" width="9.140625" style="12"/>
    <col min="13053" max="13053" width="18.140625" style="12" customWidth="1"/>
    <col min="13054" max="13054" width="15.85546875" style="12" customWidth="1"/>
    <col min="13055" max="13056" width="6.7109375" style="12" customWidth="1"/>
    <col min="13057" max="13057" width="5.7109375" style="12" customWidth="1"/>
    <col min="13058" max="13058" width="7" style="12" customWidth="1"/>
    <col min="13059" max="13059" width="5.7109375" style="12" customWidth="1"/>
    <col min="13060" max="13060" width="7.7109375" style="12" customWidth="1"/>
    <col min="13061" max="13061" width="8.7109375" style="12" customWidth="1"/>
    <col min="13062" max="13062" width="7.7109375" style="12" customWidth="1"/>
    <col min="13063" max="13063" width="8.7109375" style="12" customWidth="1"/>
    <col min="13064" max="13064" width="16.28515625" style="12" customWidth="1"/>
    <col min="13065" max="13065" width="7.7109375" style="12" customWidth="1"/>
    <col min="13066" max="13066" width="8" style="12" customWidth="1"/>
    <col min="13067" max="13067" width="7.7109375" style="12" customWidth="1"/>
    <col min="13068" max="13068" width="8.7109375" style="12" customWidth="1"/>
    <col min="13069" max="13308" width="9.140625" style="12"/>
    <col min="13309" max="13309" width="18.140625" style="12" customWidth="1"/>
    <col min="13310" max="13310" width="15.85546875" style="12" customWidth="1"/>
    <col min="13311" max="13312" width="6.7109375" style="12" customWidth="1"/>
    <col min="13313" max="13313" width="5.7109375" style="12" customWidth="1"/>
    <col min="13314" max="13314" width="7" style="12" customWidth="1"/>
    <col min="13315" max="13315" width="5.7109375" style="12" customWidth="1"/>
    <col min="13316" max="13316" width="7.7109375" style="12" customWidth="1"/>
    <col min="13317" max="13317" width="8.7109375" style="12" customWidth="1"/>
    <col min="13318" max="13318" width="7.7109375" style="12" customWidth="1"/>
    <col min="13319" max="13319" width="8.7109375" style="12" customWidth="1"/>
    <col min="13320" max="13320" width="16.28515625" style="12" customWidth="1"/>
    <col min="13321" max="13321" width="7.7109375" style="12" customWidth="1"/>
    <col min="13322" max="13322" width="8" style="12" customWidth="1"/>
    <col min="13323" max="13323" width="7.7109375" style="12" customWidth="1"/>
    <col min="13324" max="13324" width="8.7109375" style="12" customWidth="1"/>
    <col min="13325" max="13564" width="9.140625" style="12"/>
    <col min="13565" max="13565" width="18.140625" style="12" customWidth="1"/>
    <col min="13566" max="13566" width="15.85546875" style="12" customWidth="1"/>
    <col min="13567" max="13568" width="6.7109375" style="12" customWidth="1"/>
    <col min="13569" max="13569" width="5.7109375" style="12" customWidth="1"/>
    <col min="13570" max="13570" width="7" style="12" customWidth="1"/>
    <col min="13571" max="13571" width="5.7109375" style="12" customWidth="1"/>
    <col min="13572" max="13572" width="7.7109375" style="12" customWidth="1"/>
    <col min="13573" max="13573" width="8.7109375" style="12" customWidth="1"/>
    <col min="13574" max="13574" width="7.7109375" style="12" customWidth="1"/>
    <col min="13575" max="13575" width="8.7109375" style="12" customWidth="1"/>
    <col min="13576" max="13576" width="16.28515625" style="12" customWidth="1"/>
    <col min="13577" max="13577" width="7.7109375" style="12" customWidth="1"/>
    <col min="13578" max="13578" width="8" style="12" customWidth="1"/>
    <col min="13579" max="13579" width="7.7109375" style="12" customWidth="1"/>
    <col min="13580" max="13580" width="8.7109375" style="12" customWidth="1"/>
    <col min="13581" max="13820" width="9.140625" style="12"/>
    <col min="13821" max="13821" width="18.140625" style="12" customWidth="1"/>
    <col min="13822" max="13822" width="15.85546875" style="12" customWidth="1"/>
    <col min="13823" max="13824" width="6.7109375" style="12" customWidth="1"/>
    <col min="13825" max="13825" width="5.7109375" style="12" customWidth="1"/>
    <col min="13826" max="13826" width="7" style="12" customWidth="1"/>
    <col min="13827" max="13827" width="5.7109375" style="12" customWidth="1"/>
    <col min="13828" max="13828" width="7.7109375" style="12" customWidth="1"/>
    <col min="13829" max="13829" width="8.7109375" style="12" customWidth="1"/>
    <col min="13830" max="13830" width="7.7109375" style="12" customWidth="1"/>
    <col min="13831" max="13831" width="8.7109375" style="12" customWidth="1"/>
    <col min="13832" max="13832" width="16.28515625" style="12" customWidth="1"/>
    <col min="13833" max="13833" width="7.7109375" style="12" customWidth="1"/>
    <col min="13834" max="13834" width="8" style="12" customWidth="1"/>
    <col min="13835" max="13835" width="7.7109375" style="12" customWidth="1"/>
    <col min="13836" max="13836" width="8.7109375" style="12" customWidth="1"/>
    <col min="13837" max="14076" width="9.140625" style="12"/>
    <col min="14077" max="14077" width="18.140625" style="12" customWidth="1"/>
    <col min="14078" max="14078" width="15.85546875" style="12" customWidth="1"/>
    <col min="14079" max="14080" width="6.7109375" style="12" customWidth="1"/>
    <col min="14081" max="14081" width="5.7109375" style="12" customWidth="1"/>
    <col min="14082" max="14082" width="7" style="12" customWidth="1"/>
    <col min="14083" max="14083" width="5.7109375" style="12" customWidth="1"/>
    <col min="14084" max="14084" width="7.7109375" style="12" customWidth="1"/>
    <col min="14085" max="14085" width="8.7109375" style="12" customWidth="1"/>
    <col min="14086" max="14086" width="7.7109375" style="12" customWidth="1"/>
    <col min="14087" max="14087" width="8.7109375" style="12" customWidth="1"/>
    <col min="14088" max="14088" width="16.28515625" style="12" customWidth="1"/>
    <col min="14089" max="14089" width="7.7109375" style="12" customWidth="1"/>
    <col min="14090" max="14090" width="8" style="12" customWidth="1"/>
    <col min="14091" max="14091" width="7.7109375" style="12" customWidth="1"/>
    <col min="14092" max="14092" width="8.7109375" style="12" customWidth="1"/>
    <col min="14093" max="14332" width="9.140625" style="12"/>
    <col min="14333" max="14333" width="18.140625" style="12" customWidth="1"/>
    <col min="14334" max="14334" width="15.85546875" style="12" customWidth="1"/>
    <col min="14335" max="14336" width="6.7109375" style="12" customWidth="1"/>
    <col min="14337" max="14337" width="5.7109375" style="12" customWidth="1"/>
    <col min="14338" max="14338" width="7" style="12" customWidth="1"/>
    <col min="14339" max="14339" width="5.7109375" style="12" customWidth="1"/>
    <col min="14340" max="14340" width="7.7109375" style="12" customWidth="1"/>
    <col min="14341" max="14341" width="8.7109375" style="12" customWidth="1"/>
    <col min="14342" max="14342" width="7.7109375" style="12" customWidth="1"/>
    <col min="14343" max="14343" width="8.7109375" style="12" customWidth="1"/>
    <col min="14344" max="14344" width="16.28515625" style="12" customWidth="1"/>
    <col min="14345" max="14345" width="7.7109375" style="12" customWidth="1"/>
    <col min="14346" max="14346" width="8" style="12" customWidth="1"/>
    <col min="14347" max="14347" width="7.7109375" style="12" customWidth="1"/>
    <col min="14348" max="14348" width="8.7109375" style="12" customWidth="1"/>
    <col min="14349" max="14588" width="9.140625" style="12"/>
    <col min="14589" max="14589" width="18.140625" style="12" customWidth="1"/>
    <col min="14590" max="14590" width="15.85546875" style="12" customWidth="1"/>
    <col min="14591" max="14592" width="6.7109375" style="12" customWidth="1"/>
    <col min="14593" max="14593" width="5.7109375" style="12" customWidth="1"/>
    <col min="14594" max="14594" width="7" style="12" customWidth="1"/>
    <col min="14595" max="14595" width="5.7109375" style="12" customWidth="1"/>
    <col min="14596" max="14596" width="7.7109375" style="12" customWidth="1"/>
    <col min="14597" max="14597" width="8.7109375" style="12" customWidth="1"/>
    <col min="14598" max="14598" width="7.7109375" style="12" customWidth="1"/>
    <col min="14599" max="14599" width="8.7109375" style="12" customWidth="1"/>
    <col min="14600" max="14600" width="16.28515625" style="12" customWidth="1"/>
    <col min="14601" max="14601" width="7.7109375" style="12" customWidth="1"/>
    <col min="14602" max="14602" width="8" style="12" customWidth="1"/>
    <col min="14603" max="14603" width="7.7109375" style="12" customWidth="1"/>
    <col min="14604" max="14604" width="8.7109375" style="12" customWidth="1"/>
    <col min="14605" max="14844" width="9.140625" style="12"/>
    <col min="14845" max="14845" width="18.140625" style="12" customWidth="1"/>
    <col min="14846" max="14846" width="15.85546875" style="12" customWidth="1"/>
    <col min="14847" max="14848" width="6.7109375" style="12" customWidth="1"/>
    <col min="14849" max="14849" width="5.7109375" style="12" customWidth="1"/>
    <col min="14850" max="14850" width="7" style="12" customWidth="1"/>
    <col min="14851" max="14851" width="5.7109375" style="12" customWidth="1"/>
    <col min="14852" max="14852" width="7.7109375" style="12" customWidth="1"/>
    <col min="14853" max="14853" width="8.7109375" style="12" customWidth="1"/>
    <col min="14854" max="14854" width="7.7109375" style="12" customWidth="1"/>
    <col min="14855" max="14855" width="8.7109375" style="12" customWidth="1"/>
    <col min="14856" max="14856" width="16.28515625" style="12" customWidth="1"/>
    <col min="14857" max="14857" width="7.7109375" style="12" customWidth="1"/>
    <col min="14858" max="14858" width="8" style="12" customWidth="1"/>
    <col min="14859" max="14859" width="7.7109375" style="12" customWidth="1"/>
    <col min="14860" max="14860" width="8.7109375" style="12" customWidth="1"/>
    <col min="14861" max="15100" width="9.140625" style="12"/>
    <col min="15101" max="15101" width="18.140625" style="12" customWidth="1"/>
    <col min="15102" max="15102" width="15.85546875" style="12" customWidth="1"/>
    <col min="15103" max="15104" width="6.7109375" style="12" customWidth="1"/>
    <col min="15105" max="15105" width="5.7109375" style="12" customWidth="1"/>
    <col min="15106" max="15106" width="7" style="12" customWidth="1"/>
    <col min="15107" max="15107" width="5.7109375" style="12" customWidth="1"/>
    <col min="15108" max="15108" width="7.7109375" style="12" customWidth="1"/>
    <col min="15109" max="15109" width="8.7109375" style="12" customWidth="1"/>
    <col min="15110" max="15110" width="7.7109375" style="12" customWidth="1"/>
    <col min="15111" max="15111" width="8.7109375" style="12" customWidth="1"/>
    <col min="15112" max="15112" width="16.28515625" style="12" customWidth="1"/>
    <col min="15113" max="15113" width="7.7109375" style="12" customWidth="1"/>
    <col min="15114" max="15114" width="8" style="12" customWidth="1"/>
    <col min="15115" max="15115" width="7.7109375" style="12" customWidth="1"/>
    <col min="15116" max="15116" width="8.7109375" style="12" customWidth="1"/>
    <col min="15117" max="15356" width="9.140625" style="12"/>
    <col min="15357" max="15357" width="18.140625" style="12" customWidth="1"/>
    <col min="15358" max="15358" width="15.85546875" style="12" customWidth="1"/>
    <col min="15359" max="15360" width="6.7109375" style="12" customWidth="1"/>
    <col min="15361" max="15361" width="5.7109375" style="12" customWidth="1"/>
    <col min="15362" max="15362" width="7" style="12" customWidth="1"/>
    <col min="15363" max="15363" width="5.7109375" style="12" customWidth="1"/>
    <col min="15364" max="15364" width="7.7109375" style="12" customWidth="1"/>
    <col min="15365" max="15365" width="8.7109375" style="12" customWidth="1"/>
    <col min="15366" max="15366" width="7.7109375" style="12" customWidth="1"/>
    <col min="15367" max="15367" width="8.7109375" style="12" customWidth="1"/>
    <col min="15368" max="15368" width="16.28515625" style="12" customWidth="1"/>
    <col min="15369" max="15369" width="7.7109375" style="12" customWidth="1"/>
    <col min="15370" max="15370" width="8" style="12" customWidth="1"/>
    <col min="15371" max="15371" width="7.7109375" style="12" customWidth="1"/>
    <col min="15372" max="15372" width="8.7109375" style="12" customWidth="1"/>
    <col min="15373" max="15612" width="9.140625" style="12"/>
    <col min="15613" max="15613" width="18.140625" style="12" customWidth="1"/>
    <col min="15614" max="15614" width="15.85546875" style="12" customWidth="1"/>
    <col min="15615" max="15616" width="6.7109375" style="12" customWidth="1"/>
    <col min="15617" max="15617" width="5.7109375" style="12" customWidth="1"/>
    <col min="15618" max="15618" width="7" style="12" customWidth="1"/>
    <col min="15619" max="15619" width="5.7109375" style="12" customWidth="1"/>
    <col min="15620" max="15620" width="7.7109375" style="12" customWidth="1"/>
    <col min="15621" max="15621" width="8.7109375" style="12" customWidth="1"/>
    <col min="15622" max="15622" width="7.7109375" style="12" customWidth="1"/>
    <col min="15623" max="15623" width="8.7109375" style="12" customWidth="1"/>
    <col min="15624" max="15624" width="16.28515625" style="12" customWidth="1"/>
    <col min="15625" max="15625" width="7.7109375" style="12" customWidth="1"/>
    <col min="15626" max="15626" width="8" style="12" customWidth="1"/>
    <col min="15627" max="15627" width="7.7109375" style="12" customWidth="1"/>
    <col min="15628" max="15628" width="8.7109375" style="12" customWidth="1"/>
    <col min="15629" max="15868" width="9.140625" style="12"/>
    <col min="15869" max="15869" width="18.140625" style="12" customWidth="1"/>
    <col min="15870" max="15870" width="15.85546875" style="12" customWidth="1"/>
    <col min="15871" max="15872" width="6.7109375" style="12" customWidth="1"/>
    <col min="15873" max="15873" width="5.7109375" style="12" customWidth="1"/>
    <col min="15874" max="15874" width="7" style="12" customWidth="1"/>
    <col min="15875" max="15875" width="5.7109375" style="12" customWidth="1"/>
    <col min="15876" max="15876" width="7.7109375" style="12" customWidth="1"/>
    <col min="15877" max="15877" width="8.7109375" style="12" customWidth="1"/>
    <col min="15878" max="15878" width="7.7109375" style="12" customWidth="1"/>
    <col min="15879" max="15879" width="8.7109375" style="12" customWidth="1"/>
    <col min="15880" max="15880" width="16.28515625" style="12" customWidth="1"/>
    <col min="15881" max="15881" width="7.7109375" style="12" customWidth="1"/>
    <col min="15882" max="15882" width="8" style="12" customWidth="1"/>
    <col min="15883" max="15883" width="7.7109375" style="12" customWidth="1"/>
    <col min="15884" max="15884" width="8.7109375" style="12" customWidth="1"/>
    <col min="15885" max="16124" width="9.140625" style="12"/>
    <col min="16125" max="16125" width="18.140625" style="12" customWidth="1"/>
    <col min="16126" max="16126" width="15.85546875" style="12" customWidth="1"/>
    <col min="16127" max="16128" width="6.7109375" style="12" customWidth="1"/>
    <col min="16129" max="16129" width="5.7109375" style="12" customWidth="1"/>
    <col min="16130" max="16130" width="7" style="12" customWidth="1"/>
    <col min="16131" max="16131" width="5.7109375" style="12" customWidth="1"/>
    <col min="16132" max="16132" width="7.7109375" style="12" customWidth="1"/>
    <col min="16133" max="16133" width="8.7109375" style="12" customWidth="1"/>
    <col min="16134" max="16134" width="7.7109375" style="12" customWidth="1"/>
    <col min="16135" max="16135" width="8.7109375" style="12" customWidth="1"/>
    <col min="16136" max="16136" width="16.28515625" style="12" customWidth="1"/>
    <col min="16137" max="16137" width="7.7109375" style="12" customWidth="1"/>
    <col min="16138" max="16138" width="8" style="12" customWidth="1"/>
    <col min="16139" max="16139" width="7.7109375" style="12" customWidth="1"/>
    <col min="16140" max="16140" width="8.7109375" style="12" customWidth="1"/>
    <col min="16141" max="16384" width="9.140625" style="12"/>
  </cols>
  <sheetData>
    <row r="1" spans="1:20" s="53" customFormat="1" ht="37.5" customHeight="1" thickBot="1" x14ac:dyDescent="0.25">
      <c r="A1" s="803"/>
      <c r="B1" s="806"/>
      <c r="C1" s="804"/>
      <c r="D1" s="804"/>
      <c r="E1" s="804"/>
      <c r="F1" s="804"/>
      <c r="G1" s="804"/>
      <c r="H1" s="804"/>
      <c r="I1" s="804"/>
      <c r="J1" s="804"/>
      <c r="K1" s="804"/>
      <c r="L1" s="806"/>
      <c r="M1" s="804"/>
      <c r="N1" s="804"/>
      <c r="O1" s="804"/>
      <c r="P1" s="804"/>
      <c r="Q1" s="804"/>
      <c r="R1" s="804"/>
      <c r="S1" s="807"/>
      <c r="T1" s="808"/>
    </row>
    <row r="2" spans="1:20" s="54" customFormat="1" x14ac:dyDescent="0.2">
      <c r="A2" s="213" t="s">
        <v>96</v>
      </c>
      <c r="B2" s="648" t="str">
        <f>ORÇAMENTO!I4</f>
        <v>SENSE106</v>
      </c>
      <c r="C2" s="59"/>
      <c r="D2" s="59"/>
      <c r="E2" s="59"/>
      <c r="F2" s="59"/>
      <c r="G2" s="59"/>
      <c r="L2" s="214" t="s">
        <v>15</v>
      </c>
      <c r="M2" s="59"/>
      <c r="N2" s="214" t="s">
        <v>8</v>
      </c>
    </row>
    <row r="3" spans="1:20" s="54" customFormat="1" ht="15" customHeight="1" x14ac:dyDescent="0.2">
      <c r="A3" s="58" t="str">
        <f>ORÇAMENTO!G5</f>
        <v>EMPRESA:</v>
      </c>
      <c r="B3" s="648" t="str">
        <f>ORÇAMENTO!I5</f>
        <v>HOLZE EMPREENDIMENTOS</v>
      </c>
      <c r="C3" s="59"/>
      <c r="D3" s="59"/>
      <c r="E3" s="59"/>
      <c r="F3" s="59"/>
      <c r="G3" s="59"/>
      <c r="L3" s="58" t="str">
        <f>ORÇAMENTO!O5</f>
        <v>R01 - Edileni Silva</v>
      </c>
      <c r="M3" s="59"/>
      <c r="N3" s="61">
        <f>ORÇAMENTO!P5</f>
        <v>45608</v>
      </c>
    </row>
    <row r="4" spans="1:20" ht="15" customHeight="1" x14ac:dyDescent="0.2">
      <c r="A4" s="1328" t="s">
        <v>39</v>
      </c>
      <c r="B4" s="1328" t="s">
        <v>11</v>
      </c>
      <c r="C4" s="1330" t="s">
        <v>40</v>
      </c>
      <c r="D4" s="1331"/>
      <c r="E4" s="1331"/>
      <c r="F4" s="1332"/>
      <c r="G4" s="1330" t="s">
        <v>47</v>
      </c>
      <c r="H4" s="1331"/>
      <c r="I4" s="1332"/>
      <c r="J4" s="1330" t="s">
        <v>95</v>
      </c>
      <c r="K4" s="1331"/>
      <c r="L4" s="1332"/>
      <c r="M4" s="86" t="s">
        <v>56</v>
      </c>
      <c r="N4" s="1333" t="s">
        <v>102</v>
      </c>
      <c r="P4" s="1330" t="s">
        <v>97</v>
      </c>
      <c r="Q4" s="1332"/>
      <c r="R4" s="54"/>
      <c r="S4" s="1330" t="s">
        <v>469</v>
      </c>
      <c r="T4" s="1332"/>
    </row>
    <row r="5" spans="1:20" ht="20.45" customHeight="1" x14ac:dyDescent="0.2">
      <c r="A5" s="1329"/>
      <c r="B5" s="1329"/>
      <c r="C5" s="149" t="s">
        <v>116</v>
      </c>
      <c r="D5" s="150" t="s">
        <v>117</v>
      </c>
      <c r="E5" s="150" t="s">
        <v>118</v>
      </c>
      <c r="F5" s="114" t="s">
        <v>18</v>
      </c>
      <c r="G5" s="113" t="s">
        <v>72</v>
      </c>
      <c r="H5" s="151" t="s">
        <v>119</v>
      </c>
      <c r="I5" s="148" t="s">
        <v>120</v>
      </c>
      <c r="J5" s="151" t="s">
        <v>121</v>
      </c>
      <c r="K5" s="148" t="s">
        <v>122</v>
      </c>
      <c r="L5" s="113" t="s">
        <v>100</v>
      </c>
      <c r="M5" s="112" t="s">
        <v>10</v>
      </c>
      <c r="N5" s="1334"/>
      <c r="P5" s="148" t="s">
        <v>4</v>
      </c>
      <c r="Q5" s="118" t="s">
        <v>100</v>
      </c>
      <c r="S5" s="148" t="s">
        <v>1</v>
      </c>
      <c r="T5" s="118" t="s">
        <v>470</v>
      </c>
    </row>
    <row r="6" spans="1:20" s="153" customFormat="1" ht="13.15" customHeight="1" x14ac:dyDescent="0.2">
      <c r="A6" s="294" t="s">
        <v>420</v>
      </c>
      <c r="B6" s="288"/>
      <c r="C6" s="288"/>
      <c r="D6" s="288"/>
      <c r="E6" s="288"/>
      <c r="F6" s="288"/>
      <c r="G6" s="288"/>
      <c r="H6" s="154" t="str">
        <f t="shared" ref="H6:H11" si="0">IF(C6="","",IF(F6&lt;0,-C6+(D6*(E6+0.02)),C6+(D6*(E6+0.02))))</f>
        <v/>
      </c>
      <c r="I6" s="154" t="str">
        <f>IF(C6="","",IF(F6&gt;0,F6*H6,F6*-H6))</f>
        <v/>
      </c>
      <c r="J6" s="154" t="str">
        <f t="shared" ref="J6:J11" si="1">IF(C6="","",IF(F6&lt;0,-C6*E6,C6*E6))</f>
        <v/>
      </c>
      <c r="K6" s="154" t="str">
        <f>IF(C6="","",IF(F6&gt;0,J6*F6,-J6*F6))</f>
        <v/>
      </c>
      <c r="L6" s="259"/>
      <c r="M6" s="154"/>
      <c r="N6" s="155"/>
      <c r="P6" s="216">
        <f>IF(Q6="","",SUMIF($L$6:$L$11,Q6,$K$6:$K$11))</f>
        <v>0</v>
      </c>
      <c r="Q6" s="642" t="s">
        <v>1225</v>
      </c>
      <c r="R6" s="12"/>
      <c r="S6" s="216">
        <f>IF(T6="","",SUMIF($L$6:$L$11,T6,$I$6:$I$11))</f>
        <v>0</v>
      </c>
      <c r="T6" s="643" t="s">
        <v>1225</v>
      </c>
    </row>
    <row r="7" spans="1:20" s="153" customFormat="1" ht="13.15" customHeight="1" x14ac:dyDescent="0.2">
      <c r="A7" s="291" t="s">
        <v>419</v>
      </c>
      <c r="B7" s="292"/>
      <c r="C7" s="156"/>
      <c r="D7" s="156"/>
      <c r="E7" s="156"/>
      <c r="F7" s="162"/>
      <c r="G7" s="156">
        <v>1</v>
      </c>
      <c r="H7" s="158" t="str">
        <f t="shared" si="0"/>
        <v/>
      </c>
      <c r="I7" s="221">
        <v>138.05000000000001</v>
      </c>
      <c r="J7" s="158" t="str">
        <f t="shared" si="1"/>
        <v/>
      </c>
      <c r="K7" s="222">
        <v>28</v>
      </c>
      <c r="L7" s="252" t="s">
        <v>409</v>
      </c>
      <c r="M7" s="229" t="s">
        <v>62</v>
      </c>
      <c r="N7" s="219"/>
      <c r="P7" s="216">
        <f>IF(Q7="","",SUMIF($L$6:$L$11,Q7,$K$6:$K$11))</f>
        <v>28</v>
      </c>
      <c r="Q7" s="642" t="s">
        <v>409</v>
      </c>
      <c r="R7" s="12"/>
      <c r="S7" s="216">
        <f>IF(T7="","",SUMIF($L$6:$L$11,T7,$I$6:$I$11))</f>
        <v>138.05000000000001</v>
      </c>
      <c r="T7" s="643" t="s">
        <v>409</v>
      </c>
    </row>
    <row r="8" spans="1:20" s="153" customFormat="1" ht="13.15" customHeight="1" x14ac:dyDescent="0.2">
      <c r="A8" s="294" t="s">
        <v>425</v>
      </c>
      <c r="B8" s="288"/>
      <c r="C8" s="288"/>
      <c r="D8" s="288"/>
      <c r="E8" s="288"/>
      <c r="F8" s="288"/>
      <c r="G8" s="288"/>
      <c r="H8" s="154" t="str">
        <f t="shared" si="0"/>
        <v/>
      </c>
      <c r="I8" s="154" t="str">
        <f>IF(C8="","",IF(F8&gt;0,F8*H8,F8*-H8))</f>
        <v/>
      </c>
      <c r="J8" s="154" t="str">
        <f t="shared" si="1"/>
        <v/>
      </c>
      <c r="K8" s="154" t="str">
        <f>IF(C8="","",IF(F8&gt;0,J8*F8,-J8*F8))</f>
        <v/>
      </c>
      <c r="L8" s="259"/>
      <c r="M8" s="154"/>
      <c r="N8" s="155"/>
      <c r="P8" s="220">
        <f>IF(Q8="","",SUMIF($L$6:$L$11,Q8,$K$6:$K$11))</f>
        <v>26.8</v>
      </c>
      <c r="Q8" s="642" t="s">
        <v>410</v>
      </c>
      <c r="R8" s="12"/>
      <c r="S8" s="220">
        <f>IF(T8="","",SUMIF($L$6:$L$11,T8,$I$6:$I$11))</f>
        <v>138.05000000000001</v>
      </c>
      <c r="T8" s="642" t="s">
        <v>410</v>
      </c>
    </row>
    <row r="9" spans="1:20" s="153" customFormat="1" ht="13.15" customHeight="1" x14ac:dyDescent="0.2">
      <c r="A9" s="291" t="s">
        <v>419</v>
      </c>
      <c r="B9" s="292"/>
      <c r="C9" s="156"/>
      <c r="D9" s="156"/>
      <c r="E9" s="156"/>
      <c r="F9" s="162"/>
      <c r="G9" s="225">
        <v>1</v>
      </c>
      <c r="H9" s="158" t="str">
        <f t="shared" si="0"/>
        <v/>
      </c>
      <c r="I9" s="221">
        <v>138.05000000000001</v>
      </c>
      <c r="J9" s="158" t="str">
        <f t="shared" si="1"/>
        <v/>
      </c>
      <c r="K9" s="222">
        <v>26.8</v>
      </c>
      <c r="L9" s="252" t="s">
        <v>410</v>
      </c>
      <c r="M9" s="229" t="s">
        <v>62</v>
      </c>
      <c r="N9" s="226"/>
      <c r="P9" s="220">
        <f>IF(Q9="","",SUMIF($L$6:$L$11,Q9,$K$6:$K$11))</f>
        <v>26.8</v>
      </c>
      <c r="Q9" s="643" t="s">
        <v>431</v>
      </c>
      <c r="R9" s="12"/>
      <c r="S9" s="220">
        <f>IF(T9="","",SUMIF($L$6:$L$11,T9,$I$6:$I$11))</f>
        <v>138.05000000000001</v>
      </c>
      <c r="T9" s="643" t="s">
        <v>431</v>
      </c>
    </row>
    <row r="10" spans="1:20" s="153" customFormat="1" ht="13.15" customHeight="1" x14ac:dyDescent="0.2">
      <c r="A10" s="294" t="s">
        <v>494</v>
      </c>
      <c r="B10" s="288"/>
      <c r="C10" s="288"/>
      <c r="D10" s="288"/>
      <c r="E10" s="288"/>
      <c r="F10" s="288"/>
      <c r="G10" s="288"/>
      <c r="H10" s="154" t="str">
        <f t="shared" si="0"/>
        <v/>
      </c>
      <c r="I10" s="639" t="str">
        <f>IF(C10="","",IF(F10&gt;0,F10*H10,F10*-H10))</f>
        <v/>
      </c>
      <c r="J10" s="154" t="str">
        <f t="shared" si="1"/>
        <v/>
      </c>
      <c r="K10" s="639" t="str">
        <f>IF(C10="","",IF(F10&gt;0,J10*F10,-J10*F10))</f>
        <v/>
      </c>
      <c r="L10" s="259"/>
      <c r="M10" s="154"/>
      <c r="N10" s="155"/>
      <c r="P10" s="260">
        <f>SUM(P7:P9)</f>
        <v>81.599999999999994</v>
      </c>
      <c r="Q10" s="251" t="str">
        <f>IF(K12=P10,"OK","Conferir")</f>
        <v>OK</v>
      </c>
      <c r="R10" s="12"/>
      <c r="S10" s="123">
        <f>SUM(S7:S9)</f>
        <v>414.15000000000003</v>
      </c>
      <c r="T10" s="141" t="str">
        <f>IF(I12=S10,"OK","Conferir")</f>
        <v>OK</v>
      </c>
    </row>
    <row r="11" spans="1:20" s="153" customFormat="1" ht="13.15" customHeight="1" thickBot="1" x14ac:dyDescent="0.25">
      <c r="A11" s="291" t="s">
        <v>419</v>
      </c>
      <c r="B11" s="292"/>
      <c r="C11" s="156"/>
      <c r="D11" s="156"/>
      <c r="E11" s="156"/>
      <c r="F11" s="162"/>
      <c r="G11" s="225">
        <v>1</v>
      </c>
      <c r="H11" s="158" t="str">
        <f t="shared" si="0"/>
        <v/>
      </c>
      <c r="I11" s="221">
        <v>138.05000000000001</v>
      </c>
      <c r="J11" s="158" t="str">
        <f t="shared" si="1"/>
        <v/>
      </c>
      <c r="K11" s="222">
        <v>26.8</v>
      </c>
      <c r="L11" s="252" t="s">
        <v>431</v>
      </c>
      <c r="M11" s="229" t="s">
        <v>62</v>
      </c>
      <c r="N11" s="226"/>
      <c r="P11" s="207"/>
      <c r="Q11" s="207"/>
      <c r="R11" s="12"/>
    </row>
    <row r="12" spans="1:20" s="153" customFormat="1" ht="13.15" customHeight="1" thickTop="1" thickBot="1" x14ac:dyDescent="0.25">
      <c r="A12" s="231"/>
      <c r="B12" s="232" t="s">
        <v>9</v>
      </c>
      <c r="C12" s="139">
        <f>SUMPRODUCT(C6:C11,F6:F11)</f>
        <v>0</v>
      </c>
      <c r="D12" s="139"/>
      <c r="E12" s="139"/>
      <c r="F12" s="139"/>
      <c r="G12" s="139"/>
      <c r="H12" s="139"/>
      <c r="I12" s="139">
        <f>SUM(I6:I11)</f>
        <v>414.15000000000003</v>
      </c>
      <c r="J12" s="139"/>
      <c r="K12" s="139">
        <f>SUM(K6:K11)</f>
        <v>81.599999999999994</v>
      </c>
      <c r="L12" s="208"/>
      <c r="M12" s="139"/>
      <c r="N12" s="209"/>
      <c r="P12" s="207"/>
      <c r="Q12" s="207"/>
      <c r="R12" s="12"/>
    </row>
    <row r="13" spans="1:20" s="153" customFormat="1" ht="13.15" customHeight="1" thickTop="1" thickBot="1" x14ac:dyDescent="0.25">
      <c r="A13" s="161"/>
      <c r="B13" s="212"/>
      <c r="C13" s="161"/>
      <c r="D13" s="161"/>
      <c r="E13" s="161"/>
      <c r="F13" s="161"/>
      <c r="G13" s="161"/>
      <c r="H13" s="161"/>
      <c r="I13" s="210"/>
      <c r="J13" s="210"/>
      <c r="K13" s="210"/>
      <c r="L13" s="211"/>
      <c r="M13" s="210"/>
      <c r="N13" s="210"/>
      <c r="P13" s="207"/>
      <c r="Q13" s="207"/>
      <c r="R13" s="12"/>
      <c r="S13" s="227"/>
      <c r="T13" s="227"/>
    </row>
    <row r="14" spans="1:20" s="153" customFormat="1" ht="13.15" customHeight="1" thickTop="1" thickBot="1" x14ac:dyDescent="0.25">
      <c r="A14" s="205"/>
      <c r="B14" s="206"/>
      <c r="C14" s="136"/>
      <c r="D14" s="136"/>
      <c r="E14" s="137"/>
      <c r="F14" s="136"/>
      <c r="G14" s="138"/>
      <c r="H14" s="137"/>
      <c r="I14" s="139"/>
      <c r="J14" s="137"/>
      <c r="K14" s="136"/>
      <c r="L14" s="206"/>
      <c r="M14" s="137"/>
      <c r="N14" s="140"/>
      <c r="P14" s="207"/>
      <c r="Q14" s="207"/>
      <c r="R14" s="12"/>
    </row>
    <row r="15" spans="1:20" s="153" customFormat="1" ht="13.15" customHeight="1" thickTop="1" x14ac:dyDescent="0.2">
      <c r="A15" s="12"/>
      <c r="B15" s="25"/>
      <c r="C15" s="12"/>
      <c r="D15" s="39"/>
      <c r="E15" s="39"/>
      <c r="F15" s="17"/>
      <c r="G15" s="17"/>
      <c r="H15" s="17"/>
      <c r="I15" s="81"/>
      <c r="J15" s="81"/>
      <c r="K15" s="81"/>
      <c r="L15" s="152"/>
      <c r="M15" s="81"/>
      <c r="N15" s="81"/>
      <c r="P15" s="207"/>
      <c r="Q15" s="207"/>
      <c r="R15" s="12"/>
    </row>
    <row r="16" spans="1:20" s="153" customFormat="1" ht="13.15" customHeight="1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25"/>
      <c r="M16" s="12"/>
      <c r="N16" s="19"/>
      <c r="P16" s="207"/>
      <c r="Q16" s="207"/>
      <c r="R16" s="12"/>
    </row>
    <row r="17" spans="1:20" s="227" customFormat="1" ht="12.75" customHeight="1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25"/>
      <c r="M17" s="12"/>
      <c r="N17" s="19"/>
      <c r="P17" s="207"/>
      <c r="Q17" s="207"/>
      <c r="R17" s="12"/>
      <c r="S17" s="153"/>
      <c r="T17" s="153"/>
    </row>
    <row r="18" spans="1:20" s="153" customFormat="1" ht="13.15" customHeight="1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25"/>
      <c r="M18" s="12"/>
      <c r="N18" s="19"/>
      <c r="P18" s="207"/>
      <c r="Q18" s="207"/>
      <c r="R18" s="12"/>
    </row>
    <row r="19" spans="1:20" s="153" customFormat="1" ht="13.15" customHeight="1" x14ac:dyDescent="0.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25"/>
      <c r="M19" s="12"/>
      <c r="N19" s="19"/>
      <c r="P19" s="207"/>
      <c r="Q19" s="207"/>
      <c r="R19" s="12"/>
      <c r="S19" s="227"/>
      <c r="T19" s="227"/>
    </row>
    <row r="20" spans="1:20" s="153" customFormat="1" ht="13.15" customHeight="1" x14ac:dyDescent="0.2">
      <c r="A20" s="12"/>
      <c r="B20" s="25"/>
      <c r="C20" s="12"/>
      <c r="D20" s="12"/>
      <c r="E20" s="12"/>
      <c r="F20" s="12"/>
      <c r="G20" s="12"/>
      <c r="H20" s="12"/>
      <c r="I20" s="12"/>
      <c r="J20" s="12"/>
      <c r="K20" s="12"/>
      <c r="L20" s="25"/>
      <c r="M20" s="12"/>
      <c r="N20" s="12"/>
      <c r="P20" s="207"/>
      <c r="Q20" s="207"/>
      <c r="R20" s="12"/>
      <c r="S20" s="227"/>
      <c r="T20" s="227"/>
    </row>
    <row r="21" spans="1:20" s="153" customFormat="1" ht="13.15" customHeight="1" x14ac:dyDescent="0.2">
      <c r="A21" s="12"/>
      <c r="B21" s="25"/>
      <c r="C21" s="12"/>
      <c r="D21" s="12"/>
      <c r="E21" s="12"/>
      <c r="F21" s="12"/>
      <c r="G21" s="12"/>
      <c r="H21" s="12"/>
      <c r="I21" s="12"/>
      <c r="J21" s="12"/>
      <c r="K21" s="12"/>
      <c r="L21" s="25"/>
      <c r="M21" s="12"/>
      <c r="N21" s="12"/>
      <c r="P21" s="207"/>
      <c r="Q21" s="207"/>
      <c r="R21" s="12"/>
      <c r="S21" s="227"/>
      <c r="T21" s="227"/>
    </row>
    <row r="22" spans="1:20" s="153" customFormat="1" ht="13.15" customHeight="1" x14ac:dyDescent="0.2">
      <c r="A22" s="12"/>
      <c r="B22" s="25"/>
      <c r="C22" s="12"/>
      <c r="D22" s="12"/>
      <c r="E22" s="12"/>
      <c r="F22" s="12"/>
      <c r="G22" s="12"/>
      <c r="H22" s="12"/>
      <c r="I22" s="12"/>
      <c r="J22" s="12"/>
      <c r="K22" s="12"/>
      <c r="L22" s="25"/>
      <c r="M22" s="12"/>
      <c r="N22" s="12"/>
      <c r="P22" s="207"/>
      <c r="Q22" s="207"/>
      <c r="R22" s="12"/>
    </row>
    <row r="23" spans="1:20" s="227" customFormat="1" ht="13.15" customHeight="1" x14ac:dyDescent="0.2">
      <c r="A23" s="12"/>
      <c r="B23" s="25"/>
      <c r="C23" s="12"/>
      <c r="D23" s="12"/>
      <c r="E23" s="12"/>
      <c r="F23" s="12"/>
      <c r="G23" s="12"/>
      <c r="H23" s="12"/>
      <c r="I23" s="12"/>
      <c r="J23" s="12"/>
      <c r="K23" s="12"/>
      <c r="L23" s="25"/>
      <c r="M23" s="12"/>
      <c r="N23" s="12"/>
      <c r="O23" s="230"/>
      <c r="P23" s="207"/>
      <c r="Q23" s="207"/>
      <c r="R23" s="12"/>
      <c r="S23" s="153"/>
      <c r="T23" s="153"/>
    </row>
    <row r="24" spans="1:20" s="227" customFormat="1" ht="13.15" customHeight="1" x14ac:dyDescent="0.2">
      <c r="A24" s="12"/>
      <c r="B24" s="25"/>
      <c r="C24" s="12"/>
      <c r="D24" s="12"/>
      <c r="E24" s="12"/>
      <c r="F24" s="12"/>
      <c r="G24" s="12"/>
      <c r="H24" s="12"/>
      <c r="I24" s="12"/>
      <c r="J24" s="12"/>
      <c r="K24" s="12"/>
      <c r="L24" s="25"/>
      <c r="M24" s="12"/>
      <c r="N24" s="12"/>
      <c r="P24" s="207"/>
      <c r="Q24" s="207"/>
      <c r="R24" s="12"/>
      <c r="S24" s="153"/>
      <c r="T24" s="153"/>
    </row>
    <row r="25" spans="1:20" s="227" customFormat="1" ht="13.15" customHeight="1" x14ac:dyDescent="0.2">
      <c r="A25" s="12"/>
      <c r="B25" s="25"/>
      <c r="C25" s="12"/>
      <c r="D25" s="12"/>
      <c r="E25" s="12"/>
      <c r="F25" s="12"/>
      <c r="G25" s="12"/>
      <c r="H25" s="12"/>
      <c r="I25" s="12"/>
      <c r="J25" s="12"/>
      <c r="K25" s="12"/>
      <c r="L25" s="25"/>
      <c r="M25" s="12"/>
      <c r="N25" s="12"/>
      <c r="P25" s="207"/>
      <c r="Q25" s="207"/>
      <c r="R25" s="12"/>
      <c r="S25" s="153"/>
      <c r="T25" s="153"/>
    </row>
    <row r="26" spans="1:20" s="153" customFormat="1" ht="13.15" customHeight="1" x14ac:dyDescent="0.2">
      <c r="A26" s="12"/>
      <c r="B26" s="25"/>
      <c r="C26" s="12"/>
      <c r="D26" s="12"/>
      <c r="E26" s="12"/>
      <c r="F26" s="12"/>
      <c r="G26" s="12"/>
      <c r="H26" s="12"/>
      <c r="I26" s="12"/>
      <c r="J26" s="12"/>
      <c r="K26" s="12"/>
      <c r="L26" s="25"/>
      <c r="M26" s="12"/>
      <c r="N26" s="12"/>
      <c r="P26" s="207"/>
      <c r="R26" s="12"/>
    </row>
    <row r="27" spans="1:20" s="153" customFormat="1" ht="13.15" customHeight="1" x14ac:dyDescent="0.2">
      <c r="A27" s="12"/>
      <c r="B27" s="25"/>
      <c r="C27" s="12"/>
      <c r="D27" s="12"/>
      <c r="E27" s="12"/>
      <c r="F27" s="12"/>
      <c r="G27" s="12"/>
      <c r="H27" s="12"/>
      <c r="I27" s="12"/>
      <c r="J27" s="12"/>
      <c r="K27" s="12"/>
      <c r="L27" s="25"/>
      <c r="M27" s="12"/>
      <c r="N27" s="12"/>
      <c r="P27" s="19"/>
      <c r="Q27" s="19"/>
      <c r="R27" s="12"/>
      <c r="S27" s="12"/>
      <c r="T27" s="12"/>
    </row>
    <row r="28" spans="1:20" s="153" customFormat="1" ht="13.15" customHeight="1" x14ac:dyDescent="0.2">
      <c r="A28" s="12"/>
      <c r="B28" s="25"/>
      <c r="C28" s="12"/>
      <c r="D28" s="12"/>
      <c r="E28" s="12"/>
      <c r="F28" s="12"/>
      <c r="G28" s="12"/>
      <c r="H28" s="12"/>
      <c r="I28" s="12"/>
      <c r="J28" s="12"/>
      <c r="K28" s="12"/>
      <c r="L28" s="25"/>
      <c r="M28" s="12"/>
      <c r="N28" s="12"/>
      <c r="O28" s="165"/>
      <c r="P28" s="12"/>
      <c r="Q28" s="19"/>
      <c r="R28" s="12"/>
      <c r="S28" s="12"/>
      <c r="T28" s="12"/>
    </row>
    <row r="29" spans="1:20" s="153" customFormat="1" ht="27" customHeight="1" x14ac:dyDescent="0.2">
      <c r="A29" s="12"/>
      <c r="B29" s="25"/>
      <c r="C29" s="12"/>
      <c r="D29" s="12"/>
      <c r="E29" s="12"/>
      <c r="F29" s="12"/>
      <c r="G29" s="12"/>
      <c r="H29" s="12"/>
      <c r="I29" s="12"/>
      <c r="J29" s="12"/>
      <c r="K29" s="12"/>
      <c r="L29" s="25"/>
      <c r="M29" s="12"/>
      <c r="N29" s="12"/>
      <c r="P29" s="19"/>
      <c r="Q29" s="19"/>
      <c r="R29" s="12"/>
      <c r="S29" s="12"/>
      <c r="T29" s="12"/>
    </row>
    <row r="30" spans="1:20" s="153" customFormat="1" ht="13.15" customHeight="1" x14ac:dyDescent="0.2">
      <c r="A30" s="12"/>
      <c r="B30" s="25"/>
      <c r="C30" s="12"/>
      <c r="D30" s="12"/>
      <c r="E30" s="12"/>
      <c r="F30" s="12"/>
      <c r="G30" s="12"/>
      <c r="H30" s="12"/>
      <c r="I30" s="12"/>
      <c r="J30" s="12"/>
      <c r="K30" s="12"/>
      <c r="L30" s="25"/>
      <c r="M30" s="12"/>
      <c r="N30" s="12"/>
      <c r="O30" s="207"/>
      <c r="P30" s="19"/>
      <c r="Q30" s="19"/>
      <c r="R30" s="12"/>
      <c r="S30" s="12"/>
      <c r="T30" s="12"/>
    </row>
    <row r="31" spans="1:20" ht="13.15" customHeight="1" x14ac:dyDescent="0.2"/>
    <row r="32" spans="1:20" ht="15" customHeight="1" x14ac:dyDescent="0.2">
      <c r="O32" s="81"/>
    </row>
    <row r="34" spans="16:17" x14ac:dyDescent="0.2">
      <c r="P34" s="12"/>
      <c r="Q34" s="12"/>
    </row>
    <row r="35" spans="16:17" x14ac:dyDescent="0.2">
      <c r="P35" s="12"/>
      <c r="Q35" s="12"/>
    </row>
    <row r="36" spans="16:17" x14ac:dyDescent="0.2">
      <c r="P36" s="12"/>
      <c r="Q36" s="12"/>
    </row>
    <row r="37" spans="16:17" x14ac:dyDescent="0.2">
      <c r="P37" s="12"/>
      <c r="Q37" s="12"/>
    </row>
    <row r="38" spans="16:17" x14ac:dyDescent="0.2">
      <c r="P38" s="12"/>
      <c r="Q38" s="12"/>
    </row>
    <row r="39" spans="16:17" x14ac:dyDescent="0.2">
      <c r="P39" s="12"/>
      <c r="Q39" s="12"/>
    </row>
    <row r="40" spans="16:17" x14ac:dyDescent="0.2">
      <c r="P40" s="12"/>
      <c r="Q40" s="12"/>
    </row>
    <row r="41" spans="16:17" x14ac:dyDescent="0.2">
      <c r="P41" s="12"/>
      <c r="Q41" s="12"/>
    </row>
    <row r="42" spans="16:17" x14ac:dyDescent="0.2">
      <c r="P42" s="12"/>
      <c r="Q42" s="12"/>
    </row>
    <row r="43" spans="16:17" x14ac:dyDescent="0.2">
      <c r="P43" s="12"/>
      <c r="Q43" s="12"/>
    </row>
    <row r="44" spans="16:17" x14ac:dyDescent="0.2">
      <c r="P44" s="12"/>
      <c r="Q44" s="12"/>
    </row>
    <row r="45" spans="16:17" x14ac:dyDescent="0.2">
      <c r="P45" s="12"/>
      <c r="Q45" s="12"/>
    </row>
    <row r="46" spans="16:17" x14ac:dyDescent="0.2">
      <c r="P46" s="12"/>
      <c r="Q46" s="12"/>
    </row>
  </sheetData>
  <mergeCells count="8">
    <mergeCell ref="P4:Q4"/>
    <mergeCell ref="S4:T4"/>
    <mergeCell ref="A4:A5"/>
    <mergeCell ref="B4:B5"/>
    <mergeCell ref="C4:F4"/>
    <mergeCell ref="G4:I4"/>
    <mergeCell ref="J4:L4"/>
    <mergeCell ref="N4:N5"/>
  </mergeCells>
  <dataValidations count="1">
    <dataValidation type="list" allowBlank="1" showInputMessage="1" showErrorMessage="1" sqref="L6:L11" xr:uid="{00000000-0002-0000-1700-000000000000}">
      <formula1>$Q$7:$Q$9</formula1>
    </dataValidation>
  </dataValidations>
  <printOptions horizontalCentered="1"/>
  <pageMargins left="0.39370078740157483" right="0" top="0.39370078740157483" bottom="0.39370078740157483" header="0.51181102362204722" footer="0.19685039370078741"/>
  <pageSetup paperSize="9" scale="47" orientation="portrait" r:id="rId1"/>
  <headerFooter alignWithMargins="0">
    <oddFooter>&amp;L&amp;8&amp;F - &amp;A&amp;R&amp;8&amp;P / &amp;N</oddFooter>
  </headerFooter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Planilha24">
    <tabColor theme="1"/>
    <pageSetUpPr fitToPage="1"/>
  </sheetPr>
  <dimension ref="A1:X78"/>
  <sheetViews>
    <sheetView showGridLines="0" view="pageBreakPreview" zoomScale="90" zoomScaleNormal="100" zoomScaleSheetLayoutView="90" workbookViewId="0">
      <pane ySplit="6" topLeftCell="A34" activePane="bottomLeft" state="frozen"/>
      <selection activeCell="B18" sqref="B18:E18"/>
      <selection pane="bottomLeft" activeCell="J59" sqref="J59"/>
    </sheetView>
  </sheetViews>
  <sheetFormatPr defaultColWidth="9.140625" defaultRowHeight="12.75" x14ac:dyDescent="0.2"/>
  <cols>
    <col min="1" max="1" width="17.7109375" style="12" customWidth="1"/>
    <col min="2" max="2" width="15" style="12" customWidth="1"/>
    <col min="3" max="11" width="7.140625" style="12" customWidth="1"/>
    <col min="12" max="17" width="9.7109375" style="12" customWidth="1"/>
    <col min="18" max="18" width="15.28515625" style="25" bestFit="1" customWidth="1"/>
    <col min="19" max="19" width="3" style="12" customWidth="1"/>
    <col min="20" max="20" width="7.5703125" style="19" bestFit="1" customWidth="1"/>
    <col min="21" max="21" width="18.42578125" style="19" bestFit="1" customWidth="1"/>
    <col min="22" max="22" width="3.140625" style="12" customWidth="1"/>
    <col min="23" max="23" width="9.28515625" style="12" bestFit="1" customWidth="1"/>
    <col min="24" max="24" width="18.42578125" style="12" bestFit="1" customWidth="1"/>
    <col min="25" max="256" width="9.140625" style="12"/>
    <col min="257" max="257" width="12.7109375" style="12" bestFit="1" customWidth="1"/>
    <col min="258" max="258" width="14.5703125" style="12" customWidth="1"/>
    <col min="259" max="267" width="6.7109375" style="12" customWidth="1"/>
    <col min="268" max="269" width="9.140625" style="12"/>
    <col min="270" max="270" width="9.85546875" style="12" bestFit="1" customWidth="1"/>
    <col min="271" max="271" width="9.140625" style="12"/>
    <col min="272" max="272" width="10.140625" style="12" bestFit="1" customWidth="1"/>
    <col min="273" max="512" width="9.140625" style="12"/>
    <col min="513" max="513" width="12.7109375" style="12" bestFit="1" customWidth="1"/>
    <col min="514" max="514" width="14.5703125" style="12" customWidth="1"/>
    <col min="515" max="523" width="6.7109375" style="12" customWidth="1"/>
    <col min="524" max="525" width="9.140625" style="12"/>
    <col min="526" max="526" width="9.85546875" style="12" bestFit="1" customWidth="1"/>
    <col min="527" max="527" width="9.140625" style="12"/>
    <col min="528" max="528" width="10.140625" style="12" bestFit="1" customWidth="1"/>
    <col min="529" max="768" width="9.140625" style="12"/>
    <col min="769" max="769" width="12.7109375" style="12" bestFit="1" customWidth="1"/>
    <col min="770" max="770" width="14.5703125" style="12" customWidth="1"/>
    <col min="771" max="779" width="6.7109375" style="12" customWidth="1"/>
    <col min="780" max="781" width="9.140625" style="12"/>
    <col min="782" max="782" width="9.85546875" style="12" bestFit="1" customWidth="1"/>
    <col min="783" max="783" width="9.140625" style="12"/>
    <col min="784" max="784" width="10.140625" style="12" bestFit="1" customWidth="1"/>
    <col min="785" max="1024" width="9.140625" style="12"/>
    <col min="1025" max="1025" width="12.7109375" style="12" bestFit="1" customWidth="1"/>
    <col min="1026" max="1026" width="14.5703125" style="12" customWidth="1"/>
    <col min="1027" max="1035" width="6.7109375" style="12" customWidth="1"/>
    <col min="1036" max="1037" width="9.140625" style="12"/>
    <col min="1038" max="1038" width="9.85546875" style="12" bestFit="1" customWidth="1"/>
    <col min="1039" max="1039" width="9.140625" style="12"/>
    <col min="1040" max="1040" width="10.140625" style="12" bestFit="1" customWidth="1"/>
    <col min="1041" max="1280" width="9.140625" style="12"/>
    <col min="1281" max="1281" width="12.7109375" style="12" bestFit="1" customWidth="1"/>
    <col min="1282" max="1282" width="14.5703125" style="12" customWidth="1"/>
    <col min="1283" max="1291" width="6.7109375" style="12" customWidth="1"/>
    <col min="1292" max="1293" width="9.140625" style="12"/>
    <col min="1294" max="1294" width="9.85546875" style="12" bestFit="1" customWidth="1"/>
    <col min="1295" max="1295" width="9.140625" style="12"/>
    <col min="1296" max="1296" width="10.140625" style="12" bestFit="1" customWidth="1"/>
    <col min="1297" max="1536" width="9.140625" style="12"/>
    <col min="1537" max="1537" width="12.7109375" style="12" bestFit="1" customWidth="1"/>
    <col min="1538" max="1538" width="14.5703125" style="12" customWidth="1"/>
    <col min="1539" max="1547" width="6.7109375" style="12" customWidth="1"/>
    <col min="1548" max="1549" width="9.140625" style="12"/>
    <col min="1550" max="1550" width="9.85546875" style="12" bestFit="1" customWidth="1"/>
    <col min="1551" max="1551" width="9.140625" style="12"/>
    <col min="1552" max="1552" width="10.140625" style="12" bestFit="1" customWidth="1"/>
    <col min="1553" max="1792" width="9.140625" style="12"/>
    <col min="1793" max="1793" width="12.7109375" style="12" bestFit="1" customWidth="1"/>
    <col min="1794" max="1794" width="14.5703125" style="12" customWidth="1"/>
    <col min="1795" max="1803" width="6.7109375" style="12" customWidth="1"/>
    <col min="1804" max="1805" width="9.140625" style="12"/>
    <col min="1806" max="1806" width="9.85546875" style="12" bestFit="1" customWidth="1"/>
    <col min="1807" max="1807" width="9.140625" style="12"/>
    <col min="1808" max="1808" width="10.140625" style="12" bestFit="1" customWidth="1"/>
    <col min="1809" max="2048" width="9.140625" style="12"/>
    <col min="2049" max="2049" width="12.7109375" style="12" bestFit="1" customWidth="1"/>
    <col min="2050" max="2050" width="14.5703125" style="12" customWidth="1"/>
    <col min="2051" max="2059" width="6.7109375" style="12" customWidth="1"/>
    <col min="2060" max="2061" width="9.140625" style="12"/>
    <col min="2062" max="2062" width="9.85546875" style="12" bestFit="1" customWidth="1"/>
    <col min="2063" max="2063" width="9.140625" style="12"/>
    <col min="2064" max="2064" width="10.140625" style="12" bestFit="1" customWidth="1"/>
    <col min="2065" max="2304" width="9.140625" style="12"/>
    <col min="2305" max="2305" width="12.7109375" style="12" bestFit="1" customWidth="1"/>
    <col min="2306" max="2306" width="14.5703125" style="12" customWidth="1"/>
    <col min="2307" max="2315" width="6.7109375" style="12" customWidth="1"/>
    <col min="2316" max="2317" width="9.140625" style="12"/>
    <col min="2318" max="2318" width="9.85546875" style="12" bestFit="1" customWidth="1"/>
    <col min="2319" max="2319" width="9.140625" style="12"/>
    <col min="2320" max="2320" width="10.140625" style="12" bestFit="1" customWidth="1"/>
    <col min="2321" max="2560" width="9.140625" style="12"/>
    <col min="2561" max="2561" width="12.7109375" style="12" bestFit="1" customWidth="1"/>
    <col min="2562" max="2562" width="14.5703125" style="12" customWidth="1"/>
    <col min="2563" max="2571" width="6.7109375" style="12" customWidth="1"/>
    <col min="2572" max="2573" width="9.140625" style="12"/>
    <col min="2574" max="2574" width="9.85546875" style="12" bestFit="1" customWidth="1"/>
    <col min="2575" max="2575" width="9.140625" style="12"/>
    <col min="2576" max="2576" width="10.140625" style="12" bestFit="1" customWidth="1"/>
    <col min="2577" max="2816" width="9.140625" style="12"/>
    <col min="2817" max="2817" width="12.7109375" style="12" bestFit="1" customWidth="1"/>
    <col min="2818" max="2818" width="14.5703125" style="12" customWidth="1"/>
    <col min="2819" max="2827" width="6.7109375" style="12" customWidth="1"/>
    <col min="2828" max="2829" width="9.140625" style="12"/>
    <col min="2830" max="2830" width="9.85546875" style="12" bestFit="1" customWidth="1"/>
    <col min="2831" max="2831" width="9.140625" style="12"/>
    <col min="2832" max="2832" width="10.140625" style="12" bestFit="1" customWidth="1"/>
    <col min="2833" max="3072" width="9.140625" style="12"/>
    <col min="3073" max="3073" width="12.7109375" style="12" bestFit="1" customWidth="1"/>
    <col min="3074" max="3074" width="14.5703125" style="12" customWidth="1"/>
    <col min="3075" max="3083" width="6.7109375" style="12" customWidth="1"/>
    <col min="3084" max="3085" width="9.140625" style="12"/>
    <col min="3086" max="3086" width="9.85546875" style="12" bestFit="1" customWidth="1"/>
    <col min="3087" max="3087" width="9.140625" style="12"/>
    <col min="3088" max="3088" width="10.140625" style="12" bestFit="1" customWidth="1"/>
    <col min="3089" max="3328" width="9.140625" style="12"/>
    <col min="3329" max="3329" width="12.7109375" style="12" bestFit="1" customWidth="1"/>
    <col min="3330" max="3330" width="14.5703125" style="12" customWidth="1"/>
    <col min="3331" max="3339" width="6.7109375" style="12" customWidth="1"/>
    <col min="3340" max="3341" width="9.140625" style="12"/>
    <col min="3342" max="3342" width="9.85546875" style="12" bestFit="1" customWidth="1"/>
    <col min="3343" max="3343" width="9.140625" style="12"/>
    <col min="3344" max="3344" width="10.140625" style="12" bestFit="1" customWidth="1"/>
    <col min="3345" max="3584" width="9.140625" style="12"/>
    <col min="3585" max="3585" width="12.7109375" style="12" bestFit="1" customWidth="1"/>
    <col min="3586" max="3586" width="14.5703125" style="12" customWidth="1"/>
    <col min="3587" max="3595" width="6.7109375" style="12" customWidth="1"/>
    <col min="3596" max="3597" width="9.140625" style="12"/>
    <col min="3598" max="3598" width="9.85546875" style="12" bestFit="1" customWidth="1"/>
    <col min="3599" max="3599" width="9.140625" style="12"/>
    <col min="3600" max="3600" width="10.140625" style="12" bestFit="1" customWidth="1"/>
    <col min="3601" max="3840" width="9.140625" style="12"/>
    <col min="3841" max="3841" width="12.7109375" style="12" bestFit="1" customWidth="1"/>
    <col min="3842" max="3842" width="14.5703125" style="12" customWidth="1"/>
    <col min="3843" max="3851" width="6.7109375" style="12" customWidth="1"/>
    <col min="3852" max="3853" width="9.140625" style="12"/>
    <col min="3854" max="3854" width="9.85546875" style="12" bestFit="1" customWidth="1"/>
    <col min="3855" max="3855" width="9.140625" style="12"/>
    <col min="3856" max="3856" width="10.140625" style="12" bestFit="1" customWidth="1"/>
    <col min="3857" max="4096" width="9.140625" style="12"/>
    <col min="4097" max="4097" width="12.7109375" style="12" bestFit="1" customWidth="1"/>
    <col min="4098" max="4098" width="14.5703125" style="12" customWidth="1"/>
    <col min="4099" max="4107" width="6.7109375" style="12" customWidth="1"/>
    <col min="4108" max="4109" width="9.140625" style="12"/>
    <col min="4110" max="4110" width="9.85546875" style="12" bestFit="1" customWidth="1"/>
    <col min="4111" max="4111" width="9.140625" style="12"/>
    <col min="4112" max="4112" width="10.140625" style="12" bestFit="1" customWidth="1"/>
    <col min="4113" max="4352" width="9.140625" style="12"/>
    <col min="4353" max="4353" width="12.7109375" style="12" bestFit="1" customWidth="1"/>
    <col min="4354" max="4354" width="14.5703125" style="12" customWidth="1"/>
    <col min="4355" max="4363" width="6.7109375" style="12" customWidth="1"/>
    <col min="4364" max="4365" width="9.140625" style="12"/>
    <col min="4366" max="4366" width="9.85546875" style="12" bestFit="1" customWidth="1"/>
    <col min="4367" max="4367" width="9.140625" style="12"/>
    <col min="4368" max="4368" width="10.140625" style="12" bestFit="1" customWidth="1"/>
    <col min="4369" max="4608" width="9.140625" style="12"/>
    <col min="4609" max="4609" width="12.7109375" style="12" bestFit="1" customWidth="1"/>
    <col min="4610" max="4610" width="14.5703125" style="12" customWidth="1"/>
    <col min="4611" max="4619" width="6.7109375" style="12" customWidth="1"/>
    <col min="4620" max="4621" width="9.140625" style="12"/>
    <col min="4622" max="4622" width="9.85546875" style="12" bestFit="1" customWidth="1"/>
    <col min="4623" max="4623" width="9.140625" style="12"/>
    <col min="4624" max="4624" width="10.140625" style="12" bestFit="1" customWidth="1"/>
    <col min="4625" max="4864" width="9.140625" style="12"/>
    <col min="4865" max="4865" width="12.7109375" style="12" bestFit="1" customWidth="1"/>
    <col min="4866" max="4866" width="14.5703125" style="12" customWidth="1"/>
    <col min="4867" max="4875" width="6.7109375" style="12" customWidth="1"/>
    <col min="4876" max="4877" width="9.140625" style="12"/>
    <col min="4878" max="4878" width="9.85546875" style="12" bestFit="1" customWidth="1"/>
    <col min="4879" max="4879" width="9.140625" style="12"/>
    <col min="4880" max="4880" width="10.140625" style="12" bestFit="1" customWidth="1"/>
    <col min="4881" max="5120" width="9.140625" style="12"/>
    <col min="5121" max="5121" width="12.7109375" style="12" bestFit="1" customWidth="1"/>
    <col min="5122" max="5122" width="14.5703125" style="12" customWidth="1"/>
    <col min="5123" max="5131" width="6.7109375" style="12" customWidth="1"/>
    <col min="5132" max="5133" width="9.140625" style="12"/>
    <col min="5134" max="5134" width="9.85546875" style="12" bestFit="1" customWidth="1"/>
    <col min="5135" max="5135" width="9.140625" style="12"/>
    <col min="5136" max="5136" width="10.140625" style="12" bestFit="1" customWidth="1"/>
    <col min="5137" max="5376" width="9.140625" style="12"/>
    <col min="5377" max="5377" width="12.7109375" style="12" bestFit="1" customWidth="1"/>
    <col min="5378" max="5378" width="14.5703125" style="12" customWidth="1"/>
    <col min="5379" max="5387" width="6.7109375" style="12" customWidth="1"/>
    <col min="5388" max="5389" width="9.140625" style="12"/>
    <col min="5390" max="5390" width="9.85546875" style="12" bestFit="1" customWidth="1"/>
    <col min="5391" max="5391" width="9.140625" style="12"/>
    <col min="5392" max="5392" width="10.140625" style="12" bestFit="1" customWidth="1"/>
    <col min="5393" max="5632" width="9.140625" style="12"/>
    <col min="5633" max="5633" width="12.7109375" style="12" bestFit="1" customWidth="1"/>
    <col min="5634" max="5634" width="14.5703125" style="12" customWidth="1"/>
    <col min="5635" max="5643" width="6.7109375" style="12" customWidth="1"/>
    <col min="5644" max="5645" width="9.140625" style="12"/>
    <col min="5646" max="5646" width="9.85546875" style="12" bestFit="1" customWidth="1"/>
    <col min="5647" max="5647" width="9.140625" style="12"/>
    <col min="5648" max="5648" width="10.140625" style="12" bestFit="1" customWidth="1"/>
    <col min="5649" max="5888" width="9.140625" style="12"/>
    <col min="5889" max="5889" width="12.7109375" style="12" bestFit="1" customWidth="1"/>
    <col min="5890" max="5890" width="14.5703125" style="12" customWidth="1"/>
    <col min="5891" max="5899" width="6.7109375" style="12" customWidth="1"/>
    <col min="5900" max="5901" width="9.140625" style="12"/>
    <col min="5902" max="5902" width="9.85546875" style="12" bestFit="1" customWidth="1"/>
    <col min="5903" max="5903" width="9.140625" style="12"/>
    <col min="5904" max="5904" width="10.140625" style="12" bestFit="1" customWidth="1"/>
    <col min="5905" max="6144" width="9.140625" style="12"/>
    <col min="6145" max="6145" width="12.7109375" style="12" bestFit="1" customWidth="1"/>
    <col min="6146" max="6146" width="14.5703125" style="12" customWidth="1"/>
    <col min="6147" max="6155" width="6.7109375" style="12" customWidth="1"/>
    <col min="6156" max="6157" width="9.140625" style="12"/>
    <col min="6158" max="6158" width="9.85546875" style="12" bestFit="1" customWidth="1"/>
    <col min="6159" max="6159" width="9.140625" style="12"/>
    <col min="6160" max="6160" width="10.140625" style="12" bestFit="1" customWidth="1"/>
    <col min="6161" max="6400" width="9.140625" style="12"/>
    <col min="6401" max="6401" width="12.7109375" style="12" bestFit="1" customWidth="1"/>
    <col min="6402" max="6402" width="14.5703125" style="12" customWidth="1"/>
    <col min="6403" max="6411" width="6.7109375" style="12" customWidth="1"/>
    <col min="6412" max="6413" width="9.140625" style="12"/>
    <col min="6414" max="6414" width="9.85546875" style="12" bestFit="1" customWidth="1"/>
    <col min="6415" max="6415" width="9.140625" style="12"/>
    <col min="6416" max="6416" width="10.140625" style="12" bestFit="1" customWidth="1"/>
    <col min="6417" max="6656" width="9.140625" style="12"/>
    <col min="6657" max="6657" width="12.7109375" style="12" bestFit="1" customWidth="1"/>
    <col min="6658" max="6658" width="14.5703125" style="12" customWidth="1"/>
    <col min="6659" max="6667" width="6.7109375" style="12" customWidth="1"/>
    <col min="6668" max="6669" width="9.140625" style="12"/>
    <col min="6670" max="6670" width="9.85546875" style="12" bestFit="1" customWidth="1"/>
    <col min="6671" max="6671" width="9.140625" style="12"/>
    <col min="6672" max="6672" width="10.140625" style="12" bestFit="1" customWidth="1"/>
    <col min="6673" max="6912" width="9.140625" style="12"/>
    <col min="6913" max="6913" width="12.7109375" style="12" bestFit="1" customWidth="1"/>
    <col min="6914" max="6914" width="14.5703125" style="12" customWidth="1"/>
    <col min="6915" max="6923" width="6.7109375" style="12" customWidth="1"/>
    <col min="6924" max="6925" width="9.140625" style="12"/>
    <col min="6926" max="6926" width="9.85546875" style="12" bestFit="1" customWidth="1"/>
    <col min="6927" max="6927" width="9.140625" style="12"/>
    <col min="6928" max="6928" width="10.140625" style="12" bestFit="1" customWidth="1"/>
    <col min="6929" max="7168" width="9.140625" style="12"/>
    <col min="7169" max="7169" width="12.7109375" style="12" bestFit="1" customWidth="1"/>
    <col min="7170" max="7170" width="14.5703125" style="12" customWidth="1"/>
    <col min="7171" max="7179" width="6.7109375" style="12" customWidth="1"/>
    <col min="7180" max="7181" width="9.140625" style="12"/>
    <col min="7182" max="7182" width="9.85546875" style="12" bestFit="1" customWidth="1"/>
    <col min="7183" max="7183" width="9.140625" style="12"/>
    <col min="7184" max="7184" width="10.140625" style="12" bestFit="1" customWidth="1"/>
    <col min="7185" max="7424" width="9.140625" style="12"/>
    <col min="7425" max="7425" width="12.7109375" style="12" bestFit="1" customWidth="1"/>
    <col min="7426" max="7426" width="14.5703125" style="12" customWidth="1"/>
    <col min="7427" max="7435" width="6.7109375" style="12" customWidth="1"/>
    <col min="7436" max="7437" width="9.140625" style="12"/>
    <col min="7438" max="7438" width="9.85546875" style="12" bestFit="1" customWidth="1"/>
    <col min="7439" max="7439" width="9.140625" style="12"/>
    <col min="7440" max="7440" width="10.140625" style="12" bestFit="1" customWidth="1"/>
    <col min="7441" max="7680" width="9.140625" style="12"/>
    <col min="7681" max="7681" width="12.7109375" style="12" bestFit="1" customWidth="1"/>
    <col min="7682" max="7682" width="14.5703125" style="12" customWidth="1"/>
    <col min="7683" max="7691" width="6.7109375" style="12" customWidth="1"/>
    <col min="7692" max="7693" width="9.140625" style="12"/>
    <col min="7694" max="7694" width="9.85546875" style="12" bestFit="1" customWidth="1"/>
    <col min="7695" max="7695" width="9.140625" style="12"/>
    <col min="7696" max="7696" width="10.140625" style="12" bestFit="1" customWidth="1"/>
    <col min="7697" max="7936" width="9.140625" style="12"/>
    <col min="7937" max="7937" width="12.7109375" style="12" bestFit="1" customWidth="1"/>
    <col min="7938" max="7938" width="14.5703125" style="12" customWidth="1"/>
    <col min="7939" max="7947" width="6.7109375" style="12" customWidth="1"/>
    <col min="7948" max="7949" width="9.140625" style="12"/>
    <col min="7950" max="7950" width="9.85546875" style="12" bestFit="1" customWidth="1"/>
    <col min="7951" max="7951" width="9.140625" style="12"/>
    <col min="7952" max="7952" width="10.140625" style="12" bestFit="1" customWidth="1"/>
    <col min="7953" max="8192" width="9.140625" style="12"/>
    <col min="8193" max="8193" width="12.7109375" style="12" bestFit="1" customWidth="1"/>
    <col min="8194" max="8194" width="14.5703125" style="12" customWidth="1"/>
    <col min="8195" max="8203" width="6.7109375" style="12" customWidth="1"/>
    <col min="8204" max="8205" width="9.140625" style="12"/>
    <col min="8206" max="8206" width="9.85546875" style="12" bestFit="1" customWidth="1"/>
    <col min="8207" max="8207" width="9.140625" style="12"/>
    <col min="8208" max="8208" width="10.140625" style="12" bestFit="1" customWidth="1"/>
    <col min="8209" max="8448" width="9.140625" style="12"/>
    <col min="8449" max="8449" width="12.7109375" style="12" bestFit="1" customWidth="1"/>
    <col min="8450" max="8450" width="14.5703125" style="12" customWidth="1"/>
    <col min="8451" max="8459" width="6.7109375" style="12" customWidth="1"/>
    <col min="8460" max="8461" width="9.140625" style="12"/>
    <col min="8462" max="8462" width="9.85546875" style="12" bestFit="1" customWidth="1"/>
    <col min="8463" max="8463" width="9.140625" style="12"/>
    <col min="8464" max="8464" width="10.140625" style="12" bestFit="1" customWidth="1"/>
    <col min="8465" max="8704" width="9.140625" style="12"/>
    <col min="8705" max="8705" width="12.7109375" style="12" bestFit="1" customWidth="1"/>
    <col min="8706" max="8706" width="14.5703125" style="12" customWidth="1"/>
    <col min="8707" max="8715" width="6.7109375" style="12" customWidth="1"/>
    <col min="8716" max="8717" width="9.140625" style="12"/>
    <col min="8718" max="8718" width="9.85546875" style="12" bestFit="1" customWidth="1"/>
    <col min="8719" max="8719" width="9.140625" style="12"/>
    <col min="8720" max="8720" width="10.140625" style="12" bestFit="1" customWidth="1"/>
    <col min="8721" max="8960" width="9.140625" style="12"/>
    <col min="8961" max="8961" width="12.7109375" style="12" bestFit="1" customWidth="1"/>
    <col min="8962" max="8962" width="14.5703125" style="12" customWidth="1"/>
    <col min="8963" max="8971" width="6.7109375" style="12" customWidth="1"/>
    <col min="8972" max="8973" width="9.140625" style="12"/>
    <col min="8974" max="8974" width="9.85546875" style="12" bestFit="1" customWidth="1"/>
    <col min="8975" max="8975" width="9.140625" style="12"/>
    <col min="8976" max="8976" width="10.140625" style="12" bestFit="1" customWidth="1"/>
    <col min="8977" max="9216" width="9.140625" style="12"/>
    <col min="9217" max="9217" width="12.7109375" style="12" bestFit="1" customWidth="1"/>
    <col min="9218" max="9218" width="14.5703125" style="12" customWidth="1"/>
    <col min="9219" max="9227" width="6.7109375" style="12" customWidth="1"/>
    <col min="9228" max="9229" width="9.140625" style="12"/>
    <col min="9230" max="9230" width="9.85546875" style="12" bestFit="1" customWidth="1"/>
    <col min="9231" max="9231" width="9.140625" style="12"/>
    <col min="9232" max="9232" width="10.140625" style="12" bestFit="1" customWidth="1"/>
    <col min="9233" max="9472" width="9.140625" style="12"/>
    <col min="9473" max="9473" width="12.7109375" style="12" bestFit="1" customWidth="1"/>
    <col min="9474" max="9474" width="14.5703125" style="12" customWidth="1"/>
    <col min="9475" max="9483" width="6.7109375" style="12" customWidth="1"/>
    <col min="9484" max="9485" width="9.140625" style="12"/>
    <col min="9486" max="9486" width="9.85546875" style="12" bestFit="1" customWidth="1"/>
    <col min="9487" max="9487" width="9.140625" style="12"/>
    <col min="9488" max="9488" width="10.140625" style="12" bestFit="1" customWidth="1"/>
    <col min="9489" max="9728" width="9.140625" style="12"/>
    <col min="9729" max="9729" width="12.7109375" style="12" bestFit="1" customWidth="1"/>
    <col min="9730" max="9730" width="14.5703125" style="12" customWidth="1"/>
    <col min="9731" max="9739" width="6.7109375" style="12" customWidth="1"/>
    <col min="9740" max="9741" width="9.140625" style="12"/>
    <col min="9742" max="9742" width="9.85546875" style="12" bestFit="1" customWidth="1"/>
    <col min="9743" max="9743" width="9.140625" style="12"/>
    <col min="9744" max="9744" width="10.140625" style="12" bestFit="1" customWidth="1"/>
    <col min="9745" max="9984" width="9.140625" style="12"/>
    <col min="9985" max="9985" width="12.7109375" style="12" bestFit="1" customWidth="1"/>
    <col min="9986" max="9986" width="14.5703125" style="12" customWidth="1"/>
    <col min="9987" max="9995" width="6.7109375" style="12" customWidth="1"/>
    <col min="9996" max="9997" width="9.140625" style="12"/>
    <col min="9998" max="9998" width="9.85546875" style="12" bestFit="1" customWidth="1"/>
    <col min="9999" max="9999" width="9.140625" style="12"/>
    <col min="10000" max="10000" width="10.140625" style="12" bestFit="1" customWidth="1"/>
    <col min="10001" max="10240" width="9.140625" style="12"/>
    <col min="10241" max="10241" width="12.7109375" style="12" bestFit="1" customWidth="1"/>
    <col min="10242" max="10242" width="14.5703125" style="12" customWidth="1"/>
    <col min="10243" max="10251" width="6.7109375" style="12" customWidth="1"/>
    <col min="10252" max="10253" width="9.140625" style="12"/>
    <col min="10254" max="10254" width="9.85546875" style="12" bestFit="1" customWidth="1"/>
    <col min="10255" max="10255" width="9.140625" style="12"/>
    <col min="10256" max="10256" width="10.140625" style="12" bestFit="1" customWidth="1"/>
    <col min="10257" max="10496" width="9.140625" style="12"/>
    <col min="10497" max="10497" width="12.7109375" style="12" bestFit="1" customWidth="1"/>
    <col min="10498" max="10498" width="14.5703125" style="12" customWidth="1"/>
    <col min="10499" max="10507" width="6.7109375" style="12" customWidth="1"/>
    <col min="10508" max="10509" width="9.140625" style="12"/>
    <col min="10510" max="10510" width="9.85546875" style="12" bestFit="1" customWidth="1"/>
    <col min="10511" max="10511" width="9.140625" style="12"/>
    <col min="10512" max="10512" width="10.140625" style="12" bestFit="1" customWidth="1"/>
    <col min="10513" max="10752" width="9.140625" style="12"/>
    <col min="10753" max="10753" width="12.7109375" style="12" bestFit="1" customWidth="1"/>
    <col min="10754" max="10754" width="14.5703125" style="12" customWidth="1"/>
    <col min="10755" max="10763" width="6.7109375" style="12" customWidth="1"/>
    <col min="10764" max="10765" width="9.140625" style="12"/>
    <col min="10766" max="10766" width="9.85546875" style="12" bestFit="1" customWidth="1"/>
    <col min="10767" max="10767" width="9.140625" style="12"/>
    <col min="10768" max="10768" width="10.140625" style="12" bestFit="1" customWidth="1"/>
    <col min="10769" max="11008" width="9.140625" style="12"/>
    <col min="11009" max="11009" width="12.7109375" style="12" bestFit="1" customWidth="1"/>
    <col min="11010" max="11010" width="14.5703125" style="12" customWidth="1"/>
    <col min="11011" max="11019" width="6.7109375" style="12" customWidth="1"/>
    <col min="11020" max="11021" width="9.140625" style="12"/>
    <col min="11022" max="11022" width="9.85546875" style="12" bestFit="1" customWidth="1"/>
    <col min="11023" max="11023" width="9.140625" style="12"/>
    <col min="11024" max="11024" width="10.140625" style="12" bestFit="1" customWidth="1"/>
    <col min="11025" max="11264" width="9.140625" style="12"/>
    <col min="11265" max="11265" width="12.7109375" style="12" bestFit="1" customWidth="1"/>
    <col min="11266" max="11266" width="14.5703125" style="12" customWidth="1"/>
    <col min="11267" max="11275" width="6.7109375" style="12" customWidth="1"/>
    <col min="11276" max="11277" width="9.140625" style="12"/>
    <col min="11278" max="11278" width="9.85546875" style="12" bestFit="1" customWidth="1"/>
    <col min="11279" max="11279" width="9.140625" style="12"/>
    <col min="11280" max="11280" width="10.140625" style="12" bestFit="1" customWidth="1"/>
    <col min="11281" max="11520" width="9.140625" style="12"/>
    <col min="11521" max="11521" width="12.7109375" style="12" bestFit="1" customWidth="1"/>
    <col min="11522" max="11522" width="14.5703125" style="12" customWidth="1"/>
    <col min="11523" max="11531" width="6.7109375" style="12" customWidth="1"/>
    <col min="11532" max="11533" width="9.140625" style="12"/>
    <col min="11534" max="11534" width="9.85546875" style="12" bestFit="1" customWidth="1"/>
    <col min="11535" max="11535" width="9.140625" style="12"/>
    <col min="11536" max="11536" width="10.140625" style="12" bestFit="1" customWidth="1"/>
    <col min="11537" max="11776" width="9.140625" style="12"/>
    <col min="11777" max="11777" width="12.7109375" style="12" bestFit="1" customWidth="1"/>
    <col min="11778" max="11778" width="14.5703125" style="12" customWidth="1"/>
    <col min="11779" max="11787" width="6.7109375" style="12" customWidth="1"/>
    <col min="11788" max="11789" width="9.140625" style="12"/>
    <col min="11790" max="11790" width="9.85546875" style="12" bestFit="1" customWidth="1"/>
    <col min="11791" max="11791" width="9.140625" style="12"/>
    <col min="11792" max="11792" width="10.140625" style="12" bestFit="1" customWidth="1"/>
    <col min="11793" max="12032" width="9.140625" style="12"/>
    <col min="12033" max="12033" width="12.7109375" style="12" bestFit="1" customWidth="1"/>
    <col min="12034" max="12034" width="14.5703125" style="12" customWidth="1"/>
    <col min="12035" max="12043" width="6.7109375" style="12" customWidth="1"/>
    <col min="12044" max="12045" width="9.140625" style="12"/>
    <col min="12046" max="12046" width="9.85546875" style="12" bestFit="1" customWidth="1"/>
    <col min="12047" max="12047" width="9.140625" style="12"/>
    <col min="12048" max="12048" width="10.140625" style="12" bestFit="1" customWidth="1"/>
    <col min="12049" max="12288" width="9.140625" style="12"/>
    <col min="12289" max="12289" width="12.7109375" style="12" bestFit="1" customWidth="1"/>
    <col min="12290" max="12290" width="14.5703125" style="12" customWidth="1"/>
    <col min="12291" max="12299" width="6.7109375" style="12" customWidth="1"/>
    <col min="12300" max="12301" width="9.140625" style="12"/>
    <col min="12302" max="12302" width="9.85546875" style="12" bestFit="1" customWidth="1"/>
    <col min="12303" max="12303" width="9.140625" style="12"/>
    <col min="12304" max="12304" width="10.140625" style="12" bestFit="1" customWidth="1"/>
    <col min="12305" max="12544" width="9.140625" style="12"/>
    <col min="12545" max="12545" width="12.7109375" style="12" bestFit="1" customWidth="1"/>
    <col min="12546" max="12546" width="14.5703125" style="12" customWidth="1"/>
    <col min="12547" max="12555" width="6.7109375" style="12" customWidth="1"/>
    <col min="12556" max="12557" width="9.140625" style="12"/>
    <col min="12558" max="12558" width="9.85546875" style="12" bestFit="1" customWidth="1"/>
    <col min="12559" max="12559" width="9.140625" style="12"/>
    <col min="12560" max="12560" width="10.140625" style="12" bestFit="1" customWidth="1"/>
    <col min="12561" max="12800" width="9.140625" style="12"/>
    <col min="12801" max="12801" width="12.7109375" style="12" bestFit="1" customWidth="1"/>
    <col min="12802" max="12802" width="14.5703125" style="12" customWidth="1"/>
    <col min="12803" max="12811" width="6.7109375" style="12" customWidth="1"/>
    <col min="12812" max="12813" width="9.140625" style="12"/>
    <col min="12814" max="12814" width="9.85546875" style="12" bestFit="1" customWidth="1"/>
    <col min="12815" max="12815" width="9.140625" style="12"/>
    <col min="12816" max="12816" width="10.140625" style="12" bestFit="1" customWidth="1"/>
    <col min="12817" max="13056" width="9.140625" style="12"/>
    <col min="13057" max="13057" width="12.7109375" style="12" bestFit="1" customWidth="1"/>
    <col min="13058" max="13058" width="14.5703125" style="12" customWidth="1"/>
    <col min="13059" max="13067" width="6.7109375" style="12" customWidth="1"/>
    <col min="13068" max="13069" width="9.140625" style="12"/>
    <col min="13070" max="13070" width="9.85546875" style="12" bestFit="1" customWidth="1"/>
    <col min="13071" max="13071" width="9.140625" style="12"/>
    <col min="13072" max="13072" width="10.140625" style="12" bestFit="1" customWidth="1"/>
    <col min="13073" max="13312" width="9.140625" style="12"/>
    <col min="13313" max="13313" width="12.7109375" style="12" bestFit="1" customWidth="1"/>
    <col min="13314" max="13314" width="14.5703125" style="12" customWidth="1"/>
    <col min="13315" max="13323" width="6.7109375" style="12" customWidth="1"/>
    <col min="13324" max="13325" width="9.140625" style="12"/>
    <col min="13326" max="13326" width="9.85546875" style="12" bestFit="1" customWidth="1"/>
    <col min="13327" max="13327" width="9.140625" style="12"/>
    <col min="13328" max="13328" width="10.140625" style="12" bestFit="1" customWidth="1"/>
    <col min="13329" max="13568" width="9.140625" style="12"/>
    <col min="13569" max="13569" width="12.7109375" style="12" bestFit="1" customWidth="1"/>
    <col min="13570" max="13570" width="14.5703125" style="12" customWidth="1"/>
    <col min="13571" max="13579" width="6.7109375" style="12" customWidth="1"/>
    <col min="13580" max="13581" width="9.140625" style="12"/>
    <col min="13582" max="13582" width="9.85546875" style="12" bestFit="1" customWidth="1"/>
    <col min="13583" max="13583" width="9.140625" style="12"/>
    <col min="13584" max="13584" width="10.140625" style="12" bestFit="1" customWidth="1"/>
    <col min="13585" max="13824" width="9.140625" style="12"/>
    <col min="13825" max="13825" width="12.7109375" style="12" bestFit="1" customWidth="1"/>
    <col min="13826" max="13826" width="14.5703125" style="12" customWidth="1"/>
    <col min="13827" max="13835" width="6.7109375" style="12" customWidth="1"/>
    <col min="13836" max="13837" width="9.140625" style="12"/>
    <col min="13838" max="13838" width="9.85546875" style="12" bestFit="1" customWidth="1"/>
    <col min="13839" max="13839" width="9.140625" style="12"/>
    <col min="13840" max="13840" width="10.140625" style="12" bestFit="1" customWidth="1"/>
    <col min="13841" max="14080" width="9.140625" style="12"/>
    <col min="14081" max="14081" width="12.7109375" style="12" bestFit="1" customWidth="1"/>
    <col min="14082" max="14082" width="14.5703125" style="12" customWidth="1"/>
    <col min="14083" max="14091" width="6.7109375" style="12" customWidth="1"/>
    <col min="14092" max="14093" width="9.140625" style="12"/>
    <col min="14094" max="14094" width="9.85546875" style="12" bestFit="1" customWidth="1"/>
    <col min="14095" max="14095" width="9.140625" style="12"/>
    <col min="14096" max="14096" width="10.140625" style="12" bestFit="1" customWidth="1"/>
    <col min="14097" max="14336" width="9.140625" style="12"/>
    <col min="14337" max="14337" width="12.7109375" style="12" bestFit="1" customWidth="1"/>
    <col min="14338" max="14338" width="14.5703125" style="12" customWidth="1"/>
    <col min="14339" max="14347" width="6.7109375" style="12" customWidth="1"/>
    <col min="14348" max="14349" width="9.140625" style="12"/>
    <col min="14350" max="14350" width="9.85546875" style="12" bestFit="1" customWidth="1"/>
    <col min="14351" max="14351" width="9.140625" style="12"/>
    <col min="14352" max="14352" width="10.140625" style="12" bestFit="1" customWidth="1"/>
    <col min="14353" max="14592" width="9.140625" style="12"/>
    <col min="14593" max="14593" width="12.7109375" style="12" bestFit="1" customWidth="1"/>
    <col min="14594" max="14594" width="14.5703125" style="12" customWidth="1"/>
    <col min="14595" max="14603" width="6.7109375" style="12" customWidth="1"/>
    <col min="14604" max="14605" width="9.140625" style="12"/>
    <col min="14606" max="14606" width="9.85546875" style="12" bestFit="1" customWidth="1"/>
    <col min="14607" max="14607" width="9.140625" style="12"/>
    <col min="14608" max="14608" width="10.140625" style="12" bestFit="1" customWidth="1"/>
    <col min="14609" max="14848" width="9.140625" style="12"/>
    <col min="14849" max="14849" width="12.7109375" style="12" bestFit="1" customWidth="1"/>
    <col min="14850" max="14850" width="14.5703125" style="12" customWidth="1"/>
    <col min="14851" max="14859" width="6.7109375" style="12" customWidth="1"/>
    <col min="14860" max="14861" width="9.140625" style="12"/>
    <col min="14862" max="14862" width="9.85546875" style="12" bestFit="1" customWidth="1"/>
    <col min="14863" max="14863" width="9.140625" style="12"/>
    <col min="14864" max="14864" width="10.140625" style="12" bestFit="1" customWidth="1"/>
    <col min="14865" max="15104" width="9.140625" style="12"/>
    <col min="15105" max="15105" width="12.7109375" style="12" bestFit="1" customWidth="1"/>
    <col min="15106" max="15106" width="14.5703125" style="12" customWidth="1"/>
    <col min="15107" max="15115" width="6.7109375" style="12" customWidth="1"/>
    <col min="15116" max="15117" width="9.140625" style="12"/>
    <col min="15118" max="15118" width="9.85546875" style="12" bestFit="1" customWidth="1"/>
    <col min="15119" max="15119" width="9.140625" style="12"/>
    <col min="15120" max="15120" width="10.140625" style="12" bestFit="1" customWidth="1"/>
    <col min="15121" max="15360" width="9.140625" style="12"/>
    <col min="15361" max="15361" width="12.7109375" style="12" bestFit="1" customWidth="1"/>
    <col min="15362" max="15362" width="14.5703125" style="12" customWidth="1"/>
    <col min="15363" max="15371" width="6.7109375" style="12" customWidth="1"/>
    <col min="15372" max="15373" width="9.140625" style="12"/>
    <col min="15374" max="15374" width="9.85546875" style="12" bestFit="1" customWidth="1"/>
    <col min="15375" max="15375" width="9.140625" style="12"/>
    <col min="15376" max="15376" width="10.140625" style="12" bestFit="1" customWidth="1"/>
    <col min="15377" max="15616" width="9.140625" style="12"/>
    <col min="15617" max="15617" width="12.7109375" style="12" bestFit="1" customWidth="1"/>
    <col min="15618" max="15618" width="14.5703125" style="12" customWidth="1"/>
    <col min="15619" max="15627" width="6.7109375" style="12" customWidth="1"/>
    <col min="15628" max="15629" width="9.140625" style="12"/>
    <col min="15630" max="15630" width="9.85546875" style="12" bestFit="1" customWidth="1"/>
    <col min="15631" max="15631" width="9.140625" style="12"/>
    <col min="15632" max="15632" width="10.140625" style="12" bestFit="1" customWidth="1"/>
    <col min="15633" max="15872" width="9.140625" style="12"/>
    <col min="15873" max="15873" width="12.7109375" style="12" bestFit="1" customWidth="1"/>
    <col min="15874" max="15874" width="14.5703125" style="12" customWidth="1"/>
    <col min="15875" max="15883" width="6.7109375" style="12" customWidth="1"/>
    <col min="15884" max="15885" width="9.140625" style="12"/>
    <col min="15886" max="15886" width="9.85546875" style="12" bestFit="1" customWidth="1"/>
    <col min="15887" max="15887" width="9.140625" style="12"/>
    <col min="15888" max="15888" width="10.140625" style="12" bestFit="1" customWidth="1"/>
    <col min="15889" max="16128" width="9.140625" style="12"/>
    <col min="16129" max="16129" width="12.7109375" style="12" bestFit="1" customWidth="1"/>
    <col min="16130" max="16130" width="14.5703125" style="12" customWidth="1"/>
    <col min="16131" max="16139" width="6.7109375" style="12" customWidth="1"/>
    <col min="16140" max="16141" width="9.140625" style="12"/>
    <col min="16142" max="16142" width="9.85546875" style="12" bestFit="1" customWidth="1"/>
    <col min="16143" max="16143" width="9.140625" style="12"/>
    <col min="16144" max="16144" width="10.140625" style="12" bestFit="1" customWidth="1"/>
    <col min="16145" max="16384" width="9.140625" style="12"/>
  </cols>
  <sheetData>
    <row r="1" spans="1:24" s="53" customFormat="1" ht="37.5" customHeight="1" thickBot="1" x14ac:dyDescent="0.25">
      <c r="A1" s="803"/>
      <c r="B1" s="804"/>
      <c r="C1" s="804"/>
      <c r="D1" s="804"/>
      <c r="E1" s="804"/>
      <c r="F1" s="804"/>
      <c r="G1" s="804"/>
      <c r="H1" s="804"/>
      <c r="I1" s="804"/>
      <c r="J1" s="804"/>
      <c r="K1" s="804"/>
      <c r="L1" s="804"/>
      <c r="M1" s="804"/>
      <c r="N1" s="804"/>
      <c r="O1" s="804"/>
      <c r="P1" s="804"/>
      <c r="Q1" s="804"/>
      <c r="R1" s="806"/>
      <c r="S1" s="804"/>
      <c r="T1" s="804"/>
      <c r="U1" s="804"/>
      <c r="V1" s="804"/>
      <c r="W1" s="807"/>
      <c r="X1" s="808"/>
    </row>
    <row r="2" spans="1:24" s="54" customFormat="1" x14ac:dyDescent="0.2">
      <c r="A2" s="56" t="s">
        <v>96</v>
      </c>
      <c r="P2" s="57" t="s">
        <v>15</v>
      </c>
      <c r="R2" s="204" t="s">
        <v>8</v>
      </c>
    </row>
    <row r="3" spans="1:24" s="54" customFormat="1" ht="15" customHeight="1" x14ac:dyDescent="0.2">
      <c r="A3" s="58" t="str">
        <f>ORÇAMENTO!G5</f>
        <v>EMPRESA:</v>
      </c>
      <c r="B3" s="59"/>
      <c r="C3" s="59"/>
      <c r="D3" s="59"/>
      <c r="P3" s="58" t="s">
        <v>141</v>
      </c>
      <c r="R3" s="61"/>
    </row>
    <row r="4" spans="1:24" ht="12" customHeight="1" x14ac:dyDescent="0.2">
      <c r="A4" s="1328" t="s">
        <v>39</v>
      </c>
      <c r="B4" s="1328" t="s">
        <v>11</v>
      </c>
      <c r="C4" s="102" t="s">
        <v>63</v>
      </c>
      <c r="D4" s="103"/>
      <c r="E4" s="103"/>
      <c r="F4" s="103"/>
      <c r="G4" s="87" t="s">
        <v>64</v>
      </c>
      <c r="H4" s="87"/>
      <c r="I4" s="87"/>
      <c r="J4" s="87"/>
      <c r="K4" s="1328" t="s">
        <v>18</v>
      </c>
      <c r="L4" s="86" t="s">
        <v>47</v>
      </c>
      <c r="M4" s="86"/>
      <c r="N4" s="86"/>
      <c r="O4" s="1349" t="s">
        <v>95</v>
      </c>
      <c r="P4" s="1349"/>
      <c r="Q4" s="1349"/>
      <c r="R4" s="1349"/>
      <c r="T4" s="1355" t="s">
        <v>97</v>
      </c>
      <c r="U4" s="1356"/>
      <c r="W4" s="1353" t="s">
        <v>469</v>
      </c>
      <c r="X4" s="1353"/>
    </row>
    <row r="5" spans="1:24" ht="12.6" customHeight="1" x14ac:dyDescent="0.2">
      <c r="A5" s="1329"/>
      <c r="B5" s="1329"/>
      <c r="C5" s="92" t="s">
        <v>57</v>
      </c>
      <c r="D5" s="104" t="s">
        <v>58</v>
      </c>
      <c r="E5" s="85" t="s">
        <v>79</v>
      </c>
      <c r="F5" s="85" t="s">
        <v>18</v>
      </c>
      <c r="G5" s="101" t="s">
        <v>57</v>
      </c>
      <c r="H5" s="113" t="s">
        <v>59</v>
      </c>
      <c r="I5" s="101" t="s">
        <v>80</v>
      </c>
      <c r="J5" s="101" t="s">
        <v>18</v>
      </c>
      <c r="K5" s="1329"/>
      <c r="L5" s="88" t="s">
        <v>63</v>
      </c>
      <c r="M5" s="88" t="s">
        <v>81</v>
      </c>
      <c r="N5" s="88" t="s">
        <v>9</v>
      </c>
      <c r="O5" s="88" t="s">
        <v>63</v>
      </c>
      <c r="P5" s="88" t="s">
        <v>81</v>
      </c>
      <c r="Q5" s="88" t="s">
        <v>9</v>
      </c>
      <c r="R5" s="1349" t="s">
        <v>100</v>
      </c>
      <c r="T5" s="1357"/>
      <c r="U5" s="1358"/>
      <c r="W5" s="1354"/>
      <c r="X5" s="1354"/>
    </row>
    <row r="6" spans="1:24" ht="12.6" customHeight="1" x14ac:dyDescent="0.2">
      <c r="A6" s="1348"/>
      <c r="B6" s="1348"/>
      <c r="C6" s="169" t="s">
        <v>50</v>
      </c>
      <c r="D6" s="168" t="s">
        <v>51</v>
      </c>
      <c r="E6" s="167" t="s">
        <v>52</v>
      </c>
      <c r="F6" s="167" t="s">
        <v>65</v>
      </c>
      <c r="G6" s="168" t="s">
        <v>66</v>
      </c>
      <c r="H6" s="167" t="s">
        <v>67</v>
      </c>
      <c r="I6" s="168" t="s">
        <v>68</v>
      </c>
      <c r="J6" s="168" t="s">
        <v>7</v>
      </c>
      <c r="K6" s="1348"/>
      <c r="L6" s="88" t="s">
        <v>1</v>
      </c>
      <c r="M6" s="88" t="s">
        <v>1</v>
      </c>
      <c r="N6" s="88" t="s">
        <v>1</v>
      </c>
      <c r="O6" s="88" t="s">
        <v>4</v>
      </c>
      <c r="P6" s="88" t="s">
        <v>4</v>
      </c>
      <c r="Q6" s="88" t="s">
        <v>4</v>
      </c>
      <c r="R6" s="1349"/>
      <c r="T6" s="88" t="s">
        <v>4</v>
      </c>
      <c r="U6" s="89" t="s">
        <v>100</v>
      </c>
      <c r="W6" s="148" t="s">
        <v>1</v>
      </c>
      <c r="X6" s="118" t="s">
        <v>470</v>
      </c>
    </row>
    <row r="7" spans="1:24" ht="13.15" customHeight="1" x14ac:dyDescent="0.2">
      <c r="A7" s="110" t="s">
        <v>1231</v>
      </c>
      <c r="B7" s="111"/>
      <c r="C7" s="110"/>
      <c r="D7" s="110"/>
      <c r="E7" s="111"/>
      <c r="F7" s="110"/>
      <c r="G7" s="110"/>
      <c r="H7" s="111"/>
      <c r="I7" s="110"/>
      <c r="J7" s="110"/>
      <c r="K7" s="111"/>
      <c r="L7" s="110"/>
      <c r="M7" s="110"/>
      <c r="N7" s="111"/>
      <c r="O7" s="111"/>
      <c r="P7" s="111"/>
      <c r="Q7" s="111"/>
      <c r="R7" s="261"/>
      <c r="T7" s="76">
        <f t="shared" ref="T7:T13" si="0">IF(U7="","",SUMIF($R$7:$R$55,U7,$Q$7:$Q$55))</f>
        <v>2.9341900000000001</v>
      </c>
      <c r="U7" s="642" t="s">
        <v>409</v>
      </c>
      <c r="W7" s="76">
        <f t="shared" ref="W7:W13" si="1">IF(X7="","",SUMIF($R$7:$R$55,X7,$N$7:$N$55))</f>
        <v>27.378899999999998</v>
      </c>
      <c r="X7" s="642" t="s">
        <v>409</v>
      </c>
    </row>
    <row r="8" spans="1:24" ht="13.15" customHeight="1" x14ac:dyDescent="0.2">
      <c r="A8" s="282"/>
      <c r="B8" s="283" t="s">
        <v>85</v>
      </c>
      <c r="C8" s="156">
        <v>1.2549999999999999</v>
      </c>
      <c r="D8" s="156">
        <v>3.99</v>
      </c>
      <c r="E8" s="284">
        <v>0.14000000000000001</v>
      </c>
      <c r="F8" s="156">
        <v>1</v>
      </c>
      <c r="G8" s="156">
        <v>0.28000000000000003</v>
      </c>
      <c r="H8" s="159">
        <v>0.18</v>
      </c>
      <c r="I8" s="158">
        <f>SQRT((G8^2)+(H8^2))</f>
        <v>0.33286633954186479</v>
      </c>
      <c r="J8" s="156">
        <v>12</v>
      </c>
      <c r="K8" s="159">
        <v>1</v>
      </c>
      <c r="L8" s="158">
        <f>(((C8*D8)+(((C8+D8)*2)*E8))*F8)*K8</f>
        <v>6.4760499999999999</v>
      </c>
      <c r="M8" s="158">
        <f>(((H8*C8)+(((G8*H8)/2)*2))*J8)*K8</f>
        <v>3.3155999999999999</v>
      </c>
      <c r="N8" s="158">
        <f>SUM(L8:M8)</f>
        <v>9.7916500000000006</v>
      </c>
      <c r="O8" s="158">
        <f>(((C8*D8)*E8)*F8)*K8</f>
        <v>0.70104299999999997</v>
      </c>
      <c r="P8" s="158">
        <f>((((G8*H8)/2)*C8)*J8)*K8</f>
        <v>0.37951199999999996</v>
      </c>
      <c r="Q8" s="158">
        <f>SUM(O8:P8)</f>
        <v>1.0805549999999999</v>
      </c>
      <c r="R8" s="262" t="s">
        <v>409</v>
      </c>
      <c r="T8" s="76">
        <f t="shared" si="0"/>
        <v>2.6873315</v>
      </c>
      <c r="U8" s="642" t="s">
        <v>410</v>
      </c>
      <c r="W8" s="76">
        <f t="shared" si="1"/>
        <v>25.223624999999998</v>
      </c>
      <c r="X8" s="642" t="s">
        <v>410</v>
      </c>
    </row>
    <row r="9" spans="1:24" ht="13.15" customHeight="1" x14ac:dyDescent="0.2">
      <c r="A9" s="282"/>
      <c r="B9" s="283" t="s">
        <v>90</v>
      </c>
      <c r="C9" s="156">
        <v>2.5099999999999998</v>
      </c>
      <c r="D9" s="156">
        <v>1.3</v>
      </c>
      <c r="E9" s="284">
        <v>0.14000000000000001</v>
      </c>
      <c r="F9" s="156">
        <v>1</v>
      </c>
      <c r="G9" s="156"/>
      <c r="H9" s="159"/>
      <c r="I9" s="158">
        <f>SQRT((G9^2)+(H9^2))</f>
        <v>0</v>
      </c>
      <c r="J9" s="156"/>
      <c r="K9" s="159">
        <v>1</v>
      </c>
      <c r="L9" s="158">
        <f>(((C9*D9)+(((C9+D9)*2)*E9))*F9)*K9</f>
        <v>4.3297999999999996</v>
      </c>
      <c r="M9" s="158">
        <f>(((H9*C9)+(((G9*H9)/2)*2))*J9)*K9</f>
        <v>0</v>
      </c>
      <c r="N9" s="158">
        <f>SUM(L9:M9)</f>
        <v>4.3297999999999996</v>
      </c>
      <c r="O9" s="158">
        <f>(((C9*D9)*E9)*F9)*K9</f>
        <v>0.45682</v>
      </c>
      <c r="P9" s="158">
        <f>((((G9*H9)/2)*C9)*J9)*K9</f>
        <v>0</v>
      </c>
      <c r="Q9" s="158">
        <f>SUM(O9:P9)</f>
        <v>0.45682</v>
      </c>
      <c r="R9" s="262" t="s">
        <v>409</v>
      </c>
      <c r="T9" s="76">
        <f t="shared" si="0"/>
        <v>2.6873315</v>
      </c>
      <c r="U9" s="643" t="s">
        <v>431</v>
      </c>
      <c r="W9" s="76">
        <f t="shared" si="1"/>
        <v>25.223624999999998</v>
      </c>
      <c r="X9" s="643" t="s">
        <v>431</v>
      </c>
    </row>
    <row r="10" spans="1:24" ht="13.15" customHeight="1" x14ac:dyDescent="0.2">
      <c r="A10" s="282"/>
      <c r="B10" s="283" t="s">
        <v>91</v>
      </c>
      <c r="C10" s="156">
        <v>1.2549999999999999</v>
      </c>
      <c r="D10" s="156">
        <v>3.33</v>
      </c>
      <c r="E10" s="284">
        <v>0.14000000000000001</v>
      </c>
      <c r="F10" s="156">
        <v>1</v>
      </c>
      <c r="G10" s="156">
        <v>0.28000000000000003</v>
      </c>
      <c r="H10" s="159">
        <v>0.18</v>
      </c>
      <c r="I10" s="158">
        <f>SQRT((G10^2)+(H10^2))</f>
        <v>0.33286633954186479</v>
      </c>
      <c r="J10" s="156">
        <v>10</v>
      </c>
      <c r="K10" s="159">
        <v>1</v>
      </c>
      <c r="L10" s="234">
        <f>(((C10*D10)+(((C10+D10)*2)*E10))*F10)*K10</f>
        <v>5.4629500000000002</v>
      </c>
      <c r="M10" s="234">
        <f>(((H10*C10)+(((G10*H10)/2)*2))*J10)*K10</f>
        <v>2.7629999999999999</v>
      </c>
      <c r="N10" s="234">
        <f>SUM(L10:M10)</f>
        <v>8.225950000000001</v>
      </c>
      <c r="O10" s="234">
        <f>(((C10*D10)*E10)*F10)*K10</f>
        <v>0.58508100000000007</v>
      </c>
      <c r="P10" s="234">
        <f>((((G10*H10)/2)*C10)*J10)*K10</f>
        <v>0.31625999999999993</v>
      </c>
      <c r="Q10" s="158">
        <f>SUM(O10:P10)</f>
        <v>0.90134099999999995</v>
      </c>
      <c r="R10" s="262" t="s">
        <v>409</v>
      </c>
      <c r="T10" s="76">
        <f t="shared" si="0"/>
        <v>2.8533679999999997</v>
      </c>
      <c r="U10" s="643" t="s">
        <v>414</v>
      </c>
      <c r="W10" s="76">
        <f t="shared" si="1"/>
        <v>26.672799999999999</v>
      </c>
      <c r="X10" s="643" t="s">
        <v>414</v>
      </c>
    </row>
    <row r="11" spans="1:24" ht="13.15" customHeight="1" x14ac:dyDescent="0.2">
      <c r="A11" s="285"/>
      <c r="B11" s="286" t="s">
        <v>529</v>
      </c>
      <c r="C11" s="156">
        <f>2.51/2</f>
        <v>1.2549999999999999</v>
      </c>
      <c r="D11" s="233">
        <v>1.3149999999999999</v>
      </c>
      <c r="E11" s="287">
        <v>0.14000000000000001</v>
      </c>
      <c r="F11" s="233">
        <v>1</v>
      </c>
      <c r="G11" s="233"/>
      <c r="H11" s="223"/>
      <c r="I11" s="234">
        <f>SQRT((G11^2)+(H11^2))</f>
        <v>0</v>
      </c>
      <c r="J11" s="233"/>
      <c r="K11" s="223">
        <v>1</v>
      </c>
      <c r="L11" s="234">
        <f>(((C11*D11)+(((C11+D11)*2)*E11))*F11)*K11</f>
        <v>2.3699249999999998</v>
      </c>
      <c r="M11" s="234">
        <f>(((H11*C11)+(((G11*H11)/2)*2))*J11)*K11</f>
        <v>0</v>
      </c>
      <c r="N11" s="234">
        <f>SUM(L11:M11)</f>
        <v>2.3699249999999998</v>
      </c>
      <c r="O11" s="234">
        <f>(((C11*D11)*E11)*F11)*K11</f>
        <v>0.23104549999999999</v>
      </c>
      <c r="P11" s="234">
        <f>((((G11*H11)/2)*C11)*J11)*K11</f>
        <v>0</v>
      </c>
      <c r="Q11" s="158">
        <f>SUM(O11:P11)</f>
        <v>0.23104549999999999</v>
      </c>
      <c r="R11" s="262" t="s">
        <v>409</v>
      </c>
      <c r="T11" s="76">
        <f t="shared" si="0"/>
        <v>54.648849499999997</v>
      </c>
      <c r="U11" s="643" t="s">
        <v>445</v>
      </c>
      <c r="W11" s="76">
        <f t="shared" si="1"/>
        <v>512.32672500000001</v>
      </c>
      <c r="X11" s="643" t="s">
        <v>445</v>
      </c>
    </row>
    <row r="12" spans="1:24" ht="13.15" customHeight="1" x14ac:dyDescent="0.2">
      <c r="A12" s="282"/>
      <c r="B12" s="283" t="s">
        <v>528</v>
      </c>
      <c r="C12" s="156">
        <f>2.51/2</f>
        <v>1.2549999999999999</v>
      </c>
      <c r="D12" s="156">
        <v>1.5049999999999999</v>
      </c>
      <c r="E12" s="284">
        <v>0.14000000000000001</v>
      </c>
      <c r="F12" s="156">
        <v>1</v>
      </c>
      <c r="G12" s="156"/>
      <c r="H12" s="159"/>
      <c r="I12" s="158">
        <f>SQRT((G12^2)+(H12^2))</f>
        <v>0</v>
      </c>
      <c r="J12" s="156"/>
      <c r="K12" s="159">
        <v>1</v>
      </c>
      <c r="L12" s="234">
        <f>(((C12*D12)+(((C12+D12)*2)*E12))*F12)*K12</f>
        <v>2.6615749999999996</v>
      </c>
      <c r="M12" s="234">
        <f>(((H12*C12)+(((G12*H12)/2)*2))*J12)*K12</f>
        <v>0</v>
      </c>
      <c r="N12" s="234">
        <f>SUM(L12:M12)</f>
        <v>2.6615749999999996</v>
      </c>
      <c r="O12" s="234">
        <f>(((C12*D12)*E12)*F12)*K12</f>
        <v>0.26442849999999996</v>
      </c>
      <c r="P12" s="234">
        <f>((((G12*H12)/2)*C12)*J12)*K12</f>
        <v>0</v>
      </c>
      <c r="Q12" s="158">
        <f>SUM(O12:P12)</f>
        <v>0.26442849999999996</v>
      </c>
      <c r="R12" s="262" t="s">
        <v>409</v>
      </c>
      <c r="T12" s="76">
        <f t="shared" si="0"/>
        <v>2.730378</v>
      </c>
      <c r="U12" s="643" t="s">
        <v>458</v>
      </c>
      <c r="W12" s="76">
        <f t="shared" si="1"/>
        <v>25.598299999999998</v>
      </c>
      <c r="X12" s="643" t="s">
        <v>458</v>
      </c>
    </row>
    <row r="13" spans="1:24" ht="13.15" customHeight="1" x14ac:dyDescent="0.2">
      <c r="A13" s="282"/>
      <c r="B13" s="801" t="s">
        <v>317</v>
      </c>
      <c r="C13" s="156"/>
      <c r="D13" s="156"/>
      <c r="E13" s="284"/>
      <c r="F13" s="156"/>
      <c r="G13" s="156"/>
      <c r="H13" s="159"/>
      <c r="I13" s="158"/>
      <c r="J13" s="156"/>
      <c r="K13" s="159"/>
      <c r="L13" s="234"/>
      <c r="M13" s="234"/>
      <c r="N13" s="234"/>
      <c r="O13" s="234"/>
      <c r="P13" s="234"/>
      <c r="Q13" s="221">
        <v>3</v>
      </c>
      <c r="R13" s="262"/>
      <c r="T13" s="76">
        <f t="shared" si="0"/>
        <v>0</v>
      </c>
      <c r="U13" s="643" t="s">
        <v>475</v>
      </c>
      <c r="W13" s="76">
        <f t="shared" si="1"/>
        <v>0</v>
      </c>
      <c r="X13" s="643" t="s">
        <v>475</v>
      </c>
    </row>
    <row r="14" spans="1:24" ht="13.15" customHeight="1" x14ac:dyDescent="0.2">
      <c r="A14" s="110" t="s">
        <v>1232</v>
      </c>
      <c r="B14" s="111"/>
      <c r="C14" s="110"/>
      <c r="D14" s="110"/>
      <c r="E14" s="111"/>
      <c r="F14" s="110"/>
      <c r="G14" s="110"/>
      <c r="H14" s="111"/>
      <c r="I14" s="110"/>
      <c r="J14" s="110"/>
      <c r="K14" s="111"/>
      <c r="L14" s="110"/>
      <c r="M14" s="110"/>
      <c r="N14" s="111"/>
      <c r="O14" s="111"/>
      <c r="P14" s="111"/>
      <c r="Q14" s="111"/>
      <c r="R14" s="263"/>
      <c r="T14" s="105">
        <f>SUM(T7:T13)</f>
        <v>68.541448500000001</v>
      </c>
      <c r="U14" s="266" t="str">
        <f>IF(Q56=T14,"OK","Conferir")</f>
        <v>OK</v>
      </c>
      <c r="W14" s="105">
        <f>SUM(W7:W13)</f>
        <v>642.42397500000004</v>
      </c>
      <c r="X14" s="266" t="str">
        <f>IF(N56=W14,"OK","Conferir")</f>
        <v>OK</v>
      </c>
    </row>
    <row r="15" spans="1:24" ht="13.15" customHeight="1" x14ac:dyDescent="0.2">
      <c r="A15" s="282"/>
      <c r="B15" s="283" t="s">
        <v>85</v>
      </c>
      <c r="C15" s="156">
        <v>1.2549999999999999</v>
      </c>
      <c r="D15" s="156">
        <v>3.33</v>
      </c>
      <c r="E15" s="284">
        <v>0.14000000000000001</v>
      </c>
      <c r="F15" s="156">
        <v>1</v>
      </c>
      <c r="G15" s="156">
        <v>0.28000000000000003</v>
      </c>
      <c r="H15" s="159">
        <v>0.18</v>
      </c>
      <c r="I15" s="158">
        <f>SQRT((G15^2)+(H15^2))</f>
        <v>0.33286633954186479</v>
      </c>
      <c r="J15" s="156">
        <v>10</v>
      </c>
      <c r="K15" s="159">
        <v>1</v>
      </c>
      <c r="L15" s="158">
        <f>(((C15*D15)+(((C15+D15)*2)*E15))*F15)*K15</f>
        <v>5.4629500000000002</v>
      </c>
      <c r="M15" s="158">
        <f>(((H15*C15)+(((G15*H15)/2)*2))*J15)*K15</f>
        <v>2.7629999999999999</v>
      </c>
      <c r="N15" s="158">
        <f>SUM(L15:M15)</f>
        <v>8.225950000000001</v>
      </c>
      <c r="O15" s="158">
        <f>(((C15*D15)*E15)*F15)*K15</f>
        <v>0.58508100000000007</v>
      </c>
      <c r="P15" s="158">
        <f>((((G15*H15)/2)*C15)*J15)*K15</f>
        <v>0.31625999999999993</v>
      </c>
      <c r="Q15" s="158">
        <f>SUM(O15:P15)</f>
        <v>0.90134099999999995</v>
      </c>
      <c r="R15" s="262" t="s">
        <v>410</v>
      </c>
      <c r="T15" s="12"/>
      <c r="U15" s="12"/>
    </row>
    <row r="16" spans="1:24" ht="13.15" customHeight="1" x14ac:dyDescent="0.2">
      <c r="A16" s="282"/>
      <c r="B16" s="283" t="s">
        <v>90</v>
      </c>
      <c r="C16" s="156">
        <v>2.5099999999999998</v>
      </c>
      <c r="D16" s="156">
        <v>1.2949999999999999</v>
      </c>
      <c r="E16" s="284">
        <v>0.14000000000000001</v>
      </c>
      <c r="F16" s="156">
        <v>1</v>
      </c>
      <c r="G16" s="156"/>
      <c r="H16" s="159"/>
      <c r="I16" s="158">
        <f>SQRT((G16^2)+(H16^2))</f>
        <v>0</v>
      </c>
      <c r="J16" s="156"/>
      <c r="K16" s="159">
        <v>1</v>
      </c>
      <c r="L16" s="158">
        <f>(((C16*D16)+(((C16+D16)*2)*E16))*F16)*K16</f>
        <v>4.3158499999999993</v>
      </c>
      <c r="M16" s="158">
        <f>(((H16*C16)+(((G16*H16)/2)*2))*J16)*K16</f>
        <v>0</v>
      </c>
      <c r="N16" s="158">
        <f>SUM(L16:M16)</f>
        <v>4.3158499999999993</v>
      </c>
      <c r="O16" s="158">
        <f>(((C16*D16)*E16)*F16)*K16</f>
        <v>0.45506299999999994</v>
      </c>
      <c r="P16" s="158">
        <f>((((G16*H16)/2)*C16)*J16)*K16</f>
        <v>0</v>
      </c>
      <c r="Q16" s="158">
        <f>SUM(O16:P16)</f>
        <v>0.45506299999999994</v>
      </c>
      <c r="R16" s="262" t="s">
        <v>410</v>
      </c>
      <c r="T16" s="237"/>
      <c r="U16" s="237"/>
    </row>
    <row r="17" spans="1:18" ht="13.15" customHeight="1" x14ac:dyDescent="0.2">
      <c r="A17" s="282"/>
      <c r="B17" s="283" t="s">
        <v>91</v>
      </c>
      <c r="C17" s="156">
        <v>1.2549999999999999</v>
      </c>
      <c r="D17" s="156">
        <v>1.9950000000000001</v>
      </c>
      <c r="E17" s="284">
        <v>0.14000000000000001</v>
      </c>
      <c r="F17" s="156">
        <v>1</v>
      </c>
      <c r="G17" s="156">
        <v>0.28000000000000003</v>
      </c>
      <c r="H17" s="159">
        <v>0.18</v>
      </c>
      <c r="I17" s="158">
        <f>SQRT((G17^2)+(H17^2))</f>
        <v>0.33286633954186479</v>
      </c>
      <c r="J17" s="156">
        <v>6</v>
      </c>
      <c r="K17" s="159">
        <v>1</v>
      </c>
      <c r="L17" s="158">
        <f>(((C17*D17)+(((C17+D17)*2)*E17))*F17)*K17</f>
        <v>3.4137249999999999</v>
      </c>
      <c r="M17" s="158">
        <f>(((H17*C17)+(((G17*H17)/2)*2))*J17)*K17</f>
        <v>1.6577999999999999</v>
      </c>
      <c r="N17" s="158">
        <f>SUM(L17:M17)</f>
        <v>5.0715249999999994</v>
      </c>
      <c r="O17" s="158">
        <f>(((C17*D17)*E17)*F17)*K17</f>
        <v>0.35052149999999999</v>
      </c>
      <c r="P17" s="158">
        <f>((((G17*H17)/2)*C17)*J17)*K17</f>
        <v>0.18975599999999998</v>
      </c>
      <c r="Q17" s="158">
        <f>SUM(O17:P17)</f>
        <v>0.54027749999999997</v>
      </c>
      <c r="R17" s="262" t="s">
        <v>410</v>
      </c>
    </row>
    <row r="18" spans="1:18" ht="13.15" customHeight="1" x14ac:dyDescent="0.2">
      <c r="A18" s="282"/>
      <c r="B18" s="283" t="s">
        <v>528</v>
      </c>
      <c r="C18" s="156">
        <f>2.51/2</f>
        <v>1.2549999999999999</v>
      </c>
      <c r="D18" s="156">
        <f>1.8+0.825</f>
        <v>2.625</v>
      </c>
      <c r="E18" s="284">
        <v>0.14000000000000001</v>
      </c>
      <c r="F18" s="156">
        <v>1</v>
      </c>
      <c r="G18" s="156"/>
      <c r="H18" s="159"/>
      <c r="I18" s="158">
        <f>SQRT((G18^2)+(H18^2))</f>
        <v>0</v>
      </c>
      <c r="J18" s="156"/>
      <c r="K18" s="159">
        <v>1</v>
      </c>
      <c r="L18" s="234">
        <f>(((C18*D18)+(((C18+D18)*2)*E18))*F18)*K18</f>
        <v>4.3807749999999999</v>
      </c>
      <c r="M18" s="234">
        <f>(((H18*C18)+(((G18*H18)/2)*2))*J18)*K18</f>
        <v>0</v>
      </c>
      <c r="N18" s="234">
        <f>SUM(L18:M18)</f>
        <v>4.3807749999999999</v>
      </c>
      <c r="O18" s="234">
        <f>(((C18*D18)*E18)*F18)*K18</f>
        <v>0.46121249999999997</v>
      </c>
      <c r="P18" s="234">
        <f>((((G18*H18)/2)*C18)*J18)*K18</f>
        <v>0</v>
      </c>
      <c r="Q18" s="158">
        <f>SUM(O18:P18)</f>
        <v>0.46121249999999997</v>
      </c>
      <c r="R18" s="262" t="s">
        <v>410</v>
      </c>
    </row>
    <row r="19" spans="1:18" ht="13.15" customHeight="1" x14ac:dyDescent="0.2">
      <c r="A19" s="285"/>
      <c r="B19" s="286" t="s">
        <v>529</v>
      </c>
      <c r="C19" s="156">
        <f>2.51/2</f>
        <v>1.2549999999999999</v>
      </c>
      <c r="D19" s="233">
        <v>1.875</v>
      </c>
      <c r="E19" s="287">
        <v>0.14000000000000001</v>
      </c>
      <c r="F19" s="233">
        <v>1</v>
      </c>
      <c r="G19" s="233"/>
      <c r="H19" s="223"/>
      <c r="I19" s="234">
        <f>SQRT((G19^2)+(H19^2))</f>
        <v>0</v>
      </c>
      <c r="J19" s="233"/>
      <c r="K19" s="223">
        <v>1</v>
      </c>
      <c r="L19" s="234">
        <f>(((C19*D19)+(((C19+D19)*2)*E19))*F19)*K19</f>
        <v>3.2295249999999998</v>
      </c>
      <c r="M19" s="234">
        <f>(((H19*C19)+(((G19*H19)/2)*2))*J19)*K19</f>
        <v>0</v>
      </c>
      <c r="N19" s="234">
        <f>SUM(L19:M19)</f>
        <v>3.2295249999999998</v>
      </c>
      <c r="O19" s="234">
        <f>(((C19*D19)*E19)*F19)*K19</f>
        <v>0.32943749999999999</v>
      </c>
      <c r="P19" s="234">
        <f>((((G19*H19)/2)*C19)*J19)*K19</f>
        <v>0</v>
      </c>
      <c r="Q19" s="158">
        <f>SUM(O19:P19)</f>
        <v>0.32943749999999999</v>
      </c>
      <c r="R19" s="262" t="s">
        <v>410</v>
      </c>
    </row>
    <row r="20" spans="1:18" ht="13.15" customHeight="1" x14ac:dyDescent="0.2">
      <c r="A20" s="802"/>
      <c r="B20" s="801" t="s">
        <v>317</v>
      </c>
      <c r="C20" s="156"/>
      <c r="D20" s="156"/>
      <c r="E20" s="284"/>
      <c r="F20" s="156"/>
      <c r="G20" s="156"/>
      <c r="H20" s="159"/>
      <c r="I20" s="158"/>
      <c r="J20" s="156"/>
      <c r="K20" s="159"/>
      <c r="L20" s="234"/>
      <c r="M20" s="234"/>
      <c r="N20" s="234"/>
      <c r="O20" s="234"/>
      <c r="P20" s="234"/>
      <c r="Q20" s="221">
        <v>2.6</v>
      </c>
      <c r="R20" s="262"/>
    </row>
    <row r="21" spans="1:18" ht="13.15" customHeight="1" x14ac:dyDescent="0.2">
      <c r="A21" s="110" t="s">
        <v>1233</v>
      </c>
      <c r="B21" s="111"/>
      <c r="C21" s="110"/>
      <c r="D21" s="110"/>
      <c r="E21" s="111"/>
      <c r="F21" s="110"/>
      <c r="G21" s="110"/>
      <c r="H21" s="111"/>
      <c r="I21" s="110"/>
      <c r="J21" s="110"/>
      <c r="K21" s="111"/>
      <c r="L21" s="110"/>
      <c r="M21" s="110"/>
      <c r="N21" s="111"/>
      <c r="O21" s="111"/>
      <c r="P21" s="111"/>
      <c r="Q21" s="111"/>
      <c r="R21" s="263"/>
    </row>
    <row r="22" spans="1:18" ht="13.15" customHeight="1" x14ac:dyDescent="0.2">
      <c r="A22" s="282"/>
      <c r="B22" s="283" t="s">
        <v>85</v>
      </c>
      <c r="C22" s="156">
        <v>1.2549999999999999</v>
      </c>
      <c r="D22" s="156">
        <v>3.33</v>
      </c>
      <c r="E22" s="284">
        <v>0.14000000000000001</v>
      </c>
      <c r="F22" s="156">
        <v>1</v>
      </c>
      <c r="G22" s="156">
        <v>0.28000000000000003</v>
      </c>
      <c r="H22" s="159">
        <v>0.18</v>
      </c>
      <c r="I22" s="158">
        <f>SQRT((G22^2)+(H22^2))</f>
        <v>0.33286633954186479</v>
      </c>
      <c r="J22" s="156">
        <v>10</v>
      </c>
      <c r="K22" s="159">
        <v>1</v>
      </c>
      <c r="L22" s="158">
        <f>(((C22*D22)+(((C22+D22)*2)*E22))*F22)*K22</f>
        <v>5.4629500000000002</v>
      </c>
      <c r="M22" s="158">
        <f>(((H22*C22)+(((G22*H22)/2)*2))*J22)*K22</f>
        <v>2.7629999999999999</v>
      </c>
      <c r="N22" s="158">
        <f>SUM(L22:M22)</f>
        <v>8.225950000000001</v>
      </c>
      <c r="O22" s="158">
        <f>(((C22*D22)*E22)*F22)*K22</f>
        <v>0.58508100000000007</v>
      </c>
      <c r="P22" s="158">
        <f>((((G22*H22)/2)*C22)*J22)*K22</f>
        <v>0.31625999999999993</v>
      </c>
      <c r="Q22" s="158">
        <f>SUM(O22:P22)</f>
        <v>0.90134099999999995</v>
      </c>
      <c r="R22" s="262" t="s">
        <v>431</v>
      </c>
    </row>
    <row r="23" spans="1:18" ht="13.15" customHeight="1" x14ac:dyDescent="0.2">
      <c r="A23" s="282"/>
      <c r="B23" s="283" t="s">
        <v>90</v>
      </c>
      <c r="C23" s="156">
        <v>2.5099999999999998</v>
      </c>
      <c r="D23" s="156">
        <v>1.2949999999999999</v>
      </c>
      <c r="E23" s="284">
        <v>0.14000000000000001</v>
      </c>
      <c r="F23" s="156">
        <v>1</v>
      </c>
      <c r="G23" s="156"/>
      <c r="H23" s="159"/>
      <c r="I23" s="158">
        <f>SQRT((G23^2)+(H23^2))</f>
        <v>0</v>
      </c>
      <c r="J23" s="156"/>
      <c r="K23" s="159">
        <v>1</v>
      </c>
      <c r="L23" s="158">
        <f>(((C23*D23)+(((C23+D23)*2)*E23))*F23)*K23</f>
        <v>4.3158499999999993</v>
      </c>
      <c r="M23" s="158">
        <f>(((H23*C23)+(((G23*H23)/2)*2))*J23)*K23</f>
        <v>0</v>
      </c>
      <c r="N23" s="158">
        <f>SUM(L23:M23)</f>
        <v>4.3158499999999993</v>
      </c>
      <c r="O23" s="158">
        <f>(((C23*D23)*E23)*F23)*K23</f>
        <v>0.45506299999999994</v>
      </c>
      <c r="P23" s="158">
        <f>((((G23*H23)/2)*C23)*J23)*K23</f>
        <v>0</v>
      </c>
      <c r="Q23" s="158">
        <f>SUM(O23:P23)</f>
        <v>0.45506299999999994</v>
      </c>
      <c r="R23" s="262" t="s">
        <v>431</v>
      </c>
    </row>
    <row r="24" spans="1:18" ht="13.15" customHeight="1" x14ac:dyDescent="0.2">
      <c r="A24" s="282"/>
      <c r="B24" s="283" t="s">
        <v>91</v>
      </c>
      <c r="C24" s="156">
        <v>1.2549999999999999</v>
      </c>
      <c r="D24" s="156">
        <v>1.9950000000000001</v>
      </c>
      <c r="E24" s="284">
        <v>0.14000000000000001</v>
      </c>
      <c r="F24" s="156">
        <v>1</v>
      </c>
      <c r="G24" s="156">
        <v>0.28000000000000003</v>
      </c>
      <c r="H24" s="159">
        <v>0.18</v>
      </c>
      <c r="I24" s="158">
        <f>SQRT((G24^2)+(H24^2))</f>
        <v>0.33286633954186479</v>
      </c>
      <c r="J24" s="156">
        <v>6</v>
      </c>
      <c r="K24" s="159">
        <v>1</v>
      </c>
      <c r="L24" s="158">
        <f>(((C24*D24)+(((C24+D24)*2)*E24))*F24)*K24</f>
        <v>3.4137249999999999</v>
      </c>
      <c r="M24" s="158">
        <f>(((H24*C24)+(((G24*H24)/2)*2))*J24)*K24</f>
        <v>1.6577999999999999</v>
      </c>
      <c r="N24" s="158">
        <f>SUM(L24:M24)</f>
        <v>5.0715249999999994</v>
      </c>
      <c r="O24" s="158">
        <f>(((C24*D24)*E24)*F24)*K24</f>
        <v>0.35052149999999999</v>
      </c>
      <c r="P24" s="158">
        <f>((((G24*H24)/2)*C24)*J24)*K24</f>
        <v>0.18975599999999998</v>
      </c>
      <c r="Q24" s="158">
        <f>SUM(O24:P24)</f>
        <v>0.54027749999999997</v>
      </c>
      <c r="R24" s="262" t="s">
        <v>431</v>
      </c>
    </row>
    <row r="25" spans="1:18" ht="13.15" customHeight="1" x14ac:dyDescent="0.2">
      <c r="A25" s="282"/>
      <c r="B25" s="283" t="s">
        <v>528</v>
      </c>
      <c r="C25" s="156">
        <f>2.51/2</f>
        <v>1.2549999999999999</v>
      </c>
      <c r="D25" s="156">
        <f>1.8+0.825</f>
        <v>2.625</v>
      </c>
      <c r="E25" s="284">
        <v>0.14000000000000001</v>
      </c>
      <c r="F25" s="156">
        <v>1</v>
      </c>
      <c r="G25" s="156"/>
      <c r="H25" s="159"/>
      <c r="I25" s="158">
        <f>SQRT((G25^2)+(H25^2))</f>
        <v>0</v>
      </c>
      <c r="J25" s="156"/>
      <c r="K25" s="159">
        <v>1</v>
      </c>
      <c r="L25" s="234">
        <f>(((C25*D25)+(((C25+D25)*2)*E25))*F25)*K25</f>
        <v>4.3807749999999999</v>
      </c>
      <c r="M25" s="234">
        <f>(((H25*C25)+(((G25*H25)/2)*2))*J25)*K25</f>
        <v>0</v>
      </c>
      <c r="N25" s="234">
        <f>SUM(L25:M25)</f>
        <v>4.3807749999999999</v>
      </c>
      <c r="O25" s="234">
        <f>(((C25*D25)*E25)*F25)*K25</f>
        <v>0.46121249999999997</v>
      </c>
      <c r="P25" s="234">
        <f>((((G25*H25)/2)*C25)*J25)*K25</f>
        <v>0</v>
      </c>
      <c r="Q25" s="158">
        <f>SUM(O25:P25)</f>
        <v>0.46121249999999997</v>
      </c>
      <c r="R25" s="262" t="s">
        <v>431</v>
      </c>
    </row>
    <row r="26" spans="1:18" ht="13.15" customHeight="1" x14ac:dyDescent="0.2">
      <c r="A26" s="285"/>
      <c r="B26" s="286" t="s">
        <v>529</v>
      </c>
      <c r="C26" s="156">
        <f>2.51/2</f>
        <v>1.2549999999999999</v>
      </c>
      <c r="D26" s="233">
        <v>1.875</v>
      </c>
      <c r="E26" s="287">
        <v>0.14000000000000001</v>
      </c>
      <c r="F26" s="233">
        <v>1</v>
      </c>
      <c r="G26" s="233"/>
      <c r="H26" s="223"/>
      <c r="I26" s="234">
        <f>SQRT((G26^2)+(H26^2))</f>
        <v>0</v>
      </c>
      <c r="J26" s="233"/>
      <c r="K26" s="223">
        <v>1</v>
      </c>
      <c r="L26" s="234">
        <f>(((C26*D26)+(((C26+D26)*2)*E26))*F26)*K26</f>
        <v>3.2295249999999998</v>
      </c>
      <c r="M26" s="234">
        <f>(((H26*C26)+(((G26*H26)/2)*2))*J26)*K26</f>
        <v>0</v>
      </c>
      <c r="N26" s="234">
        <f>SUM(L26:M26)</f>
        <v>3.2295249999999998</v>
      </c>
      <c r="O26" s="234">
        <f>(((C26*D26)*E26)*F26)*K26</f>
        <v>0.32943749999999999</v>
      </c>
      <c r="P26" s="234">
        <f>((((G26*H26)/2)*C26)*J26)*K26</f>
        <v>0</v>
      </c>
      <c r="Q26" s="158">
        <f>SUM(O26:P26)</f>
        <v>0.32943749999999999</v>
      </c>
      <c r="R26" s="262" t="s">
        <v>431</v>
      </c>
    </row>
    <row r="27" spans="1:18" ht="13.15" customHeight="1" x14ac:dyDescent="0.2">
      <c r="A27" s="802"/>
      <c r="B27" s="801" t="s">
        <v>317</v>
      </c>
      <c r="C27" s="156"/>
      <c r="D27" s="156"/>
      <c r="E27" s="284"/>
      <c r="F27" s="156"/>
      <c r="G27" s="156"/>
      <c r="H27" s="159"/>
      <c r="I27" s="158"/>
      <c r="J27" s="156"/>
      <c r="K27" s="159"/>
      <c r="L27" s="234"/>
      <c r="M27" s="234"/>
      <c r="N27" s="234"/>
      <c r="O27" s="234"/>
      <c r="P27" s="234"/>
      <c r="Q27" s="221">
        <v>2.6</v>
      </c>
      <c r="R27" s="262"/>
    </row>
    <row r="28" spans="1:18" ht="13.15" customHeight="1" x14ac:dyDescent="0.2">
      <c r="A28" s="110" t="s">
        <v>1234</v>
      </c>
      <c r="B28" s="111"/>
      <c r="C28" s="110"/>
      <c r="D28" s="110"/>
      <c r="E28" s="111"/>
      <c r="F28" s="110"/>
      <c r="G28" s="110"/>
      <c r="H28" s="111"/>
      <c r="I28" s="110"/>
      <c r="J28" s="110"/>
      <c r="K28" s="111"/>
      <c r="L28" s="110"/>
      <c r="M28" s="110"/>
      <c r="N28" s="111"/>
      <c r="O28" s="111"/>
      <c r="P28" s="111"/>
      <c r="Q28" s="111"/>
      <c r="R28" s="263"/>
    </row>
    <row r="29" spans="1:18" ht="13.15" customHeight="1" x14ac:dyDescent="0.2">
      <c r="A29" s="282"/>
      <c r="B29" s="283" t="s">
        <v>85</v>
      </c>
      <c r="C29" s="156">
        <v>1.2549999999999999</v>
      </c>
      <c r="D29" s="156">
        <v>3.33</v>
      </c>
      <c r="E29" s="284">
        <v>0.14000000000000001</v>
      </c>
      <c r="F29" s="156">
        <v>1</v>
      </c>
      <c r="G29" s="156">
        <v>0.28000000000000003</v>
      </c>
      <c r="H29" s="159">
        <v>0.18</v>
      </c>
      <c r="I29" s="158">
        <f>SQRT((G29^2)+(H29^2))</f>
        <v>0.33286633954186479</v>
      </c>
      <c r="J29" s="156">
        <v>10</v>
      </c>
      <c r="K29" s="159">
        <v>1</v>
      </c>
      <c r="L29" s="158">
        <f>(((C29*D29)+(((C29+D29)*2)*E29))*F29)*K29</f>
        <v>5.4629500000000002</v>
      </c>
      <c r="M29" s="158">
        <f>(((H29*C29)+(((G29*H29)/2)*2))*J29)*K29</f>
        <v>2.7629999999999999</v>
      </c>
      <c r="N29" s="158">
        <f>SUM(L29:M29)</f>
        <v>8.225950000000001</v>
      </c>
      <c r="O29" s="158">
        <f>(((C29*D29)*E29)*F29)*K29</f>
        <v>0.58508100000000007</v>
      </c>
      <c r="P29" s="158">
        <f>((((G29*H29)/2)*C29)*J29)*K29</f>
        <v>0.31625999999999993</v>
      </c>
      <c r="Q29" s="158">
        <f>SUM(O29:P29)</f>
        <v>0.90134099999999995</v>
      </c>
      <c r="R29" s="262" t="s">
        <v>414</v>
      </c>
    </row>
    <row r="30" spans="1:18" ht="13.15" customHeight="1" x14ac:dyDescent="0.2">
      <c r="A30" s="282"/>
      <c r="B30" s="283" t="s">
        <v>90</v>
      </c>
      <c r="C30" s="156">
        <v>2.5099999999999998</v>
      </c>
      <c r="D30" s="156">
        <v>1.3</v>
      </c>
      <c r="E30" s="284">
        <v>0.14000000000000001</v>
      </c>
      <c r="F30" s="156">
        <v>1</v>
      </c>
      <c r="G30" s="156"/>
      <c r="H30" s="159"/>
      <c r="I30" s="158">
        <f>SQRT((G30^2)+(H30^2))</f>
        <v>0</v>
      </c>
      <c r="J30" s="156"/>
      <c r="K30" s="159">
        <v>1</v>
      </c>
      <c r="L30" s="158">
        <f>(((C30*D30)+(((C30+D30)*2)*E30))*F30)*K30</f>
        <v>4.3297999999999996</v>
      </c>
      <c r="M30" s="158">
        <f>(((H30*C30)+(((G30*H30)/2)*2))*J30)*K30</f>
        <v>0</v>
      </c>
      <c r="N30" s="158">
        <f>SUM(L30:M30)</f>
        <v>4.3297999999999996</v>
      </c>
      <c r="O30" s="158">
        <f>(((C30*D30)*E30)*F30)*K30</f>
        <v>0.45682</v>
      </c>
      <c r="P30" s="158">
        <f>((((G30*H30)/2)*C30)*J30)*K30</f>
        <v>0</v>
      </c>
      <c r="Q30" s="158">
        <f>SUM(O30:P30)</f>
        <v>0.45682</v>
      </c>
      <c r="R30" s="262" t="s">
        <v>414</v>
      </c>
    </row>
    <row r="31" spans="1:18" ht="13.15" customHeight="1" x14ac:dyDescent="0.2">
      <c r="A31" s="282"/>
      <c r="B31" s="283" t="s">
        <v>91</v>
      </c>
      <c r="C31" s="156">
        <v>1.2549999999999999</v>
      </c>
      <c r="D31" s="156">
        <v>3.33</v>
      </c>
      <c r="E31" s="284">
        <v>0.14000000000000001</v>
      </c>
      <c r="F31" s="156">
        <v>1</v>
      </c>
      <c r="G31" s="156">
        <v>0.28000000000000003</v>
      </c>
      <c r="H31" s="159">
        <v>0.18</v>
      </c>
      <c r="I31" s="158">
        <f>SQRT((G31^2)+(H31^2))</f>
        <v>0.33286633954186479</v>
      </c>
      <c r="J31" s="156">
        <v>10</v>
      </c>
      <c r="K31" s="159">
        <v>1</v>
      </c>
      <c r="L31" s="158">
        <f>(((C31*D31)+(((C31+D31)*2)*E31))*F31)*K31</f>
        <v>5.4629500000000002</v>
      </c>
      <c r="M31" s="158">
        <f>(((H31*C31)+(((G31*H31)/2)*2))*J31)*K31</f>
        <v>2.7629999999999999</v>
      </c>
      <c r="N31" s="158">
        <f>SUM(L31:M31)</f>
        <v>8.225950000000001</v>
      </c>
      <c r="O31" s="158">
        <f>(((C31*D31)*E31)*F31)*K31</f>
        <v>0.58508100000000007</v>
      </c>
      <c r="P31" s="158">
        <f>((((G31*H31)/2)*C31)*J31)*K31</f>
        <v>0.31625999999999993</v>
      </c>
      <c r="Q31" s="158">
        <f>SUM(O31:P31)</f>
        <v>0.90134099999999995</v>
      </c>
      <c r="R31" s="262" t="s">
        <v>414</v>
      </c>
    </row>
    <row r="32" spans="1:18" ht="13.15" customHeight="1" x14ac:dyDescent="0.2">
      <c r="A32" s="282"/>
      <c r="B32" s="283" t="s">
        <v>528</v>
      </c>
      <c r="C32" s="156">
        <f>2.51/2</f>
        <v>1.2549999999999999</v>
      </c>
      <c r="D32" s="156">
        <v>1.5049999999999999</v>
      </c>
      <c r="E32" s="284">
        <v>0.14000000000000001</v>
      </c>
      <c r="F32" s="156">
        <v>1</v>
      </c>
      <c r="G32" s="156"/>
      <c r="H32" s="159"/>
      <c r="I32" s="158">
        <f>SQRT((G32^2)+(H32^2))</f>
        <v>0</v>
      </c>
      <c r="J32" s="156"/>
      <c r="K32" s="159">
        <v>1</v>
      </c>
      <c r="L32" s="234">
        <f>(((C32*D32)+(((C32+D32)*2)*E32))*F32)*K32</f>
        <v>2.6615749999999996</v>
      </c>
      <c r="M32" s="234">
        <f>(((H32*C32)+(((G32*H32)/2)*2))*J32)*K32</f>
        <v>0</v>
      </c>
      <c r="N32" s="234">
        <f>SUM(L32:M32)</f>
        <v>2.6615749999999996</v>
      </c>
      <c r="O32" s="234">
        <f>(((C32*D32)*E32)*F32)*K32</f>
        <v>0.26442849999999996</v>
      </c>
      <c r="P32" s="234">
        <f>((((G32*H32)/2)*C32)*J32)*K32</f>
        <v>0</v>
      </c>
      <c r="Q32" s="158">
        <f>SUM(O32:P32)</f>
        <v>0.26442849999999996</v>
      </c>
      <c r="R32" s="262" t="s">
        <v>414</v>
      </c>
    </row>
    <row r="33" spans="1:21" ht="13.15" customHeight="1" x14ac:dyDescent="0.2">
      <c r="A33" s="285"/>
      <c r="B33" s="286" t="s">
        <v>529</v>
      </c>
      <c r="C33" s="156">
        <f>2.51/2</f>
        <v>1.2549999999999999</v>
      </c>
      <c r="D33" s="233">
        <v>1.875</v>
      </c>
      <c r="E33" s="287">
        <v>0.14000000000000001</v>
      </c>
      <c r="F33" s="233">
        <v>1</v>
      </c>
      <c r="G33" s="233"/>
      <c r="H33" s="223"/>
      <c r="I33" s="234">
        <f>SQRT((G33^2)+(H33^2))</f>
        <v>0</v>
      </c>
      <c r="J33" s="233"/>
      <c r="K33" s="223">
        <v>1</v>
      </c>
      <c r="L33" s="234">
        <f>(((C33*D33)+(((C33+D33)*2)*E33))*F33)*K33</f>
        <v>3.2295249999999998</v>
      </c>
      <c r="M33" s="234">
        <f>(((H33*C33)+(((G33*H33)/2)*2))*J33)*K33</f>
        <v>0</v>
      </c>
      <c r="N33" s="234">
        <f>SUM(L33:M33)</f>
        <v>3.2295249999999998</v>
      </c>
      <c r="O33" s="234">
        <f>(((C33*D33)*E33)*F33)*K33</f>
        <v>0.32943749999999999</v>
      </c>
      <c r="P33" s="234">
        <f>((((G33*H33)/2)*C33)*J33)*K33</f>
        <v>0</v>
      </c>
      <c r="Q33" s="158">
        <f>SUM(O33:P33)</f>
        <v>0.32943749999999999</v>
      </c>
      <c r="R33" s="262" t="s">
        <v>414</v>
      </c>
    </row>
    <row r="34" spans="1:21" ht="13.15" customHeight="1" x14ac:dyDescent="0.2">
      <c r="A34" s="802"/>
      <c r="B34" s="801" t="s">
        <v>317</v>
      </c>
      <c r="C34" s="156"/>
      <c r="D34" s="156"/>
      <c r="E34" s="284"/>
      <c r="F34" s="156"/>
      <c r="G34" s="156"/>
      <c r="H34" s="159"/>
      <c r="I34" s="158"/>
      <c r="J34" s="156"/>
      <c r="K34" s="159"/>
      <c r="L34" s="234"/>
      <c r="M34" s="234"/>
      <c r="N34" s="234"/>
      <c r="O34" s="234"/>
      <c r="P34" s="234"/>
      <c r="Q34" s="221">
        <v>3</v>
      </c>
      <c r="R34" s="262"/>
    </row>
    <row r="35" spans="1:21" ht="13.15" customHeight="1" x14ac:dyDescent="0.2">
      <c r="A35" s="110" t="s">
        <v>1230</v>
      </c>
      <c r="B35" s="111"/>
      <c r="C35" s="110"/>
      <c r="D35" s="110"/>
      <c r="E35" s="111"/>
      <c r="F35" s="110"/>
      <c r="G35" s="110"/>
      <c r="H35" s="111"/>
      <c r="I35" s="110"/>
      <c r="J35" s="110"/>
      <c r="K35" s="111"/>
      <c r="L35" s="110"/>
      <c r="M35" s="110"/>
      <c r="N35" s="111"/>
      <c r="O35" s="111"/>
      <c r="P35" s="111"/>
      <c r="Q35" s="111"/>
      <c r="R35" s="263"/>
    </row>
    <row r="36" spans="1:21" ht="13.15" customHeight="1" x14ac:dyDescent="0.2">
      <c r="A36" s="282" t="s">
        <v>1235</v>
      </c>
      <c r="B36" s="283" t="s">
        <v>85</v>
      </c>
      <c r="C36" s="156">
        <v>1.2549999999999999</v>
      </c>
      <c r="D36" s="156">
        <v>3.33</v>
      </c>
      <c r="E36" s="284">
        <v>0.14000000000000001</v>
      </c>
      <c r="F36" s="156">
        <v>1</v>
      </c>
      <c r="G36" s="156">
        <v>0.28000000000000003</v>
      </c>
      <c r="H36" s="159">
        <v>0.18</v>
      </c>
      <c r="I36" s="158">
        <f>SQRT((G36^2)+(H36^2))</f>
        <v>0.33286633954186479</v>
      </c>
      <c r="J36" s="156">
        <v>10</v>
      </c>
      <c r="K36" s="159">
        <v>1</v>
      </c>
      <c r="L36" s="158">
        <f>(((C36*D36)+(((C36+D36)*2)*E36))*F36)*K36</f>
        <v>5.4629500000000002</v>
      </c>
      <c r="M36" s="158">
        <f>(((H36*C36)+(((G36*H36)/2)*2))*J36)*K36</f>
        <v>2.7629999999999999</v>
      </c>
      <c r="N36" s="158">
        <f>SUM(L36:M36)</f>
        <v>8.225950000000001</v>
      </c>
      <c r="O36" s="158">
        <f>(((C36*D36)*E36)*F36)*K36</f>
        <v>0.58508100000000007</v>
      </c>
      <c r="P36" s="158">
        <f>((((G36*H36)/2)*C36)*J36)*K36</f>
        <v>0.31625999999999993</v>
      </c>
      <c r="Q36" s="158">
        <f>SUM(O36:P36)</f>
        <v>0.90134099999999995</v>
      </c>
      <c r="R36" s="262" t="s">
        <v>445</v>
      </c>
      <c r="U36" s="43"/>
    </row>
    <row r="37" spans="1:21" ht="13.15" customHeight="1" x14ac:dyDescent="0.2">
      <c r="A37" s="282"/>
      <c r="B37" s="283" t="s">
        <v>90</v>
      </c>
      <c r="C37" s="156">
        <v>2.5099999999999998</v>
      </c>
      <c r="D37" s="156">
        <v>1.3</v>
      </c>
      <c r="E37" s="284">
        <v>0.14000000000000001</v>
      </c>
      <c r="F37" s="156">
        <v>1</v>
      </c>
      <c r="G37" s="156"/>
      <c r="H37" s="159"/>
      <c r="I37" s="158">
        <f>SQRT((G37^2)+(H37^2))</f>
        <v>0</v>
      </c>
      <c r="J37" s="156"/>
      <c r="K37" s="159">
        <v>1</v>
      </c>
      <c r="L37" s="158">
        <f>(((C37*D37)+(((C37+D37)*2)*E37))*F37)*K37</f>
        <v>4.3297999999999996</v>
      </c>
      <c r="M37" s="158">
        <f>(((H37*C37)+(((G37*H37)/2)*2))*J37)*K37</f>
        <v>0</v>
      </c>
      <c r="N37" s="158">
        <f>SUM(L37:M37)</f>
        <v>4.3297999999999996</v>
      </c>
      <c r="O37" s="158">
        <f>(((C37*D37)*E37)*F37)*K37</f>
        <v>0.45682</v>
      </c>
      <c r="P37" s="158">
        <f>((((G37*H37)/2)*C37)*J37)*K37</f>
        <v>0</v>
      </c>
      <c r="Q37" s="158">
        <f>SUM(O37:P37)</f>
        <v>0.45682</v>
      </c>
      <c r="R37" s="262" t="s">
        <v>445</v>
      </c>
    </row>
    <row r="38" spans="1:21" ht="13.15" customHeight="1" x14ac:dyDescent="0.2">
      <c r="A38" s="282"/>
      <c r="B38" s="283" t="s">
        <v>91</v>
      </c>
      <c r="C38" s="156">
        <v>1.2549999999999999</v>
      </c>
      <c r="D38" s="156">
        <v>2.665</v>
      </c>
      <c r="E38" s="284">
        <v>0.14000000000000001</v>
      </c>
      <c r="F38" s="156">
        <v>1</v>
      </c>
      <c r="G38" s="156">
        <v>0.28000000000000003</v>
      </c>
      <c r="H38" s="159">
        <v>0.18</v>
      </c>
      <c r="I38" s="158">
        <f>SQRT((G38^2)+(H38^2))</f>
        <v>0.33286633954186479</v>
      </c>
      <c r="J38" s="156">
        <v>8</v>
      </c>
      <c r="K38" s="159">
        <v>1</v>
      </c>
      <c r="L38" s="158">
        <f>(((C38*D38)+(((C38+D38)*2)*E38))*F38)*K38</f>
        <v>4.4421749999999998</v>
      </c>
      <c r="M38" s="158">
        <f>(((H38*C38)+(((G38*H38)/2)*2))*J38)*K38</f>
        <v>2.2103999999999999</v>
      </c>
      <c r="N38" s="158">
        <f>SUM(L38:M38)</f>
        <v>6.6525749999999997</v>
      </c>
      <c r="O38" s="158">
        <f>(((C38*D38)*E38)*F38)*K38</f>
        <v>0.4682405</v>
      </c>
      <c r="P38" s="158">
        <f>((((G38*H38)/2)*C38)*J38)*K38</f>
        <v>0.25300799999999996</v>
      </c>
      <c r="Q38" s="158">
        <f>SUM(O38:P38)</f>
        <v>0.72124849999999996</v>
      </c>
      <c r="R38" s="262" t="s">
        <v>445</v>
      </c>
    </row>
    <row r="39" spans="1:21" ht="13.15" customHeight="1" x14ac:dyDescent="0.2">
      <c r="A39" s="282"/>
      <c r="B39" s="286" t="s">
        <v>529</v>
      </c>
      <c r="C39" s="156">
        <f>2.51/2</f>
        <v>1.2549999999999999</v>
      </c>
      <c r="D39" s="156">
        <v>1.875</v>
      </c>
      <c r="E39" s="284">
        <v>0.14000000000000001</v>
      </c>
      <c r="F39" s="156">
        <v>1</v>
      </c>
      <c r="G39" s="156"/>
      <c r="H39" s="159"/>
      <c r="I39" s="158">
        <f>SQRT((G39^2)+(H39^2))</f>
        <v>0</v>
      </c>
      <c r="J39" s="156"/>
      <c r="K39" s="159">
        <v>1</v>
      </c>
      <c r="L39" s="234">
        <f>(((C39*D39)+(((C39+D39)*2)*E39))*F39)*K39</f>
        <v>3.2295249999999998</v>
      </c>
      <c r="M39" s="234">
        <f>(((H39*C39)+(((G39*H39)/2)*2))*J39)*K39</f>
        <v>0</v>
      </c>
      <c r="N39" s="234">
        <f>SUM(L39:M39)</f>
        <v>3.2295249999999998</v>
      </c>
      <c r="O39" s="234">
        <f>(((C39*D39)*E39)*F39)*K39</f>
        <v>0.32943749999999999</v>
      </c>
      <c r="P39" s="234">
        <f>((((G39*H39)/2)*C39)*J39)*K39</f>
        <v>0</v>
      </c>
      <c r="Q39" s="158">
        <f>SUM(O39:P39)</f>
        <v>0.32943749999999999</v>
      </c>
      <c r="R39" s="262" t="s">
        <v>445</v>
      </c>
    </row>
    <row r="40" spans="1:21" ht="13.15" customHeight="1" x14ac:dyDescent="0.2">
      <c r="A40" s="285"/>
      <c r="B40" s="283" t="s">
        <v>528</v>
      </c>
      <c r="C40" s="156">
        <f>2.51/2</f>
        <v>1.2549999999999999</v>
      </c>
      <c r="D40" s="233">
        <f>1.8+0.265</f>
        <v>2.0649999999999999</v>
      </c>
      <c r="E40" s="287">
        <v>0.14000000000000001</v>
      </c>
      <c r="F40" s="156">
        <v>1</v>
      </c>
      <c r="G40" s="233"/>
      <c r="H40" s="223"/>
      <c r="I40" s="234">
        <f>SQRT((G40^2)+(H40^2))</f>
        <v>0</v>
      </c>
      <c r="J40" s="233"/>
      <c r="K40" s="159">
        <v>1</v>
      </c>
      <c r="L40" s="234">
        <f>(((C40*D40)+(((C40+D40)*2)*E40))*F40)*K40</f>
        <v>3.5211749999999999</v>
      </c>
      <c r="M40" s="234">
        <f>(((H40*C40)+(((G40*H40)/2)*2))*J40)*K40</f>
        <v>0</v>
      </c>
      <c r="N40" s="234">
        <f>SUM(L40:M40)</f>
        <v>3.5211749999999999</v>
      </c>
      <c r="O40" s="234">
        <f>(((C40*D40)*E40)*F40)*K40</f>
        <v>0.36282049999999999</v>
      </c>
      <c r="P40" s="234">
        <f>((((G40*H40)/2)*C40)*J40)*K40</f>
        <v>0</v>
      </c>
      <c r="Q40" s="158">
        <f>SUM(O40:P40)</f>
        <v>0.36282049999999999</v>
      </c>
      <c r="R40" s="262" t="s">
        <v>445</v>
      </c>
    </row>
    <row r="41" spans="1:21" ht="13.15" customHeight="1" x14ac:dyDescent="0.2">
      <c r="A41" s="282"/>
      <c r="B41" s="283"/>
      <c r="C41" s="156"/>
      <c r="D41" s="156"/>
      <c r="E41" s="284"/>
      <c r="F41" s="156"/>
      <c r="G41" s="156"/>
      <c r="H41" s="159"/>
      <c r="I41" s="158"/>
      <c r="J41" s="156"/>
      <c r="K41" s="159"/>
      <c r="L41" s="158"/>
      <c r="M41" s="158"/>
      <c r="N41" s="158"/>
      <c r="O41" s="158"/>
      <c r="P41" s="158"/>
      <c r="Q41" s="158"/>
      <c r="R41" s="262"/>
    </row>
    <row r="42" spans="1:21" ht="13.15" customHeight="1" x14ac:dyDescent="0.2">
      <c r="A42" s="282" t="s">
        <v>1237</v>
      </c>
      <c r="B42" s="283" t="s">
        <v>85</v>
      </c>
      <c r="C42" s="156">
        <v>1.2549999999999999</v>
      </c>
      <c r="D42" s="156">
        <v>3.33</v>
      </c>
      <c r="E42" s="284">
        <v>0.14000000000000001</v>
      </c>
      <c r="F42" s="156">
        <v>1</v>
      </c>
      <c r="G42" s="156">
        <v>0.28000000000000003</v>
      </c>
      <c r="H42" s="159">
        <v>0.18</v>
      </c>
      <c r="I42" s="158">
        <f>SQRT((G42^2)+(H42^2))</f>
        <v>0.33286633954186479</v>
      </c>
      <c r="J42" s="156">
        <v>10</v>
      </c>
      <c r="K42" s="159">
        <v>19</v>
      </c>
      <c r="L42" s="158">
        <f>(((C42*D42)+(((C42+D42)*2)*E42))*F42)*K42</f>
        <v>103.79605000000001</v>
      </c>
      <c r="M42" s="158">
        <f>(((H42*C42)+(((G42*H42)/2)*2))*J42)*K42</f>
        <v>52.497</v>
      </c>
      <c r="N42" s="158">
        <f>SUM(L42:M42)</f>
        <v>156.29304999999999</v>
      </c>
      <c r="O42" s="158">
        <f>(((C42*D42)*E42)*F42)*K42</f>
        <v>11.116539000000001</v>
      </c>
      <c r="P42" s="158">
        <f>((((G42*H42)/2)*C42)*J42)*K42</f>
        <v>6.0089399999999991</v>
      </c>
      <c r="Q42" s="158">
        <f>SUM(O42:P42)</f>
        <v>17.125478999999999</v>
      </c>
      <c r="R42" s="262" t="s">
        <v>445</v>
      </c>
      <c r="U42" s="43"/>
    </row>
    <row r="43" spans="1:21" ht="13.15" customHeight="1" x14ac:dyDescent="0.2">
      <c r="A43" s="282"/>
      <c r="B43" s="283" t="s">
        <v>90</v>
      </c>
      <c r="C43" s="156">
        <v>2.5099999999999998</v>
      </c>
      <c r="D43" s="156">
        <v>1.3</v>
      </c>
      <c r="E43" s="284">
        <v>0.14000000000000001</v>
      </c>
      <c r="F43" s="156">
        <v>1</v>
      </c>
      <c r="G43" s="156"/>
      <c r="H43" s="159"/>
      <c r="I43" s="158">
        <f>SQRT((G43^2)+(H43^2))</f>
        <v>0</v>
      </c>
      <c r="J43" s="156"/>
      <c r="K43" s="159">
        <v>19</v>
      </c>
      <c r="L43" s="158">
        <f>(((C43*D43)+(((C43+D43)*2)*E43))*F43)*K43</f>
        <v>82.266199999999998</v>
      </c>
      <c r="M43" s="158">
        <f>(((H43*C43)+(((G43*H43)/2)*2))*J43)*K43</f>
        <v>0</v>
      </c>
      <c r="N43" s="158">
        <f>SUM(L43:M43)</f>
        <v>82.266199999999998</v>
      </c>
      <c r="O43" s="158">
        <f>(((C43*D43)*E43)*F43)*K43</f>
        <v>8.6795799999999996</v>
      </c>
      <c r="P43" s="158">
        <f>((((G43*H43)/2)*C43)*J43)*K43</f>
        <v>0</v>
      </c>
      <c r="Q43" s="158">
        <f>SUM(O43:P43)</f>
        <v>8.6795799999999996</v>
      </c>
      <c r="R43" s="262" t="s">
        <v>445</v>
      </c>
    </row>
    <row r="44" spans="1:21" ht="13.15" customHeight="1" x14ac:dyDescent="0.2">
      <c r="A44" s="282"/>
      <c r="B44" s="283" t="s">
        <v>91</v>
      </c>
      <c r="C44" s="156">
        <v>1.2549999999999999</v>
      </c>
      <c r="D44" s="156">
        <v>2.33</v>
      </c>
      <c r="E44" s="284">
        <v>0.14000000000000001</v>
      </c>
      <c r="F44" s="156">
        <v>1</v>
      </c>
      <c r="G44" s="156">
        <v>0.28000000000000003</v>
      </c>
      <c r="H44" s="159">
        <v>0.18</v>
      </c>
      <c r="I44" s="158">
        <f>SQRT((G44^2)+(H44^2))</f>
        <v>0.33286633954186479</v>
      </c>
      <c r="J44" s="156">
        <v>7</v>
      </c>
      <c r="K44" s="159">
        <v>19</v>
      </c>
      <c r="L44" s="158">
        <f>(((C44*D44)+(((C44+D44)*2)*E44))*F44)*K44</f>
        <v>74.631050000000002</v>
      </c>
      <c r="M44" s="158">
        <f>(((H44*C44)+(((G44*H44)/2)*2))*J44)*K44</f>
        <v>36.747900000000001</v>
      </c>
      <c r="N44" s="158">
        <f>SUM(L44:M44)</f>
        <v>111.37895</v>
      </c>
      <c r="O44" s="158">
        <f>(((C44*D44)*E44)*F44)*K44</f>
        <v>7.778239000000001</v>
      </c>
      <c r="P44" s="158">
        <f>((((G44*H44)/2)*C44)*J44)*K44</f>
        <v>4.2062579999999992</v>
      </c>
      <c r="Q44" s="158">
        <f>SUM(O44:P44)</f>
        <v>11.984497000000001</v>
      </c>
      <c r="R44" s="262" t="s">
        <v>445</v>
      </c>
    </row>
    <row r="45" spans="1:21" ht="13.15" customHeight="1" x14ac:dyDescent="0.2">
      <c r="A45" s="282"/>
      <c r="B45" s="286" t="s">
        <v>529</v>
      </c>
      <c r="C45" s="156">
        <f>2.51/2</f>
        <v>1.2549999999999999</v>
      </c>
      <c r="D45" s="156">
        <v>1.875</v>
      </c>
      <c r="E45" s="284">
        <v>0.14000000000000001</v>
      </c>
      <c r="F45" s="156">
        <v>1</v>
      </c>
      <c r="G45" s="156"/>
      <c r="H45" s="159"/>
      <c r="I45" s="158">
        <f>SQRT((G45^2)+(H45^2))</f>
        <v>0</v>
      </c>
      <c r="J45" s="156"/>
      <c r="K45" s="159">
        <v>19</v>
      </c>
      <c r="L45" s="234">
        <f>(((C45*D45)+(((C45+D45)*2)*E45))*F45)*K45</f>
        <v>61.360974999999996</v>
      </c>
      <c r="M45" s="234">
        <f>(((H45*C45)+(((G45*H45)/2)*2))*J45)*K45</f>
        <v>0</v>
      </c>
      <c r="N45" s="234">
        <f>SUM(L45:M45)</f>
        <v>61.360974999999996</v>
      </c>
      <c r="O45" s="234">
        <f>(((C45*D45)*E45)*F45)*K45</f>
        <v>6.2593125000000001</v>
      </c>
      <c r="P45" s="158">
        <f>((((G45*H45)/2)*C45)*J45)*K45</f>
        <v>0</v>
      </c>
      <c r="Q45" s="158">
        <f>SUM(O45:P45)</f>
        <v>6.2593125000000001</v>
      </c>
      <c r="R45" s="262" t="s">
        <v>445</v>
      </c>
    </row>
    <row r="46" spans="1:21" ht="13.15" customHeight="1" x14ac:dyDescent="0.2">
      <c r="A46" s="285"/>
      <c r="B46" s="283" t="s">
        <v>528</v>
      </c>
      <c r="C46" s="156">
        <f>2.51/2</f>
        <v>1.2549999999999999</v>
      </c>
      <c r="D46" s="233">
        <f>1.8+0.545</f>
        <v>2.3450000000000002</v>
      </c>
      <c r="E46" s="287">
        <v>0.14000000000000001</v>
      </c>
      <c r="F46" s="156">
        <v>1</v>
      </c>
      <c r="G46" s="233"/>
      <c r="H46" s="223"/>
      <c r="I46" s="234">
        <f>SQRT((G46^2)+(H46^2))</f>
        <v>0</v>
      </c>
      <c r="J46" s="233"/>
      <c r="K46" s="159">
        <v>19</v>
      </c>
      <c r="L46" s="234">
        <f>(((C46*D46)+(((C46+D46)*2)*E46))*F46)*K46</f>
        <v>75.068525000000008</v>
      </c>
      <c r="M46" s="234">
        <f>(((H46*C46)+(((G46*H46)/2)*2))*J46)*K46</f>
        <v>0</v>
      </c>
      <c r="N46" s="234">
        <f>SUM(L46:M46)</f>
        <v>75.068525000000008</v>
      </c>
      <c r="O46" s="234">
        <f>(((C46*D46)*E46)*F46)*K46</f>
        <v>7.828313500000001</v>
      </c>
      <c r="P46" s="158">
        <f>((((G46*H46)/2)*C46)*J46)*K46</f>
        <v>0</v>
      </c>
      <c r="Q46" s="158">
        <f>SUM(O46:P46)</f>
        <v>7.828313500000001</v>
      </c>
      <c r="R46" s="262" t="s">
        <v>445</v>
      </c>
    </row>
    <row r="47" spans="1:21" ht="13.15" customHeight="1" x14ac:dyDescent="0.2">
      <c r="A47" s="282"/>
      <c r="B47" s="283"/>
      <c r="C47" s="156"/>
      <c r="D47" s="156"/>
      <c r="E47" s="284"/>
      <c r="F47" s="156"/>
      <c r="G47" s="156"/>
      <c r="H47" s="159"/>
      <c r="I47" s="158"/>
      <c r="J47" s="156"/>
      <c r="K47" s="159"/>
      <c r="L47" s="158"/>
      <c r="M47" s="158"/>
      <c r="N47" s="158"/>
      <c r="O47" s="158"/>
      <c r="P47" s="158"/>
      <c r="Q47" s="158"/>
      <c r="R47" s="262"/>
    </row>
    <row r="48" spans="1:21" ht="13.15" customHeight="1" x14ac:dyDescent="0.2">
      <c r="A48" s="802"/>
      <c r="B48" s="801" t="s">
        <v>317</v>
      </c>
      <c r="C48" s="156"/>
      <c r="D48" s="156"/>
      <c r="E48" s="284"/>
      <c r="F48" s="156"/>
      <c r="G48" s="156"/>
      <c r="H48" s="159"/>
      <c r="I48" s="158"/>
      <c r="J48" s="156"/>
      <c r="K48" s="159"/>
      <c r="L48" s="234"/>
      <c r="M48" s="234"/>
      <c r="N48" s="234"/>
      <c r="O48" s="234"/>
      <c r="P48" s="234"/>
      <c r="Q48" s="221">
        <f>2.8*20</f>
        <v>56</v>
      </c>
      <c r="R48" s="262"/>
    </row>
    <row r="49" spans="1:20" ht="13.15" customHeight="1" x14ac:dyDescent="0.2">
      <c r="A49" s="110" t="s">
        <v>84</v>
      </c>
      <c r="B49" s="111"/>
      <c r="C49" s="110"/>
      <c r="D49" s="110"/>
      <c r="E49" s="111"/>
      <c r="F49" s="111"/>
      <c r="G49" s="111"/>
      <c r="H49" s="111"/>
      <c r="I49" s="110"/>
      <c r="J49" s="110"/>
      <c r="K49" s="111"/>
      <c r="L49" s="110"/>
      <c r="M49" s="110"/>
      <c r="N49" s="110"/>
      <c r="O49" s="110"/>
      <c r="P49" s="110"/>
      <c r="Q49" s="110"/>
      <c r="R49" s="263"/>
    </row>
    <row r="50" spans="1:20" ht="13.15" customHeight="1" x14ac:dyDescent="0.2">
      <c r="A50" s="282" t="s">
        <v>1236</v>
      </c>
      <c r="B50" s="283" t="s">
        <v>85</v>
      </c>
      <c r="C50" s="156">
        <v>1.2549999999999999</v>
      </c>
      <c r="D50" s="156">
        <v>3.33</v>
      </c>
      <c r="E50" s="284">
        <v>0.14000000000000001</v>
      </c>
      <c r="F50" s="156">
        <v>1</v>
      </c>
      <c r="G50" s="156">
        <v>0.28000000000000003</v>
      </c>
      <c r="H50" s="159">
        <v>0.18</v>
      </c>
      <c r="I50" s="158">
        <f>SQRT((G50^2)+(H50^2))</f>
        <v>0.33286633954186479</v>
      </c>
      <c r="J50" s="156">
        <v>10</v>
      </c>
      <c r="K50" s="159">
        <v>1</v>
      </c>
      <c r="L50" s="158">
        <f>(((C50*D50)+(((C50+D50)*2)*E50))*F50)*K50</f>
        <v>5.4629500000000002</v>
      </c>
      <c r="M50" s="158">
        <f>(((H50*C50)+(((G50*H50)/2)*2))*J50)*K50</f>
        <v>2.7629999999999999</v>
      </c>
      <c r="N50" s="158">
        <f>SUM(L50:M50)</f>
        <v>8.225950000000001</v>
      </c>
      <c r="O50" s="158">
        <f>(((C50*D50)*E50)*F50)*K50</f>
        <v>0.58508100000000007</v>
      </c>
      <c r="P50" s="158">
        <f>((((G50*H50)/2)*C50)*J50)*K50</f>
        <v>0.31625999999999993</v>
      </c>
      <c r="Q50" s="158">
        <f>SUM(O50:P50)</f>
        <v>0.90134099999999995</v>
      </c>
      <c r="R50" s="262" t="s">
        <v>458</v>
      </c>
    </row>
    <row r="51" spans="1:20" ht="13.15" customHeight="1" x14ac:dyDescent="0.2">
      <c r="A51" s="282"/>
      <c r="B51" s="283" t="s">
        <v>90</v>
      </c>
      <c r="C51" s="156">
        <v>2.5099999999999998</v>
      </c>
      <c r="D51" s="156">
        <v>1.3</v>
      </c>
      <c r="E51" s="284">
        <v>0.14000000000000001</v>
      </c>
      <c r="F51" s="156">
        <v>1</v>
      </c>
      <c r="G51" s="156"/>
      <c r="H51" s="159"/>
      <c r="I51" s="158">
        <f>SQRT((G51^2)+(H51^2))</f>
        <v>0</v>
      </c>
      <c r="J51" s="156"/>
      <c r="K51" s="159">
        <v>1</v>
      </c>
      <c r="L51" s="158">
        <f>(((C51*D51)+(((C51+D51)*2)*E51))*F51)*K51</f>
        <v>4.3297999999999996</v>
      </c>
      <c r="M51" s="158">
        <f>(((H51*C51)+(((G51*H51)/2)*2))*J51)*K51</f>
        <v>0</v>
      </c>
      <c r="N51" s="158">
        <f>SUM(L51:M51)</f>
        <v>4.3297999999999996</v>
      </c>
      <c r="O51" s="158">
        <f>(((C51*D51)*E51)*F51)*K51</f>
        <v>0.45682</v>
      </c>
      <c r="P51" s="158">
        <f>((((G51*H51)/2)*C51)*J51)*K51</f>
        <v>0</v>
      </c>
      <c r="Q51" s="158">
        <f>SUM(O51:P51)</f>
        <v>0.45682</v>
      </c>
      <c r="R51" s="262" t="s">
        <v>458</v>
      </c>
    </row>
    <row r="52" spans="1:20" ht="13.15" customHeight="1" x14ac:dyDescent="0.2">
      <c r="A52" s="282"/>
      <c r="B52" s="283" t="s">
        <v>91</v>
      </c>
      <c r="C52" s="156">
        <v>1.2549999999999999</v>
      </c>
      <c r="D52" s="156">
        <v>2.33</v>
      </c>
      <c r="E52" s="284">
        <v>0.14000000000000001</v>
      </c>
      <c r="F52" s="156">
        <v>1</v>
      </c>
      <c r="G52" s="156">
        <v>0.28000000000000003</v>
      </c>
      <c r="H52" s="159">
        <v>0.18</v>
      </c>
      <c r="I52" s="158">
        <f>SQRT((G52^2)+(H52^2))</f>
        <v>0.33286633954186479</v>
      </c>
      <c r="J52" s="156">
        <v>7</v>
      </c>
      <c r="K52" s="159">
        <v>1</v>
      </c>
      <c r="L52" s="158">
        <f>(((C52*D52)+(((C52+D52)*2)*E52))*F52)*K52</f>
        <v>3.9279500000000001</v>
      </c>
      <c r="M52" s="158">
        <f>(((H52*C52)+(((G52*H52)/2)*2))*J52)*K52</f>
        <v>1.9340999999999999</v>
      </c>
      <c r="N52" s="158">
        <f>SUM(L52:M52)</f>
        <v>5.86205</v>
      </c>
      <c r="O52" s="158">
        <f>(((C52*D52)*E52)*F52)*K52</f>
        <v>0.40938100000000005</v>
      </c>
      <c r="P52" s="158">
        <f>((((G52*H52)/2)*C52)*J52)*K52</f>
        <v>0.22138199999999997</v>
      </c>
      <c r="Q52" s="158">
        <f>SUM(O52:P52)</f>
        <v>0.63076299999999996</v>
      </c>
      <c r="R52" s="262" t="s">
        <v>458</v>
      </c>
    </row>
    <row r="53" spans="1:20" ht="13.15" customHeight="1" x14ac:dyDescent="0.2">
      <c r="A53" s="282"/>
      <c r="B53" s="286" t="s">
        <v>529</v>
      </c>
      <c r="C53" s="156">
        <f>2.51/2</f>
        <v>1.2549999999999999</v>
      </c>
      <c r="D53" s="156">
        <v>1.875</v>
      </c>
      <c r="E53" s="284">
        <v>0.14000000000000001</v>
      </c>
      <c r="F53" s="156">
        <v>1</v>
      </c>
      <c r="G53" s="156"/>
      <c r="H53" s="159"/>
      <c r="I53" s="158">
        <f>SQRT((G53^2)+(H53^2))</f>
        <v>0</v>
      </c>
      <c r="J53" s="156"/>
      <c r="K53" s="159">
        <v>1</v>
      </c>
      <c r="L53" s="234">
        <f>(((C53*D53)+(((C53+D53)*2)*E53))*F53)*K53</f>
        <v>3.2295249999999998</v>
      </c>
      <c r="M53" s="234">
        <f>(((H53*C53)+(((G53*H53)/2)*2))*J53)*K53</f>
        <v>0</v>
      </c>
      <c r="N53" s="234">
        <f>SUM(L53:M53)</f>
        <v>3.2295249999999998</v>
      </c>
      <c r="O53" s="234">
        <f>(((C53*D53)*E53)*F53)*K53</f>
        <v>0.32943749999999999</v>
      </c>
      <c r="P53" s="158">
        <f>((((G53*H53)/2)*C53)*J53)*K53</f>
        <v>0</v>
      </c>
      <c r="Q53" s="158">
        <f>SUM(O53:P53)</f>
        <v>0.32943749999999999</v>
      </c>
      <c r="R53" s="262" t="s">
        <v>458</v>
      </c>
    </row>
    <row r="54" spans="1:20" ht="13.15" customHeight="1" x14ac:dyDescent="0.2">
      <c r="A54" s="285"/>
      <c r="B54" s="283" t="s">
        <v>528</v>
      </c>
      <c r="C54" s="156">
        <f>2.51/2</f>
        <v>1.2549999999999999</v>
      </c>
      <c r="D54" s="233">
        <f>1.8+0.545</f>
        <v>2.3450000000000002</v>
      </c>
      <c r="E54" s="287">
        <v>0.14000000000000001</v>
      </c>
      <c r="F54" s="156">
        <v>1</v>
      </c>
      <c r="G54" s="233"/>
      <c r="H54" s="223"/>
      <c r="I54" s="234">
        <f>SQRT((G54^2)+(H54^2))</f>
        <v>0</v>
      </c>
      <c r="J54" s="233"/>
      <c r="K54" s="159">
        <v>1</v>
      </c>
      <c r="L54" s="234">
        <f>(((C54*D54)+(((C54+D54)*2)*E54))*F54)*K54</f>
        <v>3.9509750000000006</v>
      </c>
      <c r="M54" s="234">
        <f>(((H54*C54)+(((G54*H54)/2)*2))*J54)*K54</f>
        <v>0</v>
      </c>
      <c r="N54" s="234">
        <f>SUM(L54:M54)</f>
        <v>3.9509750000000006</v>
      </c>
      <c r="O54" s="234">
        <f>(((C54*D54)*E54)*F54)*K54</f>
        <v>0.41201650000000006</v>
      </c>
      <c r="P54" s="158">
        <f>((((G54*H54)/2)*C54)*J54)*K54</f>
        <v>0</v>
      </c>
      <c r="Q54" s="158">
        <f>SUM(O54:P54)</f>
        <v>0.41201650000000006</v>
      </c>
      <c r="R54" s="262" t="s">
        <v>458</v>
      </c>
    </row>
    <row r="55" spans="1:20" ht="13.15" customHeight="1" thickBot="1" x14ac:dyDescent="0.25">
      <c r="A55" s="802"/>
      <c r="B55" s="801" t="s">
        <v>317</v>
      </c>
      <c r="C55" s="156"/>
      <c r="D55" s="156"/>
      <c r="E55" s="284"/>
      <c r="F55" s="156"/>
      <c r="G55" s="156"/>
      <c r="H55" s="159"/>
      <c r="I55" s="158"/>
      <c r="J55" s="156"/>
      <c r="K55" s="159"/>
      <c r="L55" s="234"/>
      <c r="M55" s="234"/>
      <c r="N55" s="234"/>
      <c r="O55" s="234"/>
      <c r="P55" s="234"/>
      <c r="Q55" s="221">
        <v>2.8</v>
      </c>
      <c r="R55" s="262"/>
    </row>
    <row r="56" spans="1:20" ht="13.15" customHeight="1" thickTop="1" thickBot="1" x14ac:dyDescent="0.25">
      <c r="A56" s="236"/>
      <c r="B56" s="236" t="s">
        <v>19</v>
      </c>
      <c r="C56" s="236"/>
      <c r="D56" s="236"/>
      <c r="E56" s="236"/>
      <c r="F56" s="236"/>
      <c r="G56" s="236"/>
      <c r="H56" s="236"/>
      <c r="I56" s="236"/>
      <c r="J56" s="236"/>
      <c r="K56" s="236"/>
      <c r="L56" s="236"/>
      <c r="M56" s="236"/>
      <c r="N56" s="235">
        <f>SUM(N7:N55)</f>
        <v>642.42397499999981</v>
      </c>
      <c r="O56" s="235"/>
      <c r="P56" s="235"/>
      <c r="Q56" s="235">
        <f>SUM(Q8:Q12,Q15:Q19,Q22:Q26,Q29:Q33,Q36:Q46,Q50:Q54)</f>
        <v>68.541448500000001</v>
      </c>
      <c r="R56" s="264"/>
    </row>
    <row r="57" spans="1:20" ht="13.15" customHeight="1" thickTop="1" thickBot="1" x14ac:dyDescent="0.25">
      <c r="A57" s="136"/>
      <c r="B57" s="136" t="s">
        <v>71</v>
      </c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7"/>
      <c r="O57" s="136"/>
      <c r="P57" s="136"/>
      <c r="Q57" s="137"/>
      <c r="R57" s="265"/>
    </row>
    <row r="58" spans="1:20" ht="13.15" customHeight="1" thickTop="1" thickBot="1" x14ac:dyDescent="0.25">
      <c r="A58" s="267"/>
      <c r="B58" s="267"/>
      <c r="C58" s="267"/>
      <c r="D58" s="267"/>
      <c r="E58" s="267"/>
      <c r="F58" s="267"/>
      <c r="G58" s="267"/>
      <c r="H58" s="267"/>
      <c r="I58" s="267"/>
      <c r="J58" s="267"/>
      <c r="K58" s="267"/>
      <c r="L58" s="267"/>
      <c r="M58" s="267"/>
      <c r="N58" s="268"/>
      <c r="O58" s="267"/>
      <c r="P58" s="267"/>
      <c r="Q58" s="268"/>
      <c r="R58" s="269"/>
    </row>
    <row r="59" spans="1:20" ht="13.15" customHeight="1" thickTop="1" thickBot="1" x14ac:dyDescent="0.25">
      <c r="A59" s="205"/>
      <c r="B59" s="136"/>
      <c r="C59" s="136"/>
      <c r="D59" s="136"/>
      <c r="E59" s="136"/>
      <c r="F59" s="136"/>
      <c r="G59" s="136"/>
      <c r="H59" s="136"/>
      <c r="I59" s="136"/>
      <c r="J59" s="137"/>
      <c r="K59" s="136"/>
      <c r="L59" s="138"/>
      <c r="M59" s="137"/>
      <c r="N59" s="137"/>
      <c r="O59" s="136"/>
      <c r="P59" s="136"/>
      <c r="Q59" s="136"/>
      <c r="R59" s="265"/>
    </row>
    <row r="60" spans="1:20" ht="13.15" customHeight="1" thickTop="1" x14ac:dyDescent="0.2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3"/>
      <c r="O60" s="84"/>
      <c r="P60" s="84"/>
      <c r="Q60" s="83"/>
      <c r="R60" s="108"/>
    </row>
    <row r="61" spans="1:20" ht="13.15" customHeight="1" x14ac:dyDescent="0.2">
      <c r="B61" s="27" t="s">
        <v>69</v>
      </c>
      <c r="N61" s="26"/>
      <c r="P61" s="26"/>
    </row>
    <row r="62" spans="1:20" ht="14.1" customHeight="1" x14ac:dyDescent="0.2">
      <c r="B62" s="27"/>
      <c r="L62" s="1359"/>
      <c r="M62" s="1359"/>
      <c r="O62" s="26"/>
      <c r="T62" s="12"/>
    </row>
    <row r="63" spans="1:20" ht="13.9" customHeight="1" x14ac:dyDescent="0.2">
      <c r="A63" s="28"/>
      <c r="B63" s="28"/>
      <c r="N63" s="26"/>
    </row>
    <row r="64" spans="1:20" ht="14.1" customHeight="1" x14ac:dyDescent="0.2">
      <c r="A64" s="28"/>
      <c r="E64" s="29" t="s">
        <v>66</v>
      </c>
      <c r="H64" s="25" t="s">
        <v>52</v>
      </c>
    </row>
    <row r="65" spans="1:18" ht="14.1" customHeight="1" x14ac:dyDescent="0.2"/>
    <row r="66" spans="1:18" ht="14.1" customHeight="1" thickBot="1" x14ac:dyDescent="0.25">
      <c r="F66" s="30"/>
      <c r="G66" s="30"/>
      <c r="H66" s="30"/>
    </row>
    <row r="67" spans="1:18" x14ac:dyDescent="0.2">
      <c r="E67" s="31"/>
    </row>
    <row r="68" spans="1:18" ht="13.5" thickBot="1" x14ac:dyDescent="0.25">
      <c r="E68" s="32"/>
      <c r="G68" s="30"/>
      <c r="H68" s="30"/>
    </row>
    <row r="69" spans="1:18" x14ac:dyDescent="0.2">
      <c r="C69" s="1351" t="s">
        <v>67</v>
      </c>
      <c r="D69" s="31"/>
      <c r="N69" s="26"/>
    </row>
    <row r="70" spans="1:18" ht="13.5" thickBot="1" x14ac:dyDescent="0.25">
      <c r="C70" s="1352"/>
      <c r="D70" s="32"/>
    </row>
    <row r="71" spans="1:18" ht="20.100000000000001" customHeight="1" x14ac:dyDescent="0.2"/>
    <row r="72" spans="1:18" ht="20.100000000000001" customHeight="1" thickBot="1" x14ac:dyDescent="0.25">
      <c r="C72" s="30"/>
      <c r="D72" s="30"/>
      <c r="F72" s="29" t="s">
        <v>51</v>
      </c>
    </row>
    <row r="75" spans="1:18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09"/>
    </row>
    <row r="78" spans="1:18" x14ac:dyDescent="0.2">
      <c r="L78" s="26"/>
    </row>
  </sheetData>
  <mergeCells count="9">
    <mergeCell ref="A4:A6"/>
    <mergeCell ref="B4:B6"/>
    <mergeCell ref="T4:U5"/>
    <mergeCell ref="L62:M62"/>
    <mergeCell ref="C69:C70"/>
    <mergeCell ref="R5:R6"/>
    <mergeCell ref="O4:R4"/>
    <mergeCell ref="K4:K6"/>
    <mergeCell ref="W4:X5"/>
  </mergeCells>
  <dataValidations count="1">
    <dataValidation type="list" allowBlank="1" showInputMessage="1" showErrorMessage="1" sqref="L49 L7 L35 L14 L21 L28 R8:R55" xr:uid="{00000000-0002-0000-1800-000000000000}">
      <formula1>$U$7:$U$13</formula1>
    </dataValidation>
  </dataValidations>
  <printOptions horizontalCentered="1"/>
  <pageMargins left="0.19685039370078741" right="0.19685039370078741" top="0.39370078740157483" bottom="0.39370078740157483" header="0.51181102362204722" footer="0.19685039370078741"/>
  <pageSetup paperSize="9" scale="52" orientation="landscape" r:id="rId1"/>
  <headerFooter alignWithMargins="0">
    <oddFooter>&amp;L&amp;8&amp;F - &amp;A&amp;R&amp;8&amp;P / &amp;N</oddFooter>
  </headerFooter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1"/>
    <pageSetUpPr fitToPage="1"/>
  </sheetPr>
  <dimension ref="A1:V69"/>
  <sheetViews>
    <sheetView showGridLines="0" view="pageBreakPreview" zoomScaleNormal="100" zoomScaleSheetLayoutView="100" workbookViewId="0">
      <pane ySplit="6" topLeftCell="A34" activePane="bottomLeft" state="frozen"/>
      <selection sqref="A1:XFD3"/>
      <selection pane="bottomLeft" activeCell="K54" sqref="K54"/>
    </sheetView>
  </sheetViews>
  <sheetFormatPr defaultRowHeight="11.25" x14ac:dyDescent="0.2"/>
  <cols>
    <col min="1" max="1" width="30.85546875" style="4" customWidth="1"/>
    <col min="2" max="2" width="10.28515625" style="4" customWidth="1"/>
    <col min="3" max="12" width="9.28515625" style="4" customWidth="1"/>
    <col min="13" max="13" width="12" style="4" customWidth="1"/>
    <col min="14" max="14" width="12.140625" style="4" customWidth="1"/>
    <col min="15" max="15" width="13" style="4" customWidth="1"/>
    <col min="16" max="16" width="21.42578125" style="4" bestFit="1" customWidth="1"/>
    <col min="17" max="17" width="10.28515625" style="4" bestFit="1" customWidth="1"/>
    <col min="18" max="249" width="8.85546875" style="4"/>
    <col min="250" max="250" width="14.5703125" style="4" customWidth="1"/>
    <col min="251" max="251" width="20.7109375" style="4" customWidth="1"/>
    <col min="252" max="252" width="8.85546875" style="4"/>
    <col min="253" max="264" width="8.42578125" style="4" customWidth="1"/>
    <col min="265" max="505" width="8.85546875" style="4"/>
    <col min="506" max="506" width="14.5703125" style="4" customWidth="1"/>
    <col min="507" max="507" width="20.7109375" style="4" customWidth="1"/>
    <col min="508" max="508" width="8.85546875" style="4"/>
    <col min="509" max="520" width="8.42578125" style="4" customWidth="1"/>
    <col min="521" max="761" width="8.85546875" style="4"/>
    <col min="762" max="762" width="14.5703125" style="4" customWidth="1"/>
    <col min="763" max="763" width="20.7109375" style="4" customWidth="1"/>
    <col min="764" max="764" width="8.85546875" style="4"/>
    <col min="765" max="776" width="8.42578125" style="4" customWidth="1"/>
    <col min="777" max="1017" width="8.85546875" style="4"/>
    <col min="1018" max="1018" width="14.5703125" style="4" customWidth="1"/>
    <col min="1019" max="1019" width="20.7109375" style="4" customWidth="1"/>
    <col min="1020" max="1020" width="8.85546875" style="4"/>
    <col min="1021" max="1032" width="8.42578125" style="4" customWidth="1"/>
    <col min="1033" max="1273" width="8.85546875" style="4"/>
    <col min="1274" max="1274" width="14.5703125" style="4" customWidth="1"/>
    <col min="1275" max="1275" width="20.7109375" style="4" customWidth="1"/>
    <col min="1276" max="1276" width="8.85546875" style="4"/>
    <col min="1277" max="1288" width="8.42578125" style="4" customWidth="1"/>
    <col min="1289" max="1529" width="8.85546875" style="4"/>
    <col min="1530" max="1530" width="14.5703125" style="4" customWidth="1"/>
    <col min="1531" max="1531" width="20.7109375" style="4" customWidth="1"/>
    <col min="1532" max="1532" width="8.85546875" style="4"/>
    <col min="1533" max="1544" width="8.42578125" style="4" customWidth="1"/>
    <col min="1545" max="1785" width="8.85546875" style="4"/>
    <col min="1786" max="1786" width="14.5703125" style="4" customWidth="1"/>
    <col min="1787" max="1787" width="20.7109375" style="4" customWidth="1"/>
    <col min="1788" max="1788" width="8.85546875" style="4"/>
    <col min="1789" max="1800" width="8.42578125" style="4" customWidth="1"/>
    <col min="1801" max="2041" width="8.85546875" style="4"/>
    <col min="2042" max="2042" width="14.5703125" style="4" customWidth="1"/>
    <col min="2043" max="2043" width="20.7109375" style="4" customWidth="1"/>
    <col min="2044" max="2044" width="8.85546875" style="4"/>
    <col min="2045" max="2056" width="8.42578125" style="4" customWidth="1"/>
    <col min="2057" max="2297" width="8.85546875" style="4"/>
    <col min="2298" max="2298" width="14.5703125" style="4" customWidth="1"/>
    <col min="2299" max="2299" width="20.7109375" style="4" customWidth="1"/>
    <col min="2300" max="2300" width="8.85546875" style="4"/>
    <col min="2301" max="2312" width="8.42578125" style="4" customWidth="1"/>
    <col min="2313" max="2553" width="8.85546875" style="4"/>
    <col min="2554" max="2554" width="14.5703125" style="4" customWidth="1"/>
    <col min="2555" max="2555" width="20.7109375" style="4" customWidth="1"/>
    <col min="2556" max="2556" width="8.85546875" style="4"/>
    <col min="2557" max="2568" width="8.42578125" style="4" customWidth="1"/>
    <col min="2569" max="2809" width="8.85546875" style="4"/>
    <col min="2810" max="2810" width="14.5703125" style="4" customWidth="1"/>
    <col min="2811" max="2811" width="20.7109375" style="4" customWidth="1"/>
    <col min="2812" max="2812" width="8.85546875" style="4"/>
    <col min="2813" max="2824" width="8.42578125" style="4" customWidth="1"/>
    <col min="2825" max="3065" width="8.85546875" style="4"/>
    <col min="3066" max="3066" width="14.5703125" style="4" customWidth="1"/>
    <col min="3067" max="3067" width="20.7109375" style="4" customWidth="1"/>
    <col min="3068" max="3068" width="8.85546875" style="4"/>
    <col min="3069" max="3080" width="8.42578125" style="4" customWidth="1"/>
    <col min="3081" max="3321" width="8.85546875" style="4"/>
    <col min="3322" max="3322" width="14.5703125" style="4" customWidth="1"/>
    <col min="3323" max="3323" width="20.7109375" style="4" customWidth="1"/>
    <col min="3324" max="3324" width="8.85546875" style="4"/>
    <col min="3325" max="3336" width="8.42578125" style="4" customWidth="1"/>
    <col min="3337" max="3577" width="8.85546875" style="4"/>
    <col min="3578" max="3578" width="14.5703125" style="4" customWidth="1"/>
    <col min="3579" max="3579" width="20.7109375" style="4" customWidth="1"/>
    <col min="3580" max="3580" width="8.85546875" style="4"/>
    <col min="3581" max="3592" width="8.42578125" style="4" customWidth="1"/>
    <col min="3593" max="3833" width="8.85546875" style="4"/>
    <col min="3834" max="3834" width="14.5703125" style="4" customWidth="1"/>
    <col min="3835" max="3835" width="20.7109375" style="4" customWidth="1"/>
    <col min="3836" max="3836" width="8.85546875" style="4"/>
    <col min="3837" max="3848" width="8.42578125" style="4" customWidth="1"/>
    <col min="3849" max="4089" width="8.85546875" style="4"/>
    <col min="4090" max="4090" width="14.5703125" style="4" customWidth="1"/>
    <col min="4091" max="4091" width="20.7109375" style="4" customWidth="1"/>
    <col min="4092" max="4092" width="8.85546875" style="4"/>
    <col min="4093" max="4104" width="8.42578125" style="4" customWidth="1"/>
    <col min="4105" max="4345" width="8.85546875" style="4"/>
    <col min="4346" max="4346" width="14.5703125" style="4" customWidth="1"/>
    <col min="4347" max="4347" width="20.7109375" style="4" customWidth="1"/>
    <col min="4348" max="4348" width="8.85546875" style="4"/>
    <col min="4349" max="4360" width="8.42578125" style="4" customWidth="1"/>
    <col min="4361" max="4601" width="8.85546875" style="4"/>
    <col min="4602" max="4602" width="14.5703125" style="4" customWidth="1"/>
    <col min="4603" max="4603" width="20.7109375" style="4" customWidth="1"/>
    <col min="4604" max="4604" width="8.85546875" style="4"/>
    <col min="4605" max="4616" width="8.42578125" style="4" customWidth="1"/>
    <col min="4617" max="4857" width="8.85546875" style="4"/>
    <col min="4858" max="4858" width="14.5703125" style="4" customWidth="1"/>
    <col min="4859" max="4859" width="20.7109375" style="4" customWidth="1"/>
    <col min="4860" max="4860" width="8.85546875" style="4"/>
    <col min="4861" max="4872" width="8.42578125" style="4" customWidth="1"/>
    <col min="4873" max="5113" width="8.85546875" style="4"/>
    <col min="5114" max="5114" width="14.5703125" style="4" customWidth="1"/>
    <col min="5115" max="5115" width="20.7109375" style="4" customWidth="1"/>
    <col min="5116" max="5116" width="8.85546875" style="4"/>
    <col min="5117" max="5128" width="8.42578125" style="4" customWidth="1"/>
    <col min="5129" max="5369" width="8.85546875" style="4"/>
    <col min="5370" max="5370" width="14.5703125" style="4" customWidth="1"/>
    <col min="5371" max="5371" width="20.7109375" style="4" customWidth="1"/>
    <col min="5372" max="5372" width="8.85546875" style="4"/>
    <col min="5373" max="5384" width="8.42578125" style="4" customWidth="1"/>
    <col min="5385" max="5625" width="8.85546875" style="4"/>
    <col min="5626" max="5626" width="14.5703125" style="4" customWidth="1"/>
    <col min="5627" max="5627" width="20.7109375" style="4" customWidth="1"/>
    <col min="5628" max="5628" width="8.85546875" style="4"/>
    <col min="5629" max="5640" width="8.42578125" style="4" customWidth="1"/>
    <col min="5641" max="5881" width="8.85546875" style="4"/>
    <col min="5882" max="5882" width="14.5703125" style="4" customWidth="1"/>
    <col min="5883" max="5883" width="20.7109375" style="4" customWidth="1"/>
    <col min="5884" max="5884" width="8.85546875" style="4"/>
    <col min="5885" max="5896" width="8.42578125" style="4" customWidth="1"/>
    <col min="5897" max="6137" width="8.85546875" style="4"/>
    <col min="6138" max="6138" width="14.5703125" style="4" customWidth="1"/>
    <col min="6139" max="6139" width="20.7109375" style="4" customWidth="1"/>
    <col min="6140" max="6140" width="8.85546875" style="4"/>
    <col min="6141" max="6152" width="8.42578125" style="4" customWidth="1"/>
    <col min="6153" max="6393" width="8.85546875" style="4"/>
    <col min="6394" max="6394" width="14.5703125" style="4" customWidth="1"/>
    <col min="6395" max="6395" width="20.7109375" style="4" customWidth="1"/>
    <col min="6396" max="6396" width="8.85546875" style="4"/>
    <col min="6397" max="6408" width="8.42578125" style="4" customWidth="1"/>
    <col min="6409" max="6649" width="8.85546875" style="4"/>
    <col min="6650" max="6650" width="14.5703125" style="4" customWidth="1"/>
    <col min="6651" max="6651" width="20.7109375" style="4" customWidth="1"/>
    <col min="6652" max="6652" width="8.85546875" style="4"/>
    <col min="6653" max="6664" width="8.42578125" style="4" customWidth="1"/>
    <col min="6665" max="6905" width="8.85546875" style="4"/>
    <col min="6906" max="6906" width="14.5703125" style="4" customWidth="1"/>
    <col min="6907" max="6907" width="20.7109375" style="4" customWidth="1"/>
    <col min="6908" max="6908" width="8.85546875" style="4"/>
    <col min="6909" max="6920" width="8.42578125" style="4" customWidth="1"/>
    <col min="6921" max="7161" width="8.85546875" style="4"/>
    <col min="7162" max="7162" width="14.5703125" style="4" customWidth="1"/>
    <col min="7163" max="7163" width="20.7109375" style="4" customWidth="1"/>
    <col min="7164" max="7164" width="8.85546875" style="4"/>
    <col min="7165" max="7176" width="8.42578125" style="4" customWidth="1"/>
    <col min="7177" max="7417" width="8.85546875" style="4"/>
    <col min="7418" max="7418" width="14.5703125" style="4" customWidth="1"/>
    <col min="7419" max="7419" width="20.7109375" style="4" customWidth="1"/>
    <col min="7420" max="7420" width="8.85546875" style="4"/>
    <col min="7421" max="7432" width="8.42578125" style="4" customWidth="1"/>
    <col min="7433" max="7673" width="8.85546875" style="4"/>
    <col min="7674" max="7674" width="14.5703125" style="4" customWidth="1"/>
    <col min="7675" max="7675" width="20.7109375" style="4" customWidth="1"/>
    <col min="7676" max="7676" width="8.85546875" style="4"/>
    <col min="7677" max="7688" width="8.42578125" style="4" customWidth="1"/>
    <col min="7689" max="7929" width="8.85546875" style="4"/>
    <col min="7930" max="7930" width="14.5703125" style="4" customWidth="1"/>
    <col min="7931" max="7931" width="20.7109375" style="4" customWidth="1"/>
    <col min="7932" max="7932" width="8.85546875" style="4"/>
    <col min="7933" max="7944" width="8.42578125" style="4" customWidth="1"/>
    <col min="7945" max="8185" width="8.85546875" style="4"/>
    <col min="8186" max="8186" width="14.5703125" style="4" customWidth="1"/>
    <col min="8187" max="8187" width="20.7109375" style="4" customWidth="1"/>
    <col min="8188" max="8188" width="8.85546875" style="4"/>
    <col min="8189" max="8200" width="8.42578125" style="4" customWidth="1"/>
    <col min="8201" max="8441" width="8.85546875" style="4"/>
    <col min="8442" max="8442" width="14.5703125" style="4" customWidth="1"/>
    <col min="8443" max="8443" width="20.7109375" style="4" customWidth="1"/>
    <col min="8444" max="8444" width="8.85546875" style="4"/>
    <col min="8445" max="8456" width="8.42578125" style="4" customWidth="1"/>
    <col min="8457" max="8697" width="8.85546875" style="4"/>
    <col min="8698" max="8698" width="14.5703125" style="4" customWidth="1"/>
    <col min="8699" max="8699" width="20.7109375" style="4" customWidth="1"/>
    <col min="8700" max="8700" width="8.85546875" style="4"/>
    <col min="8701" max="8712" width="8.42578125" style="4" customWidth="1"/>
    <col min="8713" max="8953" width="8.85546875" style="4"/>
    <col min="8954" max="8954" width="14.5703125" style="4" customWidth="1"/>
    <col min="8955" max="8955" width="20.7109375" style="4" customWidth="1"/>
    <col min="8956" max="8956" width="8.85546875" style="4"/>
    <col min="8957" max="8968" width="8.42578125" style="4" customWidth="1"/>
    <col min="8969" max="9209" width="8.85546875" style="4"/>
    <col min="9210" max="9210" width="14.5703125" style="4" customWidth="1"/>
    <col min="9211" max="9211" width="20.7109375" style="4" customWidth="1"/>
    <col min="9212" max="9212" width="8.85546875" style="4"/>
    <col min="9213" max="9224" width="8.42578125" style="4" customWidth="1"/>
    <col min="9225" max="9465" width="8.85546875" style="4"/>
    <col min="9466" max="9466" width="14.5703125" style="4" customWidth="1"/>
    <col min="9467" max="9467" width="20.7109375" style="4" customWidth="1"/>
    <col min="9468" max="9468" width="8.85546875" style="4"/>
    <col min="9469" max="9480" width="8.42578125" style="4" customWidth="1"/>
    <col min="9481" max="9721" width="8.85546875" style="4"/>
    <col min="9722" max="9722" width="14.5703125" style="4" customWidth="1"/>
    <col min="9723" max="9723" width="20.7109375" style="4" customWidth="1"/>
    <col min="9724" max="9724" width="8.85546875" style="4"/>
    <col min="9725" max="9736" width="8.42578125" style="4" customWidth="1"/>
    <col min="9737" max="9977" width="8.85546875" style="4"/>
    <col min="9978" max="9978" width="14.5703125" style="4" customWidth="1"/>
    <col min="9979" max="9979" width="20.7109375" style="4" customWidth="1"/>
    <col min="9980" max="9980" width="8.85546875" style="4"/>
    <col min="9981" max="9992" width="8.42578125" style="4" customWidth="1"/>
    <col min="9993" max="10233" width="8.85546875" style="4"/>
    <col min="10234" max="10234" width="14.5703125" style="4" customWidth="1"/>
    <col min="10235" max="10235" width="20.7109375" style="4" customWidth="1"/>
    <col min="10236" max="10236" width="8.85546875" style="4"/>
    <col min="10237" max="10248" width="8.42578125" style="4" customWidth="1"/>
    <col min="10249" max="10489" width="8.85546875" style="4"/>
    <col min="10490" max="10490" width="14.5703125" style="4" customWidth="1"/>
    <col min="10491" max="10491" width="20.7109375" style="4" customWidth="1"/>
    <col min="10492" max="10492" width="8.85546875" style="4"/>
    <col min="10493" max="10504" width="8.42578125" style="4" customWidth="1"/>
    <col min="10505" max="10745" width="8.85546875" style="4"/>
    <col min="10746" max="10746" width="14.5703125" style="4" customWidth="1"/>
    <col min="10747" max="10747" width="20.7109375" style="4" customWidth="1"/>
    <col min="10748" max="10748" width="8.85546875" style="4"/>
    <col min="10749" max="10760" width="8.42578125" style="4" customWidth="1"/>
    <col min="10761" max="11001" width="8.85546875" style="4"/>
    <col min="11002" max="11002" width="14.5703125" style="4" customWidth="1"/>
    <col min="11003" max="11003" width="20.7109375" style="4" customWidth="1"/>
    <col min="11004" max="11004" width="8.85546875" style="4"/>
    <col min="11005" max="11016" width="8.42578125" style="4" customWidth="1"/>
    <col min="11017" max="11257" width="8.85546875" style="4"/>
    <col min="11258" max="11258" width="14.5703125" style="4" customWidth="1"/>
    <col min="11259" max="11259" width="20.7109375" style="4" customWidth="1"/>
    <col min="11260" max="11260" width="8.85546875" style="4"/>
    <col min="11261" max="11272" width="8.42578125" style="4" customWidth="1"/>
    <col min="11273" max="11513" width="8.85546875" style="4"/>
    <col min="11514" max="11514" width="14.5703125" style="4" customWidth="1"/>
    <col min="11515" max="11515" width="20.7109375" style="4" customWidth="1"/>
    <col min="11516" max="11516" width="8.85546875" style="4"/>
    <col min="11517" max="11528" width="8.42578125" style="4" customWidth="1"/>
    <col min="11529" max="11769" width="8.85546875" style="4"/>
    <col min="11770" max="11770" width="14.5703125" style="4" customWidth="1"/>
    <col min="11771" max="11771" width="20.7109375" style="4" customWidth="1"/>
    <col min="11772" max="11772" width="8.85546875" style="4"/>
    <col min="11773" max="11784" width="8.42578125" style="4" customWidth="1"/>
    <col min="11785" max="12025" width="8.85546875" style="4"/>
    <col min="12026" max="12026" width="14.5703125" style="4" customWidth="1"/>
    <col min="12027" max="12027" width="20.7109375" style="4" customWidth="1"/>
    <col min="12028" max="12028" width="8.85546875" style="4"/>
    <col min="12029" max="12040" width="8.42578125" style="4" customWidth="1"/>
    <col min="12041" max="12281" width="8.85546875" style="4"/>
    <col min="12282" max="12282" width="14.5703125" style="4" customWidth="1"/>
    <col min="12283" max="12283" width="20.7109375" style="4" customWidth="1"/>
    <col min="12284" max="12284" width="8.85546875" style="4"/>
    <col min="12285" max="12296" width="8.42578125" style="4" customWidth="1"/>
    <col min="12297" max="12537" width="8.85546875" style="4"/>
    <col min="12538" max="12538" width="14.5703125" style="4" customWidth="1"/>
    <col min="12539" max="12539" width="20.7109375" style="4" customWidth="1"/>
    <col min="12540" max="12540" width="8.85546875" style="4"/>
    <col min="12541" max="12552" width="8.42578125" style="4" customWidth="1"/>
    <col min="12553" max="12793" width="8.85546875" style="4"/>
    <col min="12794" max="12794" width="14.5703125" style="4" customWidth="1"/>
    <col min="12795" max="12795" width="20.7109375" style="4" customWidth="1"/>
    <col min="12796" max="12796" width="8.85546875" style="4"/>
    <col min="12797" max="12808" width="8.42578125" style="4" customWidth="1"/>
    <col min="12809" max="13049" width="8.85546875" style="4"/>
    <col min="13050" max="13050" width="14.5703125" style="4" customWidth="1"/>
    <col min="13051" max="13051" width="20.7109375" style="4" customWidth="1"/>
    <col min="13052" max="13052" width="8.85546875" style="4"/>
    <col min="13053" max="13064" width="8.42578125" style="4" customWidth="1"/>
    <col min="13065" max="13305" width="8.85546875" style="4"/>
    <col min="13306" max="13306" width="14.5703125" style="4" customWidth="1"/>
    <col min="13307" max="13307" width="20.7109375" style="4" customWidth="1"/>
    <col min="13308" max="13308" width="8.85546875" style="4"/>
    <col min="13309" max="13320" width="8.42578125" style="4" customWidth="1"/>
    <col min="13321" max="13561" width="8.85546875" style="4"/>
    <col min="13562" max="13562" width="14.5703125" style="4" customWidth="1"/>
    <col min="13563" max="13563" width="20.7109375" style="4" customWidth="1"/>
    <col min="13564" max="13564" width="8.85546875" style="4"/>
    <col min="13565" max="13576" width="8.42578125" style="4" customWidth="1"/>
    <col min="13577" max="13817" width="8.85546875" style="4"/>
    <col min="13818" max="13818" width="14.5703125" style="4" customWidth="1"/>
    <col min="13819" max="13819" width="20.7109375" style="4" customWidth="1"/>
    <col min="13820" max="13820" width="8.85546875" style="4"/>
    <col min="13821" max="13832" width="8.42578125" style="4" customWidth="1"/>
    <col min="13833" max="14073" width="8.85546875" style="4"/>
    <col min="14074" max="14074" width="14.5703125" style="4" customWidth="1"/>
    <col min="14075" max="14075" width="20.7109375" style="4" customWidth="1"/>
    <col min="14076" max="14076" width="8.85546875" style="4"/>
    <col min="14077" max="14088" width="8.42578125" style="4" customWidth="1"/>
    <col min="14089" max="14329" width="8.85546875" style="4"/>
    <col min="14330" max="14330" width="14.5703125" style="4" customWidth="1"/>
    <col min="14331" max="14331" width="20.7109375" style="4" customWidth="1"/>
    <col min="14332" max="14332" width="8.85546875" style="4"/>
    <col min="14333" max="14344" width="8.42578125" style="4" customWidth="1"/>
    <col min="14345" max="14585" width="8.85546875" style="4"/>
    <col min="14586" max="14586" width="14.5703125" style="4" customWidth="1"/>
    <col min="14587" max="14587" width="20.7109375" style="4" customWidth="1"/>
    <col min="14588" max="14588" width="8.85546875" style="4"/>
    <col min="14589" max="14600" width="8.42578125" style="4" customWidth="1"/>
    <col min="14601" max="14841" width="8.85546875" style="4"/>
    <col min="14842" max="14842" width="14.5703125" style="4" customWidth="1"/>
    <col min="14843" max="14843" width="20.7109375" style="4" customWidth="1"/>
    <col min="14844" max="14844" width="8.85546875" style="4"/>
    <col min="14845" max="14856" width="8.42578125" style="4" customWidth="1"/>
    <col min="14857" max="15097" width="8.85546875" style="4"/>
    <col min="15098" max="15098" width="14.5703125" style="4" customWidth="1"/>
    <col min="15099" max="15099" width="20.7109375" style="4" customWidth="1"/>
    <col min="15100" max="15100" width="8.85546875" style="4"/>
    <col min="15101" max="15112" width="8.42578125" style="4" customWidth="1"/>
    <col min="15113" max="15353" width="8.85546875" style="4"/>
    <col min="15354" max="15354" width="14.5703125" style="4" customWidth="1"/>
    <col min="15355" max="15355" width="20.7109375" style="4" customWidth="1"/>
    <col min="15356" max="15356" width="8.85546875" style="4"/>
    <col min="15357" max="15368" width="8.42578125" style="4" customWidth="1"/>
    <col min="15369" max="15609" width="8.85546875" style="4"/>
    <col min="15610" max="15610" width="14.5703125" style="4" customWidth="1"/>
    <col min="15611" max="15611" width="20.7109375" style="4" customWidth="1"/>
    <col min="15612" max="15612" width="8.85546875" style="4"/>
    <col min="15613" max="15624" width="8.42578125" style="4" customWidth="1"/>
    <col min="15625" max="15865" width="8.85546875" style="4"/>
    <col min="15866" max="15866" width="14.5703125" style="4" customWidth="1"/>
    <col min="15867" max="15867" width="20.7109375" style="4" customWidth="1"/>
    <col min="15868" max="15868" width="8.85546875" style="4"/>
    <col min="15869" max="15880" width="8.42578125" style="4" customWidth="1"/>
    <col min="15881" max="16121" width="8.85546875" style="4"/>
    <col min="16122" max="16122" width="14.5703125" style="4" customWidth="1"/>
    <col min="16123" max="16123" width="20.7109375" style="4" customWidth="1"/>
    <col min="16124" max="16124" width="8.85546875" style="4"/>
    <col min="16125" max="16136" width="8.42578125" style="4" customWidth="1"/>
    <col min="16137" max="16377" width="8.85546875" style="4"/>
    <col min="16378" max="16381" width="9.140625" style="4" customWidth="1"/>
    <col min="16382" max="16384" width="9.140625" style="4"/>
  </cols>
  <sheetData>
    <row r="1" spans="1:22" s="53" customFormat="1" ht="15" customHeight="1" x14ac:dyDescent="0.2">
      <c r="A1" s="343"/>
      <c r="B1" s="362" t="s">
        <v>199</v>
      </c>
      <c r="C1" s="339" t="str">
        <f>ORÇAMENTO!I4</f>
        <v>SENSE106</v>
      </c>
      <c r="D1" s="338"/>
      <c r="E1" s="338"/>
      <c r="F1" s="338"/>
      <c r="G1" s="338"/>
      <c r="H1" s="338"/>
      <c r="I1" s="338"/>
      <c r="J1" s="338"/>
      <c r="K1" s="338"/>
      <c r="L1" s="338"/>
      <c r="M1" s="345"/>
      <c r="N1" s="499"/>
      <c r="O1" s="416"/>
    </row>
    <row r="2" spans="1:22" s="215" customFormat="1" ht="15" customHeight="1" x14ac:dyDescent="0.2">
      <c r="A2" s="397"/>
      <c r="B2" s="362" t="s">
        <v>173</v>
      </c>
      <c r="C2" s="363" t="str">
        <f>ORÇAMENTO!I5</f>
        <v>HOLZE EMPREENDIMENTOS</v>
      </c>
      <c r="D2" s="339"/>
      <c r="E2" s="339"/>
      <c r="F2" s="339"/>
      <c r="G2" s="339"/>
      <c r="H2" s="339"/>
      <c r="I2" s="339"/>
      <c r="J2" s="339"/>
      <c r="K2" s="339"/>
      <c r="L2" s="339"/>
      <c r="M2" s="347"/>
      <c r="N2" s="500"/>
      <c r="O2" s="414"/>
    </row>
    <row r="3" spans="1:22" s="53" customFormat="1" ht="15" customHeight="1" x14ac:dyDescent="0.2">
      <c r="A3" s="344"/>
      <c r="B3" s="362" t="s">
        <v>174</v>
      </c>
      <c r="C3" s="633" t="str">
        <f>ORÇAMENTO!O5</f>
        <v>R01 - Edileni Silva</v>
      </c>
      <c r="D3" s="339"/>
      <c r="E3" s="339"/>
      <c r="F3" s="339"/>
      <c r="G3" s="339"/>
      <c r="H3" s="339"/>
      <c r="I3" s="339"/>
      <c r="J3" s="341"/>
      <c r="K3" s="339"/>
      <c r="L3" s="341"/>
      <c r="M3" s="349"/>
      <c r="N3" s="501"/>
      <c r="O3" s="415"/>
      <c r="P3" s="415"/>
    </row>
    <row r="4" spans="1:22" s="2" customFormat="1" ht="21.6" customHeight="1" x14ac:dyDescent="0.2">
      <c r="A4" s="1272" t="s">
        <v>318</v>
      </c>
      <c r="B4" s="1272"/>
      <c r="C4" s="1272"/>
      <c r="D4" s="1272"/>
      <c r="E4" s="1272"/>
      <c r="F4" s="1272"/>
      <c r="G4" s="1272"/>
      <c r="H4" s="1272"/>
      <c r="I4" s="1272"/>
      <c r="J4" s="1272"/>
      <c r="K4" s="1272"/>
      <c r="L4" s="1272"/>
      <c r="M4" s="1272"/>
      <c r="N4" s="1272"/>
      <c r="O4" s="415"/>
      <c r="P4" s="198"/>
      <c r="Q4" s="1"/>
      <c r="R4" s="1"/>
      <c r="S4" s="1"/>
      <c r="T4" s="1"/>
      <c r="U4" s="1"/>
      <c r="V4" s="1"/>
    </row>
    <row r="5" spans="1:22" s="2" customFormat="1" ht="15" customHeight="1" x14ac:dyDescent="0.2">
      <c r="A5" s="1275" t="s">
        <v>6</v>
      </c>
      <c r="B5" s="1276"/>
      <c r="C5" s="1279" t="s">
        <v>18</v>
      </c>
      <c r="D5" s="317" t="s">
        <v>319</v>
      </c>
      <c r="E5" s="318"/>
      <c r="F5" s="319"/>
      <c r="G5" s="319"/>
      <c r="H5" s="319"/>
      <c r="I5" s="319"/>
      <c r="J5" s="320"/>
      <c r="K5" s="960" t="s">
        <v>95</v>
      </c>
      <c r="L5" s="320" t="s">
        <v>47</v>
      </c>
      <c r="M5" s="1360" t="s">
        <v>1227</v>
      </c>
      <c r="N5" s="1361"/>
      <c r="O5" s="198"/>
      <c r="P5" s="198"/>
      <c r="Q5" s="1"/>
      <c r="R5" s="1"/>
      <c r="S5" s="1"/>
      <c r="T5" s="1"/>
      <c r="U5" s="1"/>
      <c r="V5" s="1"/>
    </row>
    <row r="6" spans="1:22" s="3" customFormat="1" ht="16.899999999999999" customHeight="1" x14ac:dyDescent="0.2">
      <c r="A6" s="1277"/>
      <c r="B6" s="1278"/>
      <c r="C6" s="1280"/>
      <c r="D6" s="316">
        <v>6.3</v>
      </c>
      <c r="E6" s="316">
        <v>8</v>
      </c>
      <c r="F6" s="316">
        <v>10</v>
      </c>
      <c r="G6" s="316">
        <v>12.5</v>
      </c>
      <c r="H6" s="316">
        <v>16</v>
      </c>
      <c r="I6" s="316">
        <v>20</v>
      </c>
      <c r="J6" s="316">
        <v>25</v>
      </c>
      <c r="K6" s="316" t="s">
        <v>83</v>
      </c>
      <c r="L6" s="316" t="s">
        <v>13</v>
      </c>
      <c r="M6" s="316" t="s">
        <v>1228</v>
      </c>
      <c r="N6" s="316">
        <v>0</v>
      </c>
      <c r="O6" s="52"/>
      <c r="P6" s="1"/>
      <c r="Q6" s="1"/>
      <c r="R6" s="1"/>
      <c r="S6" s="1"/>
      <c r="T6" s="1"/>
      <c r="U6" s="1"/>
      <c r="V6" s="1"/>
    </row>
    <row r="7" spans="1:22" ht="13.9" customHeight="1" x14ac:dyDescent="0.2">
      <c r="A7" s="437" t="s">
        <v>400</v>
      </c>
      <c r="B7" s="323"/>
      <c r="C7" s="323"/>
      <c r="D7" s="323"/>
      <c r="E7" s="323"/>
      <c r="F7" s="324"/>
      <c r="G7" s="324"/>
      <c r="H7" s="324"/>
      <c r="I7" s="324"/>
      <c r="J7" s="324"/>
      <c r="K7" s="324"/>
      <c r="L7" s="324"/>
      <c r="M7" s="324"/>
      <c r="N7" s="324"/>
      <c r="O7" s="142"/>
    </row>
    <row r="8" spans="1:22" ht="13.9" customHeight="1" x14ac:dyDescent="0.2">
      <c r="A8" s="502" t="s">
        <v>228</v>
      </c>
      <c r="B8" s="323"/>
      <c r="C8" s="323"/>
      <c r="D8" s="323"/>
      <c r="E8" s="323"/>
      <c r="F8" s="324"/>
      <c r="G8" s="324"/>
      <c r="H8" s="324"/>
      <c r="I8" s="324"/>
      <c r="J8" s="324"/>
      <c r="K8" s="324"/>
      <c r="L8" s="324"/>
      <c r="M8" s="324"/>
      <c r="N8" s="324"/>
      <c r="O8" s="142"/>
    </row>
    <row r="9" spans="1:22" s="143" customFormat="1" ht="13.9" customHeight="1" x14ac:dyDescent="0.2">
      <c r="A9" s="326" t="s">
        <v>406</v>
      </c>
      <c r="B9" s="647">
        <f>SUM(D9:I13)</f>
        <v>0</v>
      </c>
      <c r="C9" s="328">
        <v>1</v>
      </c>
      <c r="D9" s="329"/>
      <c r="E9" s="329"/>
      <c r="F9" s="329"/>
      <c r="G9" s="329"/>
      <c r="H9" s="329"/>
      <c r="I9" s="329"/>
      <c r="J9" s="329"/>
      <c r="K9" s="329"/>
      <c r="L9" s="329"/>
      <c r="M9" s="329"/>
      <c r="N9" s="329"/>
      <c r="O9" s="52"/>
      <c r="P9" s="166"/>
      <c r="Q9" s="166"/>
      <c r="R9" s="166"/>
      <c r="S9" s="166"/>
      <c r="T9" s="166"/>
      <c r="U9" s="166"/>
      <c r="V9" s="166"/>
    </row>
    <row r="10" spans="1:22" s="143" customFormat="1" ht="13.9" customHeight="1" x14ac:dyDescent="0.2">
      <c r="A10" s="326" t="s">
        <v>334</v>
      </c>
      <c r="B10" s="331"/>
      <c r="C10" s="328">
        <v>1</v>
      </c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52"/>
      <c r="P10" s="166"/>
      <c r="Q10" s="166"/>
      <c r="R10" s="166"/>
      <c r="S10" s="166"/>
      <c r="T10" s="166"/>
      <c r="U10" s="166"/>
      <c r="V10" s="166"/>
    </row>
    <row r="11" spans="1:22" s="143" customFormat="1" ht="13.9" customHeight="1" x14ac:dyDescent="0.2">
      <c r="A11" s="326" t="s">
        <v>407</v>
      </c>
      <c r="B11" s="331" t="s">
        <v>1226</v>
      </c>
      <c r="C11" s="328">
        <v>1</v>
      </c>
      <c r="D11" s="329"/>
      <c r="E11" s="329"/>
      <c r="F11" s="329"/>
      <c r="G11" s="329"/>
      <c r="H11" s="329"/>
      <c r="I11" s="329"/>
      <c r="J11" s="329"/>
      <c r="K11" s="329"/>
      <c r="L11" s="329"/>
      <c r="M11" s="329"/>
      <c r="N11" s="329"/>
      <c r="O11" s="52"/>
      <c r="P11" s="166"/>
      <c r="Q11" s="166"/>
      <c r="R11" s="166"/>
      <c r="S11" s="166"/>
      <c r="T11" s="166"/>
      <c r="U11" s="166"/>
      <c r="V11" s="166"/>
    </row>
    <row r="12" spans="1:22" s="143" customFormat="1" ht="13.9" customHeight="1" x14ac:dyDescent="0.2">
      <c r="A12" s="326" t="s">
        <v>207</v>
      </c>
      <c r="B12" s="331"/>
      <c r="C12" s="328">
        <v>1</v>
      </c>
      <c r="D12" s="329"/>
      <c r="E12" s="329"/>
      <c r="F12" s="329"/>
      <c r="G12" s="329"/>
      <c r="H12" s="329"/>
      <c r="I12" s="329"/>
      <c r="J12" s="329"/>
      <c r="K12" s="329"/>
      <c r="L12" s="329"/>
      <c r="M12" s="329"/>
      <c r="N12" s="329"/>
      <c r="O12" s="52"/>
      <c r="P12" s="166"/>
      <c r="Q12" s="166"/>
      <c r="R12" s="166"/>
      <c r="S12" s="166"/>
      <c r="T12" s="166"/>
      <c r="U12" s="166"/>
      <c r="V12" s="166"/>
    </row>
    <row r="13" spans="1:22" s="143" customFormat="1" ht="13.9" customHeight="1" x14ac:dyDescent="0.2">
      <c r="A13" s="326" t="s">
        <v>408</v>
      </c>
      <c r="B13" s="331"/>
      <c r="C13" s="328">
        <v>1</v>
      </c>
      <c r="D13" s="329"/>
      <c r="E13" s="329"/>
      <c r="F13" s="329"/>
      <c r="G13" s="329"/>
      <c r="H13" s="329"/>
      <c r="I13" s="329"/>
      <c r="J13" s="329"/>
      <c r="K13" s="329"/>
      <c r="L13" s="329"/>
      <c r="M13" s="329"/>
      <c r="N13" s="329"/>
      <c r="O13" s="52"/>
      <c r="P13" s="166"/>
      <c r="Q13" s="166"/>
      <c r="R13" s="166"/>
      <c r="S13" s="166"/>
      <c r="T13" s="166"/>
      <c r="U13" s="166"/>
      <c r="V13" s="166"/>
    </row>
    <row r="14" spans="1:22" ht="13.9" customHeight="1" x14ac:dyDescent="0.2">
      <c r="A14" s="502" t="s">
        <v>401</v>
      </c>
      <c r="B14" s="323"/>
      <c r="C14" s="323"/>
      <c r="D14" s="323"/>
      <c r="E14" s="323"/>
      <c r="F14" s="324"/>
      <c r="G14" s="324"/>
      <c r="H14" s="324"/>
      <c r="I14" s="324"/>
      <c r="J14" s="324"/>
      <c r="K14" s="324"/>
      <c r="L14" s="324"/>
      <c r="M14" s="324"/>
      <c r="N14" s="324"/>
      <c r="O14" s="142"/>
    </row>
    <row r="15" spans="1:22" s="143" customFormat="1" ht="13.9" customHeight="1" x14ac:dyDescent="0.2">
      <c r="A15" s="326" t="s">
        <v>406</v>
      </c>
      <c r="B15" s="647">
        <f>SUM(D15:I19)</f>
        <v>19445</v>
      </c>
      <c r="C15" s="328">
        <v>1</v>
      </c>
      <c r="D15" s="329">
        <v>435</v>
      </c>
      <c r="E15" s="329">
        <v>325</v>
      </c>
      <c r="F15" s="329">
        <v>745</v>
      </c>
      <c r="G15" s="329"/>
      <c r="H15" s="329">
        <v>980</v>
      </c>
      <c r="I15" s="329">
        <v>6480</v>
      </c>
      <c r="J15" s="329"/>
      <c r="K15" s="329">
        <f>Pilares!M7</f>
        <v>41.61</v>
      </c>
      <c r="L15" s="329">
        <f>Pilares!P7</f>
        <v>381.74</v>
      </c>
      <c r="M15" s="329"/>
      <c r="N15" s="329"/>
      <c r="O15" s="52"/>
      <c r="P15" s="166"/>
      <c r="Q15" s="166"/>
      <c r="R15" s="166"/>
      <c r="S15" s="166"/>
      <c r="T15" s="166"/>
      <c r="U15" s="166"/>
      <c r="V15" s="166"/>
    </row>
    <row r="16" spans="1:22" s="143" customFormat="1" ht="13.9" customHeight="1" x14ac:dyDescent="0.2">
      <c r="A16" s="326" t="s">
        <v>334</v>
      </c>
      <c r="B16" s="331"/>
      <c r="C16" s="328">
        <v>1</v>
      </c>
      <c r="D16" s="329">
        <v>670</v>
      </c>
      <c r="E16" s="329">
        <v>255</v>
      </c>
      <c r="F16" s="329">
        <v>90</v>
      </c>
      <c r="G16" s="329">
        <v>15</v>
      </c>
      <c r="H16" s="329">
        <v>3510</v>
      </c>
      <c r="I16" s="329">
        <v>180</v>
      </c>
      <c r="J16" s="329"/>
      <c r="K16" s="329">
        <f>Vigas!N6</f>
        <v>30.770000000000003</v>
      </c>
      <c r="L16" s="329">
        <f>Vigas!Q6</f>
        <v>214.27</v>
      </c>
      <c r="M16" s="329"/>
      <c r="N16" s="329"/>
      <c r="O16" s="52"/>
      <c r="P16" s="166"/>
      <c r="Q16" s="166"/>
      <c r="R16" s="166"/>
      <c r="S16" s="166"/>
      <c r="T16" s="166"/>
      <c r="U16" s="166"/>
      <c r="V16" s="166"/>
    </row>
    <row r="17" spans="1:22" s="143" customFormat="1" ht="13.9" customHeight="1" x14ac:dyDescent="0.2">
      <c r="A17" s="326" t="s">
        <v>407</v>
      </c>
      <c r="B17" s="331"/>
      <c r="C17" s="328">
        <v>1</v>
      </c>
      <c r="D17" s="329"/>
      <c r="E17" s="329">
        <v>1675</v>
      </c>
      <c r="F17" s="329">
        <v>1835</v>
      </c>
      <c r="G17" s="329">
        <v>335</v>
      </c>
      <c r="H17" s="329">
        <v>90</v>
      </c>
      <c r="I17" s="329"/>
      <c r="J17" s="329"/>
      <c r="K17" s="329">
        <f>Lajes!P7</f>
        <v>58</v>
      </c>
      <c r="L17" s="329">
        <f>Lajes!S7</f>
        <v>376.7</v>
      </c>
      <c r="M17" s="329">
        <v>28</v>
      </c>
      <c r="N17" s="329">
        <f>M17*(2.45*6)</f>
        <v>411.6</v>
      </c>
      <c r="O17" s="52"/>
      <c r="P17" s="166"/>
      <c r="Q17" s="166"/>
      <c r="R17" s="166"/>
      <c r="S17" s="166"/>
      <c r="T17" s="166"/>
      <c r="U17" s="166"/>
      <c r="V17" s="166"/>
    </row>
    <row r="18" spans="1:22" s="143" customFormat="1" ht="13.9" customHeight="1" x14ac:dyDescent="0.2">
      <c r="A18" s="326" t="s">
        <v>207</v>
      </c>
      <c r="B18" s="331"/>
      <c r="C18" s="328">
        <v>1</v>
      </c>
      <c r="D18" s="329">
        <v>15</v>
      </c>
      <c r="E18" s="329">
        <v>25</v>
      </c>
      <c r="F18" s="329">
        <v>105</v>
      </c>
      <c r="G18" s="329"/>
      <c r="H18" s="329"/>
      <c r="I18" s="329"/>
      <c r="J18" s="329"/>
      <c r="K18" s="329">
        <f>Escadas!Q13</f>
        <v>3</v>
      </c>
      <c r="L18" s="329">
        <f>Escadas!W7</f>
        <v>27.378899999999998</v>
      </c>
      <c r="M18" s="329"/>
      <c r="N18" s="329"/>
      <c r="O18" s="52"/>
      <c r="P18" s="166"/>
      <c r="Q18" s="166"/>
      <c r="R18" s="166"/>
      <c r="S18" s="166"/>
      <c r="T18" s="166"/>
      <c r="U18" s="166"/>
      <c r="V18" s="166"/>
    </row>
    <row r="19" spans="1:22" s="143" customFormat="1" ht="13.9" customHeight="1" x14ac:dyDescent="0.2">
      <c r="A19" s="326" t="s">
        <v>408</v>
      </c>
      <c r="B19" s="331"/>
      <c r="C19" s="328">
        <v>1</v>
      </c>
      <c r="D19" s="329">
        <v>55</v>
      </c>
      <c r="E19" s="329"/>
      <c r="F19" s="329">
        <v>750</v>
      </c>
      <c r="G19" s="329">
        <v>505</v>
      </c>
      <c r="H19" s="329">
        <v>370</v>
      </c>
      <c r="I19" s="329"/>
      <c r="J19" s="329"/>
      <c r="K19" s="329">
        <f>Rampas!P7</f>
        <v>28</v>
      </c>
      <c r="L19" s="329">
        <f>Rampas!S7</f>
        <v>138.05000000000001</v>
      </c>
      <c r="M19" s="329"/>
      <c r="N19" s="329"/>
      <c r="O19" s="52"/>
      <c r="P19" s="166"/>
      <c r="Q19" s="166"/>
      <c r="R19" s="166"/>
      <c r="S19" s="166"/>
      <c r="T19" s="166"/>
      <c r="U19" s="166"/>
      <c r="V19" s="166"/>
    </row>
    <row r="20" spans="1:22" ht="13.9" customHeight="1" x14ac:dyDescent="0.2">
      <c r="A20" s="502" t="s">
        <v>402</v>
      </c>
      <c r="B20" s="323"/>
      <c r="C20" s="323"/>
      <c r="D20" s="323"/>
      <c r="E20" s="323"/>
      <c r="F20" s="324"/>
      <c r="G20" s="324"/>
      <c r="H20" s="324"/>
      <c r="I20" s="324"/>
      <c r="J20" s="324"/>
      <c r="K20" s="324">
        <f>SUM(K15:K19)</f>
        <v>161.38</v>
      </c>
      <c r="L20" s="324"/>
      <c r="M20" s="324"/>
      <c r="N20" s="324"/>
      <c r="O20" s="142"/>
    </row>
    <row r="21" spans="1:22" s="143" customFormat="1" ht="13.9" customHeight="1" x14ac:dyDescent="0.2">
      <c r="A21" s="326" t="s">
        <v>406</v>
      </c>
      <c r="B21" s="647">
        <f>SUM(D21:I25)</f>
        <v>16540</v>
      </c>
      <c r="C21" s="328">
        <v>1</v>
      </c>
      <c r="D21" s="329">
        <v>290</v>
      </c>
      <c r="E21" s="329">
        <v>245</v>
      </c>
      <c r="F21" s="329">
        <v>455</v>
      </c>
      <c r="G21" s="329"/>
      <c r="H21" s="329">
        <v>695</v>
      </c>
      <c r="I21" s="329">
        <v>4600</v>
      </c>
      <c r="J21" s="329"/>
      <c r="K21" s="329">
        <f>Pilares!M8</f>
        <v>30.259999999999998</v>
      </c>
      <c r="L21" s="329">
        <f>Pilares!P8</f>
        <v>272.63</v>
      </c>
      <c r="M21" s="329"/>
      <c r="N21" s="329"/>
      <c r="O21" s="52"/>
      <c r="P21" s="166"/>
      <c r="Q21" s="166"/>
      <c r="R21" s="166"/>
      <c r="S21" s="166"/>
      <c r="T21" s="166"/>
      <c r="U21" s="166"/>
      <c r="V21" s="166"/>
    </row>
    <row r="22" spans="1:22" s="143" customFormat="1" ht="13.9" customHeight="1" x14ac:dyDescent="0.2">
      <c r="A22" s="326" t="s">
        <v>334</v>
      </c>
      <c r="B22" s="331"/>
      <c r="C22" s="328">
        <v>1</v>
      </c>
      <c r="D22" s="329">
        <v>670</v>
      </c>
      <c r="E22" s="329">
        <v>255</v>
      </c>
      <c r="F22" s="329">
        <v>90</v>
      </c>
      <c r="G22" s="329">
        <v>15</v>
      </c>
      <c r="H22" s="329">
        <v>3510</v>
      </c>
      <c r="I22" s="329">
        <v>180</v>
      </c>
      <c r="J22" s="329"/>
      <c r="K22" s="329">
        <f>Vigas!N7</f>
        <v>29.560000000000002</v>
      </c>
      <c r="L22" s="329">
        <f>Vigas!Q7</f>
        <v>204.11</v>
      </c>
      <c r="M22" s="329"/>
      <c r="N22" s="329"/>
      <c r="O22" s="52"/>
      <c r="P22" s="166"/>
      <c r="Q22" s="166"/>
      <c r="R22" s="166"/>
      <c r="S22" s="166"/>
      <c r="T22" s="166"/>
      <c r="U22" s="166"/>
      <c r="V22" s="166"/>
    </row>
    <row r="23" spans="1:22" s="143" customFormat="1" ht="13.9" customHeight="1" x14ac:dyDescent="0.2">
      <c r="A23" s="326" t="s">
        <v>407</v>
      </c>
      <c r="B23" s="331"/>
      <c r="C23" s="328">
        <v>1</v>
      </c>
      <c r="D23" s="329"/>
      <c r="E23" s="329">
        <v>1675</v>
      </c>
      <c r="F23" s="329">
        <v>1835</v>
      </c>
      <c r="G23" s="329">
        <v>335</v>
      </c>
      <c r="H23" s="329">
        <v>90</v>
      </c>
      <c r="I23" s="329"/>
      <c r="J23" s="329"/>
      <c r="K23" s="329">
        <f>Lajes!P8</f>
        <v>58</v>
      </c>
      <c r="L23" s="329">
        <f>Lajes!S8</f>
        <v>376.7</v>
      </c>
      <c r="M23" s="329">
        <v>28</v>
      </c>
      <c r="N23" s="329">
        <f>M23*(2.45*6)</f>
        <v>411.6</v>
      </c>
      <c r="O23" s="52"/>
      <c r="P23" s="166"/>
      <c r="Q23" s="166"/>
      <c r="R23" s="166"/>
      <c r="S23" s="166"/>
      <c r="T23" s="166"/>
      <c r="U23" s="166"/>
      <c r="V23" s="166"/>
    </row>
    <row r="24" spans="1:22" s="143" customFormat="1" ht="13.9" customHeight="1" x14ac:dyDescent="0.2">
      <c r="A24" s="326" t="s">
        <v>207</v>
      </c>
      <c r="B24" s="331"/>
      <c r="C24" s="328">
        <v>1</v>
      </c>
      <c r="D24" s="329">
        <v>15</v>
      </c>
      <c r="E24" s="329">
        <v>25</v>
      </c>
      <c r="F24" s="329">
        <v>105</v>
      </c>
      <c r="G24" s="329"/>
      <c r="H24" s="329"/>
      <c r="I24" s="329"/>
      <c r="J24" s="329"/>
      <c r="K24" s="329">
        <f>Escadas!Q20</f>
        <v>2.6</v>
      </c>
      <c r="L24" s="329">
        <f>Escadas!W8</f>
        <v>25.223624999999998</v>
      </c>
      <c r="M24" s="329"/>
      <c r="N24" s="329"/>
      <c r="O24" s="52"/>
      <c r="P24" s="166"/>
      <c r="Q24" s="166"/>
      <c r="R24" s="166"/>
      <c r="S24" s="166"/>
      <c r="T24" s="166"/>
      <c r="U24" s="166"/>
      <c r="V24" s="166"/>
    </row>
    <row r="25" spans="1:22" s="143" customFormat="1" ht="13.9" customHeight="1" x14ac:dyDescent="0.2">
      <c r="A25" s="326" t="s">
        <v>408</v>
      </c>
      <c r="B25" s="331"/>
      <c r="C25" s="328">
        <v>1</v>
      </c>
      <c r="D25" s="329">
        <v>35</v>
      </c>
      <c r="E25" s="329"/>
      <c r="F25" s="329">
        <v>635</v>
      </c>
      <c r="G25" s="329">
        <v>515</v>
      </c>
      <c r="H25" s="329">
        <v>270</v>
      </c>
      <c r="I25" s="329"/>
      <c r="J25" s="329"/>
      <c r="K25" s="329">
        <f>Rampas!P8</f>
        <v>26.8</v>
      </c>
      <c r="L25" s="329">
        <f>Rampas!S8</f>
        <v>138.05000000000001</v>
      </c>
      <c r="M25" s="329"/>
      <c r="N25" s="329"/>
      <c r="O25" s="52"/>
      <c r="P25" s="166"/>
      <c r="Q25" s="166"/>
      <c r="R25" s="166"/>
      <c r="S25" s="166"/>
      <c r="T25" s="166"/>
      <c r="U25" s="166"/>
      <c r="V25" s="166"/>
    </row>
    <row r="26" spans="1:22" ht="13.9" customHeight="1" x14ac:dyDescent="0.2">
      <c r="A26" s="502" t="s">
        <v>403</v>
      </c>
      <c r="B26" s="323"/>
      <c r="C26" s="323"/>
      <c r="D26" s="323"/>
      <c r="E26" s="323"/>
      <c r="F26" s="324"/>
      <c r="G26" s="324"/>
      <c r="H26" s="324"/>
      <c r="I26" s="324"/>
      <c r="J26" s="324"/>
      <c r="K26" s="324">
        <f>SUM(K21:K25)</f>
        <v>147.22</v>
      </c>
      <c r="L26" s="324"/>
      <c r="M26" s="324"/>
      <c r="N26" s="324"/>
      <c r="O26" s="142"/>
    </row>
    <row r="27" spans="1:22" s="143" customFormat="1" ht="13.9" customHeight="1" x14ac:dyDescent="0.2">
      <c r="A27" s="326" t="s">
        <v>406</v>
      </c>
      <c r="B27" s="647">
        <f>SUM(D27:I31)</f>
        <v>16910</v>
      </c>
      <c r="C27" s="328">
        <v>1</v>
      </c>
      <c r="D27" s="329">
        <v>290</v>
      </c>
      <c r="E27" s="329">
        <v>245</v>
      </c>
      <c r="F27" s="329">
        <v>455</v>
      </c>
      <c r="G27" s="329"/>
      <c r="H27" s="329">
        <v>695</v>
      </c>
      <c r="I27" s="329">
        <v>4600</v>
      </c>
      <c r="J27" s="329"/>
      <c r="K27" s="329">
        <f>Pilares!M9</f>
        <v>30.259999999999998</v>
      </c>
      <c r="L27" s="329">
        <f>Pilares!P9</f>
        <v>272.63</v>
      </c>
      <c r="M27" s="329"/>
      <c r="N27" s="329"/>
      <c r="O27" s="52"/>
      <c r="P27" s="166"/>
      <c r="Q27" s="166"/>
      <c r="R27" s="166"/>
      <c r="S27" s="166"/>
      <c r="T27" s="166"/>
      <c r="U27" s="166"/>
      <c r="V27" s="166"/>
    </row>
    <row r="28" spans="1:22" s="143" customFormat="1" ht="13.9" customHeight="1" x14ac:dyDescent="0.2">
      <c r="A28" s="326" t="s">
        <v>334</v>
      </c>
      <c r="B28" s="331"/>
      <c r="C28" s="328">
        <v>1</v>
      </c>
      <c r="D28" s="329">
        <v>670</v>
      </c>
      <c r="E28" s="329">
        <v>255</v>
      </c>
      <c r="F28" s="329">
        <v>90</v>
      </c>
      <c r="G28" s="329">
        <v>15</v>
      </c>
      <c r="H28" s="329">
        <v>3510</v>
      </c>
      <c r="I28" s="329">
        <v>180</v>
      </c>
      <c r="J28" s="329"/>
      <c r="K28" s="329">
        <f>Vigas!N8</f>
        <v>29.560000000000002</v>
      </c>
      <c r="L28" s="329">
        <f>Vigas!Q8</f>
        <v>204.11</v>
      </c>
      <c r="M28" s="329"/>
      <c r="N28" s="329"/>
      <c r="O28" s="52"/>
      <c r="P28" s="166"/>
      <c r="Q28" s="166"/>
      <c r="R28" s="166"/>
      <c r="S28" s="166"/>
      <c r="T28" s="166"/>
      <c r="U28" s="166"/>
      <c r="V28" s="166"/>
    </row>
    <row r="29" spans="1:22" s="143" customFormat="1" ht="13.9" customHeight="1" x14ac:dyDescent="0.2">
      <c r="A29" s="326" t="s">
        <v>407</v>
      </c>
      <c r="B29" s="331"/>
      <c r="C29" s="328">
        <v>1</v>
      </c>
      <c r="D29" s="329"/>
      <c r="E29" s="329">
        <v>1675</v>
      </c>
      <c r="F29" s="329">
        <v>2055</v>
      </c>
      <c r="G29" s="329">
        <v>485</v>
      </c>
      <c r="H29" s="329">
        <v>90</v>
      </c>
      <c r="I29" s="329"/>
      <c r="J29" s="329"/>
      <c r="K29" s="329">
        <f>Lajes!P9</f>
        <v>62.8</v>
      </c>
      <c r="L29" s="329">
        <f>Lajes!S9</f>
        <v>376.7</v>
      </c>
      <c r="M29" s="329">
        <v>28</v>
      </c>
      <c r="N29" s="329">
        <f>M29*(2.45*6)</f>
        <v>411.6</v>
      </c>
      <c r="O29" s="52"/>
      <c r="P29" s="166"/>
      <c r="Q29" s="166"/>
      <c r="R29" s="166"/>
      <c r="S29" s="166"/>
      <c r="T29" s="166"/>
      <c r="U29" s="166"/>
      <c r="V29" s="166"/>
    </row>
    <row r="30" spans="1:22" s="143" customFormat="1" ht="13.9" customHeight="1" x14ac:dyDescent="0.2">
      <c r="A30" s="326" t="s">
        <v>207</v>
      </c>
      <c r="B30" s="331"/>
      <c r="C30" s="328">
        <v>1</v>
      </c>
      <c r="D30" s="329">
        <v>15</v>
      </c>
      <c r="E30" s="329">
        <v>25</v>
      </c>
      <c r="F30" s="329">
        <v>105</v>
      </c>
      <c r="G30" s="329"/>
      <c r="H30" s="329"/>
      <c r="I30" s="329"/>
      <c r="J30" s="329"/>
      <c r="K30" s="329">
        <f>Escadas!Q27</f>
        <v>2.6</v>
      </c>
      <c r="L30" s="329">
        <f>Escadas!W9</f>
        <v>25.223624999999998</v>
      </c>
      <c r="M30" s="329"/>
      <c r="N30" s="329"/>
      <c r="O30" s="52"/>
      <c r="P30" s="166"/>
      <c r="Q30" s="166"/>
      <c r="R30" s="166"/>
      <c r="S30" s="166"/>
      <c r="T30" s="166"/>
      <c r="U30" s="166"/>
      <c r="V30" s="166"/>
    </row>
    <row r="31" spans="1:22" s="143" customFormat="1" ht="13.9" customHeight="1" x14ac:dyDescent="0.2">
      <c r="A31" s="326" t="s">
        <v>408</v>
      </c>
      <c r="B31" s="331"/>
      <c r="C31" s="328">
        <v>1</v>
      </c>
      <c r="D31" s="329">
        <v>35</v>
      </c>
      <c r="E31" s="329"/>
      <c r="F31" s="329">
        <v>635</v>
      </c>
      <c r="G31" s="329">
        <v>515</v>
      </c>
      <c r="H31" s="329">
        <v>270</v>
      </c>
      <c r="I31" s="329"/>
      <c r="J31" s="329"/>
      <c r="K31" s="329">
        <f>Rampas!P9</f>
        <v>26.8</v>
      </c>
      <c r="L31" s="329">
        <f>Rampas!S9</f>
        <v>138.05000000000001</v>
      </c>
      <c r="M31" s="329"/>
      <c r="N31" s="329"/>
      <c r="O31" s="52"/>
      <c r="P31" s="166"/>
      <c r="Q31" s="166"/>
      <c r="R31" s="166"/>
      <c r="S31" s="166"/>
      <c r="T31" s="166"/>
      <c r="U31" s="166"/>
      <c r="V31" s="166"/>
    </row>
    <row r="32" spans="1:22" ht="13.9" customHeight="1" x14ac:dyDescent="0.2">
      <c r="A32" s="502" t="s">
        <v>229</v>
      </c>
      <c r="B32" s="323"/>
      <c r="C32" s="323"/>
      <c r="D32" s="323"/>
      <c r="E32" s="323"/>
      <c r="F32" s="324"/>
      <c r="G32" s="324"/>
      <c r="H32" s="324"/>
      <c r="I32" s="324"/>
      <c r="J32" s="324"/>
      <c r="K32" s="324">
        <f>SUM(K27:K31)</f>
        <v>152.02000000000001</v>
      </c>
      <c r="L32" s="324"/>
      <c r="M32" s="324"/>
      <c r="N32" s="324"/>
      <c r="O32" s="142"/>
    </row>
    <row r="33" spans="1:22" s="143" customFormat="1" ht="13.5" customHeight="1" x14ac:dyDescent="0.2">
      <c r="A33" s="326" t="s">
        <v>406</v>
      </c>
      <c r="B33" s="647">
        <f>SUM(D33:I36)</f>
        <v>36025</v>
      </c>
      <c r="C33" s="328">
        <v>1</v>
      </c>
      <c r="D33" s="329">
        <v>340</v>
      </c>
      <c r="E33" s="329">
        <v>280</v>
      </c>
      <c r="F33" s="329">
        <v>615</v>
      </c>
      <c r="G33" s="329"/>
      <c r="H33" s="329">
        <v>745</v>
      </c>
      <c r="I33" s="329">
        <v>5370</v>
      </c>
      <c r="J33" s="329"/>
      <c r="K33" s="329">
        <f>Pilares!M10</f>
        <v>37.700000000000003</v>
      </c>
      <c r="L33" s="329">
        <f>Pilares!P10</f>
        <v>345.98999999999995</v>
      </c>
      <c r="M33" s="329"/>
      <c r="N33" s="329"/>
      <c r="O33" s="52"/>
      <c r="P33" s="166"/>
      <c r="Q33" s="166"/>
      <c r="R33" s="166"/>
      <c r="S33" s="166"/>
      <c r="T33" s="166"/>
      <c r="U33" s="166"/>
      <c r="V33" s="166"/>
    </row>
    <row r="34" spans="1:22" s="143" customFormat="1" ht="13.9" customHeight="1" x14ac:dyDescent="0.2">
      <c r="A34" s="326" t="s">
        <v>334</v>
      </c>
      <c r="B34" s="331"/>
      <c r="C34" s="328">
        <v>1</v>
      </c>
      <c r="D34" s="329">
        <v>190</v>
      </c>
      <c r="E34" s="329">
        <v>745</v>
      </c>
      <c r="F34" s="329">
        <v>1410</v>
      </c>
      <c r="G34" s="329">
        <v>2425</v>
      </c>
      <c r="H34" s="329">
        <v>7765</v>
      </c>
      <c r="I34" s="329">
        <v>11710</v>
      </c>
      <c r="J34" s="329"/>
      <c r="K34" s="329">
        <f>Vigas!N9</f>
        <v>154.39000000000001</v>
      </c>
      <c r="L34" s="329">
        <f>Vigas!Q9</f>
        <v>594.61</v>
      </c>
      <c r="M34" s="329"/>
      <c r="N34" s="329"/>
      <c r="O34" s="52"/>
      <c r="P34" s="166"/>
      <c r="Q34" s="166"/>
      <c r="R34" s="166"/>
      <c r="S34" s="166"/>
      <c r="T34" s="166"/>
      <c r="U34" s="166"/>
      <c r="V34" s="166"/>
    </row>
    <row r="35" spans="1:22" s="143" customFormat="1" ht="13.9" customHeight="1" x14ac:dyDescent="0.2">
      <c r="A35" s="326" t="s">
        <v>407</v>
      </c>
      <c r="B35" s="331"/>
      <c r="C35" s="328">
        <v>1</v>
      </c>
      <c r="D35" s="329"/>
      <c r="E35" s="329">
        <v>1255</v>
      </c>
      <c r="F35" s="329">
        <v>2100</v>
      </c>
      <c r="G35" s="329">
        <v>930</v>
      </c>
      <c r="H35" s="329"/>
      <c r="I35" s="329"/>
      <c r="J35" s="329"/>
      <c r="K35" s="329">
        <f>Lajes!P10</f>
        <v>90</v>
      </c>
      <c r="L35" s="329">
        <f>Lajes!S10</f>
        <v>376.7</v>
      </c>
      <c r="M35" s="329">
        <v>10</v>
      </c>
      <c r="N35" s="329">
        <f>M35*(2.45*6)</f>
        <v>147</v>
      </c>
      <c r="O35" s="52"/>
      <c r="P35" s="166"/>
      <c r="Q35" s="166"/>
      <c r="R35" s="166"/>
      <c r="S35" s="166"/>
      <c r="T35" s="166"/>
      <c r="U35" s="166"/>
      <c r="V35" s="166"/>
    </row>
    <row r="36" spans="1:22" s="143" customFormat="1" ht="13.9" customHeight="1" x14ac:dyDescent="0.2">
      <c r="A36" s="326" t="s">
        <v>207</v>
      </c>
      <c r="B36" s="331"/>
      <c r="C36" s="328">
        <v>1</v>
      </c>
      <c r="D36" s="329">
        <v>15</v>
      </c>
      <c r="E36" s="329">
        <v>25</v>
      </c>
      <c r="F36" s="329">
        <v>105</v>
      </c>
      <c r="G36" s="329"/>
      <c r="H36" s="329"/>
      <c r="I36" s="329"/>
      <c r="J36" s="329"/>
      <c r="K36" s="329">
        <f>Escadas!Q34</f>
        <v>3</v>
      </c>
      <c r="L36" s="329"/>
      <c r="M36" s="329"/>
      <c r="N36" s="329"/>
      <c r="O36" s="52"/>
      <c r="P36" s="166"/>
      <c r="Q36" s="166"/>
      <c r="R36" s="166"/>
      <c r="S36" s="166"/>
      <c r="T36" s="166"/>
      <c r="U36" s="166"/>
      <c r="V36" s="166"/>
    </row>
    <row r="37" spans="1:22" ht="13.9" customHeight="1" x14ac:dyDescent="0.2">
      <c r="A37" s="502" t="s">
        <v>405</v>
      </c>
      <c r="B37" s="323"/>
      <c r="C37" s="323"/>
      <c r="D37" s="323"/>
      <c r="E37" s="323"/>
      <c r="F37" s="324"/>
      <c r="G37" s="324"/>
      <c r="H37" s="324"/>
      <c r="I37" s="324"/>
      <c r="J37" s="324"/>
      <c r="K37" s="324">
        <f>SUM(K33:K36)</f>
        <v>285.09000000000003</v>
      </c>
      <c r="L37" s="324"/>
      <c r="M37" s="324"/>
      <c r="N37" s="324"/>
      <c r="O37" s="142"/>
    </row>
    <row r="38" spans="1:22" s="143" customFormat="1" ht="13.5" customHeight="1" x14ac:dyDescent="0.2">
      <c r="A38" s="326" t="s">
        <v>406</v>
      </c>
      <c r="B38" s="647">
        <f>SUM(D38:I41)</f>
        <v>131200</v>
      </c>
      <c r="C38" s="328">
        <v>1</v>
      </c>
      <c r="D38" s="329">
        <v>6950</v>
      </c>
      <c r="E38" s="329">
        <v>4195</v>
      </c>
      <c r="F38" s="329">
        <v>875</v>
      </c>
      <c r="G38" s="329">
        <v>0</v>
      </c>
      <c r="H38" s="329">
        <v>32020</v>
      </c>
      <c r="I38" s="329">
        <v>4625</v>
      </c>
      <c r="J38" s="329"/>
      <c r="K38" s="329">
        <f>Pilares!M11</f>
        <v>504.28</v>
      </c>
      <c r="L38" s="329">
        <f>Pilares!P11</f>
        <v>4413.1499999999996</v>
      </c>
      <c r="M38" s="329"/>
      <c r="N38" s="329"/>
      <c r="O38" s="52"/>
      <c r="P38" s="166"/>
      <c r="Q38" s="166"/>
      <c r="R38" s="166"/>
      <c r="S38" s="166"/>
      <c r="T38" s="166"/>
      <c r="U38" s="166"/>
      <c r="V38" s="166"/>
    </row>
    <row r="39" spans="1:22" s="143" customFormat="1" ht="13.9" customHeight="1" x14ac:dyDescent="0.2">
      <c r="A39" s="326" t="s">
        <v>334</v>
      </c>
      <c r="B39" s="331"/>
      <c r="C39" s="328">
        <v>1</v>
      </c>
      <c r="D39" s="329">
        <v>2485</v>
      </c>
      <c r="E39" s="329">
        <v>7970</v>
      </c>
      <c r="F39" s="329">
        <v>1960</v>
      </c>
      <c r="G39" s="329">
        <v>3700</v>
      </c>
      <c r="H39" s="329">
        <v>28860</v>
      </c>
      <c r="I39" s="329">
        <v>7960</v>
      </c>
      <c r="J39" s="329"/>
      <c r="K39" s="329">
        <f>Vigas!N10</f>
        <v>244.14000000000001</v>
      </c>
      <c r="L39" s="329">
        <f>Vigas!Q10</f>
        <v>2288.3699999999994</v>
      </c>
      <c r="M39" s="329"/>
      <c r="N39" s="329"/>
      <c r="O39" s="52"/>
      <c r="P39" s="166"/>
      <c r="Q39" s="166"/>
      <c r="R39" s="166"/>
      <c r="S39" s="166"/>
      <c r="T39" s="166"/>
      <c r="U39" s="166"/>
      <c r="V39" s="166"/>
    </row>
    <row r="40" spans="1:22" s="143" customFormat="1" ht="13.9" customHeight="1" x14ac:dyDescent="0.2">
      <c r="A40" s="326" t="s">
        <v>407</v>
      </c>
      <c r="B40" s="331"/>
      <c r="C40" s="328">
        <v>1</v>
      </c>
      <c r="D40" s="329">
        <v>800</v>
      </c>
      <c r="E40" s="329">
        <v>15200</v>
      </c>
      <c r="F40" s="329">
        <v>9600</v>
      </c>
      <c r="G40" s="329">
        <v>1100</v>
      </c>
      <c r="H40" s="329"/>
      <c r="I40" s="329"/>
      <c r="J40" s="329"/>
      <c r="K40" s="329">
        <f>Lajes!P11</f>
        <v>616</v>
      </c>
      <c r="L40" s="329">
        <f>Lajes!S11</f>
        <v>822.8</v>
      </c>
      <c r="M40" s="329">
        <v>280</v>
      </c>
      <c r="N40" s="329">
        <f>M40*(2.45*6)</f>
        <v>4116</v>
      </c>
      <c r="O40" s="52"/>
      <c r="P40" s="166"/>
      <c r="Q40" s="166"/>
      <c r="R40" s="166"/>
      <c r="S40" s="166"/>
      <c r="T40" s="166"/>
      <c r="U40" s="166"/>
      <c r="V40" s="166"/>
    </row>
    <row r="41" spans="1:22" s="143" customFormat="1" ht="13.9" customHeight="1" x14ac:dyDescent="0.2">
      <c r="A41" s="326" t="s">
        <v>207</v>
      </c>
      <c r="B41" s="331"/>
      <c r="C41" s="328">
        <v>1</v>
      </c>
      <c r="D41" s="329">
        <v>300</v>
      </c>
      <c r="E41" s="329">
        <v>500</v>
      </c>
      <c r="F41" s="329">
        <v>2100</v>
      </c>
      <c r="G41" s="329"/>
      <c r="H41" s="329"/>
      <c r="I41" s="329"/>
      <c r="J41" s="329"/>
      <c r="K41" s="329">
        <f>Escadas!Q48</f>
        <v>56</v>
      </c>
      <c r="L41" s="329">
        <f>Escadas!W11</f>
        <v>512.32672500000001</v>
      </c>
      <c r="M41" s="329"/>
      <c r="N41" s="329"/>
      <c r="O41" s="52"/>
      <c r="P41" s="166"/>
      <c r="Q41" s="166"/>
      <c r="R41" s="166"/>
      <c r="S41" s="166"/>
      <c r="T41" s="166"/>
      <c r="U41" s="166"/>
      <c r="V41" s="166"/>
    </row>
    <row r="42" spans="1:22" ht="13.9" customHeight="1" x14ac:dyDescent="0.2">
      <c r="A42" s="502" t="s">
        <v>84</v>
      </c>
      <c r="B42" s="323"/>
      <c r="C42" s="323"/>
      <c r="D42" s="323"/>
      <c r="E42" s="323"/>
      <c r="F42" s="324"/>
      <c r="G42" s="324"/>
      <c r="H42" s="324"/>
      <c r="I42" s="324"/>
      <c r="J42" s="324"/>
      <c r="K42" s="324">
        <f>SUM(K38:K41)</f>
        <v>1420.42</v>
      </c>
      <c r="L42" s="324"/>
      <c r="M42" s="324"/>
      <c r="N42" s="324"/>
      <c r="O42" s="142"/>
    </row>
    <row r="43" spans="1:22" s="143" customFormat="1" ht="13.5" customHeight="1" x14ac:dyDescent="0.2">
      <c r="A43" s="326" t="s">
        <v>406</v>
      </c>
      <c r="B43" s="647">
        <f>SUM(D43:I46)</f>
        <v>5130</v>
      </c>
      <c r="C43" s="328">
        <v>1</v>
      </c>
      <c r="D43" s="329">
        <v>365</v>
      </c>
      <c r="E43" s="329">
        <v>170</v>
      </c>
      <c r="F43" s="329"/>
      <c r="G43" s="329"/>
      <c r="H43" s="329">
        <v>1390</v>
      </c>
      <c r="I43" s="329"/>
      <c r="J43" s="329"/>
      <c r="K43" s="329">
        <f>Pilares!M12</f>
        <v>25.11</v>
      </c>
      <c r="L43" s="329">
        <f>Pilares!P12</f>
        <v>220.01</v>
      </c>
      <c r="M43" s="329"/>
      <c r="N43" s="329"/>
      <c r="O43" s="52"/>
      <c r="P43" s="166"/>
      <c r="Q43" s="166"/>
      <c r="R43" s="166"/>
      <c r="S43" s="166"/>
      <c r="T43" s="166"/>
      <c r="U43" s="166"/>
      <c r="V43" s="166"/>
    </row>
    <row r="44" spans="1:22" s="143" customFormat="1" ht="13.9" customHeight="1" x14ac:dyDescent="0.2">
      <c r="A44" s="326" t="s">
        <v>334</v>
      </c>
      <c r="B44" s="331"/>
      <c r="C44" s="328">
        <v>1</v>
      </c>
      <c r="D44" s="329">
        <v>215</v>
      </c>
      <c r="E44" s="329">
        <v>250</v>
      </c>
      <c r="F44" s="329">
        <v>75</v>
      </c>
      <c r="G44" s="329">
        <v>495</v>
      </c>
      <c r="H44" s="329">
        <v>715</v>
      </c>
      <c r="I44" s="329"/>
      <c r="J44" s="329"/>
      <c r="K44" s="329">
        <f>Vigas!N11</f>
        <v>12.26</v>
      </c>
      <c r="L44" s="329">
        <f>Vigas!Q11</f>
        <v>115.58999999999999</v>
      </c>
      <c r="M44" s="329"/>
      <c r="N44" s="329"/>
      <c r="O44" s="52"/>
      <c r="P44" s="166"/>
      <c r="Q44" s="166"/>
      <c r="R44" s="166"/>
      <c r="S44" s="166"/>
      <c r="T44" s="166"/>
      <c r="U44" s="166"/>
      <c r="V44" s="166"/>
    </row>
    <row r="45" spans="1:22" s="143" customFormat="1" ht="13.9" customHeight="1" x14ac:dyDescent="0.2">
      <c r="A45" s="326" t="s">
        <v>407</v>
      </c>
      <c r="B45" s="331"/>
      <c r="C45" s="328">
        <v>1</v>
      </c>
      <c r="D45" s="329">
        <v>30</v>
      </c>
      <c r="E45" s="329">
        <v>745</v>
      </c>
      <c r="F45" s="329">
        <v>480</v>
      </c>
      <c r="G45" s="329">
        <v>55</v>
      </c>
      <c r="H45" s="329"/>
      <c r="I45" s="329"/>
      <c r="J45" s="329"/>
      <c r="K45" s="329">
        <f>Lajes!P12</f>
        <v>30.4</v>
      </c>
      <c r="L45" s="329">
        <f>Lajes!S12</f>
        <v>41.14</v>
      </c>
      <c r="M45" s="329">
        <v>14</v>
      </c>
      <c r="N45" s="329">
        <f>M45*(2.45*6)</f>
        <v>205.8</v>
      </c>
      <c r="O45" s="52"/>
      <c r="P45" s="166"/>
      <c r="Q45" s="166"/>
      <c r="R45" s="166"/>
      <c r="S45" s="166"/>
      <c r="T45" s="166"/>
      <c r="U45" s="166"/>
      <c r="V45" s="166"/>
    </row>
    <row r="46" spans="1:22" s="143" customFormat="1" ht="13.9" customHeight="1" x14ac:dyDescent="0.2">
      <c r="A46" s="326" t="s">
        <v>207</v>
      </c>
      <c r="B46" s="331"/>
      <c r="C46" s="328">
        <v>1</v>
      </c>
      <c r="D46" s="329">
        <v>15</v>
      </c>
      <c r="E46" s="329">
        <v>25</v>
      </c>
      <c r="F46" s="329">
        <v>105</v>
      </c>
      <c r="G46" s="329"/>
      <c r="H46" s="329"/>
      <c r="I46" s="329"/>
      <c r="J46" s="329"/>
      <c r="K46" s="329">
        <f>Escadas!Q55</f>
        <v>2.8</v>
      </c>
      <c r="L46" s="329">
        <f>Escadas!W12</f>
        <v>25.598299999999998</v>
      </c>
      <c r="M46" s="329"/>
      <c r="N46" s="329"/>
      <c r="O46" s="52"/>
      <c r="P46" s="166"/>
      <c r="Q46" s="166"/>
      <c r="R46" s="166"/>
      <c r="S46" s="166"/>
      <c r="T46" s="166"/>
      <c r="U46" s="166"/>
      <c r="V46" s="166"/>
    </row>
    <row r="47" spans="1:22" ht="13.9" customHeight="1" x14ac:dyDescent="0.2">
      <c r="A47" s="502" t="s">
        <v>404</v>
      </c>
      <c r="B47" s="323"/>
      <c r="C47" s="323"/>
      <c r="D47" s="323"/>
      <c r="E47" s="323"/>
      <c r="F47" s="324"/>
      <c r="G47" s="324"/>
      <c r="H47" s="324"/>
      <c r="I47" s="324"/>
      <c r="J47" s="324"/>
      <c r="K47" s="324">
        <f>SUM(K43:K46)</f>
        <v>70.569999999999993</v>
      </c>
      <c r="L47" s="324"/>
      <c r="M47" s="324"/>
      <c r="N47" s="324"/>
      <c r="O47" s="142"/>
    </row>
    <row r="48" spans="1:22" s="143" customFormat="1" ht="13.5" customHeight="1" x14ac:dyDescent="0.2">
      <c r="A48" s="326" t="s">
        <v>406</v>
      </c>
      <c r="B48" s="647">
        <f>SUM(D48:I50)</f>
        <v>4555</v>
      </c>
      <c r="C48" s="328">
        <v>1</v>
      </c>
      <c r="D48" s="329">
        <v>275</v>
      </c>
      <c r="E48" s="329">
        <v>340</v>
      </c>
      <c r="F48" s="329"/>
      <c r="G48" s="329">
        <v>45</v>
      </c>
      <c r="H48" s="329">
        <v>1315</v>
      </c>
      <c r="I48" s="329"/>
      <c r="J48" s="329"/>
      <c r="K48" s="329">
        <f>Pilares!M13</f>
        <v>24.97</v>
      </c>
      <c r="L48" s="329">
        <f>Pilares!P13</f>
        <v>215.22000000000003</v>
      </c>
      <c r="M48" s="329"/>
      <c r="N48" s="329"/>
      <c r="O48" s="52"/>
      <c r="P48" s="166"/>
      <c r="Q48" s="166"/>
      <c r="R48" s="166"/>
      <c r="S48" s="166"/>
      <c r="T48" s="166"/>
      <c r="U48" s="166"/>
      <c r="V48" s="166"/>
    </row>
    <row r="49" spans="1:22" s="143" customFormat="1" ht="13.9" customHeight="1" x14ac:dyDescent="0.2">
      <c r="A49" s="326" t="s">
        <v>334</v>
      </c>
      <c r="B49" s="331"/>
      <c r="C49" s="328">
        <v>1</v>
      </c>
      <c r="D49" s="329">
        <v>35</v>
      </c>
      <c r="E49" s="329">
        <v>425</v>
      </c>
      <c r="F49" s="329">
        <v>335</v>
      </c>
      <c r="G49" s="329">
        <v>75</v>
      </c>
      <c r="H49" s="329">
        <v>740</v>
      </c>
      <c r="I49" s="329"/>
      <c r="J49" s="329"/>
      <c r="K49" s="329">
        <f>Vigas!N12</f>
        <v>12.459999999999999</v>
      </c>
      <c r="L49" s="329">
        <f>Vigas!Q12</f>
        <v>111.53999999999999</v>
      </c>
      <c r="M49" s="329"/>
      <c r="N49" s="329"/>
      <c r="O49" s="52"/>
      <c r="P49" s="166"/>
      <c r="Q49" s="166"/>
      <c r="R49" s="166"/>
      <c r="S49" s="166"/>
      <c r="T49" s="166"/>
      <c r="U49" s="166"/>
      <c r="V49" s="166"/>
    </row>
    <row r="50" spans="1:22" s="143" customFormat="1" ht="13.9" customHeight="1" x14ac:dyDescent="0.2">
      <c r="A50" s="326" t="s">
        <v>407</v>
      </c>
      <c r="B50" s="331"/>
      <c r="C50" s="328">
        <v>1</v>
      </c>
      <c r="D50" s="329"/>
      <c r="E50" s="329">
        <v>395</v>
      </c>
      <c r="F50" s="329">
        <v>575</v>
      </c>
      <c r="G50" s="329"/>
      <c r="H50" s="329"/>
      <c r="I50" s="329"/>
      <c r="J50" s="329"/>
      <c r="K50" s="329">
        <f>Lajes!P13</f>
        <v>17.3</v>
      </c>
      <c r="L50" s="329">
        <f>Lajes!S13</f>
        <v>101.57999999999998</v>
      </c>
      <c r="M50" s="329"/>
      <c r="N50" s="329"/>
      <c r="O50" s="52"/>
      <c r="P50" s="166"/>
      <c r="Q50" s="166"/>
      <c r="R50" s="166"/>
      <c r="S50" s="166"/>
      <c r="T50" s="166"/>
      <c r="U50" s="166"/>
      <c r="V50" s="166"/>
    </row>
    <row r="51" spans="1:22" ht="12.95" customHeight="1" x14ac:dyDescent="0.2">
      <c r="A51" s="502"/>
      <c r="B51" s="471"/>
      <c r="C51" s="471"/>
      <c r="D51" s="471"/>
      <c r="E51" s="471"/>
      <c r="F51" s="472"/>
      <c r="G51" s="472"/>
      <c r="H51" s="472"/>
      <c r="I51" s="472"/>
      <c r="J51" s="472"/>
      <c r="K51" s="472">
        <f>SUM(K48:K50)</f>
        <v>54.730000000000004</v>
      </c>
      <c r="L51" s="472"/>
      <c r="M51" s="472"/>
      <c r="N51" s="472"/>
    </row>
    <row r="52" spans="1:22" x14ac:dyDescent="0.2">
      <c r="A52" s="333"/>
      <c r="B52" s="334"/>
      <c r="C52" s="335"/>
      <c r="D52" s="336"/>
      <c r="E52" s="336"/>
      <c r="F52" s="336"/>
      <c r="G52" s="336"/>
      <c r="H52" s="336"/>
      <c r="I52" s="336"/>
      <c r="J52" s="336"/>
      <c r="K52" s="336"/>
      <c r="L52" s="336"/>
      <c r="M52" s="952"/>
      <c r="N52" s="952"/>
      <c r="O52" s="52"/>
    </row>
    <row r="53" spans="1:22" ht="12" x14ac:dyDescent="0.2">
      <c r="A53" s="490"/>
      <c r="B53" s="491" t="s">
        <v>21</v>
      </c>
      <c r="C53" s="492">
        <f>SUM(D53:J53)</f>
        <v>229805</v>
      </c>
      <c r="D53" s="492">
        <f t="shared" ref="D53:N53" si="0">SUMPRODUCT(D7:D52,$C7:$C52)</f>
        <v>15210</v>
      </c>
      <c r="E53" s="492">
        <f t="shared" si="0"/>
        <v>39200</v>
      </c>
      <c r="F53" s="492">
        <f t="shared" si="0"/>
        <v>30320</v>
      </c>
      <c r="G53" s="492">
        <f t="shared" si="0"/>
        <v>11560</v>
      </c>
      <c r="H53" s="492">
        <f t="shared" si="0"/>
        <v>87630</v>
      </c>
      <c r="I53" s="492">
        <f t="shared" si="0"/>
        <v>45885</v>
      </c>
      <c r="J53" s="492">
        <f t="shared" si="0"/>
        <v>0</v>
      </c>
      <c r="K53" s="492">
        <f>K51+K47+K42+K32+K26+K20+K37</f>
        <v>2291.4300000000003</v>
      </c>
      <c r="L53" s="492"/>
      <c r="M53" s="953">
        <f t="shared" si="0"/>
        <v>388</v>
      </c>
      <c r="N53" s="954">
        <f t="shared" si="0"/>
        <v>5703.6</v>
      </c>
    </row>
    <row r="54" spans="1:22" ht="12.75" thickBot="1" x14ac:dyDescent="0.25">
      <c r="A54" s="494"/>
      <c r="B54" s="495" t="s">
        <v>22</v>
      </c>
      <c r="C54" s="280"/>
      <c r="D54" s="281">
        <v>1</v>
      </c>
      <c r="E54" s="281">
        <v>1</v>
      </c>
      <c r="F54" s="281">
        <v>1</v>
      </c>
      <c r="G54" s="281">
        <v>1</v>
      </c>
      <c r="H54" s="281">
        <v>1</v>
      </c>
      <c r="I54" s="281">
        <v>1</v>
      </c>
      <c r="J54" s="281">
        <v>1</v>
      </c>
      <c r="K54" s="281"/>
      <c r="L54" s="281"/>
      <c r="M54" s="955">
        <v>1</v>
      </c>
      <c r="N54" s="956">
        <v>1</v>
      </c>
    </row>
    <row r="55" spans="1:22" ht="13.5" thickTop="1" thickBot="1" x14ac:dyDescent="0.25">
      <c r="A55" s="115"/>
      <c r="B55" s="115" t="s">
        <v>23</v>
      </c>
      <c r="C55" s="203">
        <f>SUM(D55:J55)</f>
        <v>229805</v>
      </c>
      <c r="D55" s="203">
        <f>D54*D53</f>
        <v>15210</v>
      </c>
      <c r="E55" s="203">
        <f t="shared" ref="E55:M55" si="1">E54*E53</f>
        <v>39200</v>
      </c>
      <c r="F55" s="203">
        <f t="shared" si="1"/>
        <v>30320</v>
      </c>
      <c r="G55" s="203">
        <f t="shared" si="1"/>
        <v>11560</v>
      </c>
      <c r="H55" s="203">
        <f t="shared" si="1"/>
        <v>87630</v>
      </c>
      <c r="I55" s="203">
        <f t="shared" si="1"/>
        <v>45885</v>
      </c>
      <c r="J55" s="203">
        <f t="shared" si="1"/>
        <v>0</v>
      </c>
      <c r="K55" s="203"/>
      <c r="L55" s="203"/>
      <c r="M55" s="957">
        <f t="shared" si="1"/>
        <v>388</v>
      </c>
      <c r="N55" s="958">
        <f>N54*N53</f>
        <v>5703.6</v>
      </c>
    </row>
    <row r="56" spans="1:22" ht="12.75" thickTop="1" x14ac:dyDescent="0.2">
      <c r="A56" s="145"/>
      <c r="B56" s="276"/>
      <c r="C56" s="277"/>
      <c r="D56" s="278"/>
      <c r="E56" s="278"/>
      <c r="F56" s="278"/>
      <c r="G56" s="278"/>
      <c r="H56" s="278"/>
      <c r="I56" s="278"/>
      <c r="J56" s="278"/>
      <c r="K56" s="278"/>
      <c r="L56" s="278"/>
      <c r="M56" s="143"/>
      <c r="N56" s="143"/>
    </row>
    <row r="57" spans="1:22" ht="12" x14ac:dyDescent="0.2">
      <c r="J57" s="145"/>
      <c r="L57" s="145"/>
      <c r="M57" s="145"/>
      <c r="N57" s="145"/>
    </row>
    <row r="69" spans="1:14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</sheetData>
  <mergeCells count="4">
    <mergeCell ref="A4:N4"/>
    <mergeCell ref="A5:B6"/>
    <mergeCell ref="C5:C6"/>
    <mergeCell ref="M5:N5"/>
  </mergeCells>
  <printOptions horizontalCentered="1"/>
  <pageMargins left="0.19685039370078741" right="0.19685039370078741" top="0.39370078740157483" bottom="0.39370078740157483" header="0.51181102362204722" footer="0.19685039370078741"/>
  <pageSetup paperSize="9" scale="59" orientation="landscape" r:id="rId1"/>
  <headerFooter alignWithMargins="0">
    <oddFooter>&amp;L&amp;"Arial,Normal"&amp;F  - &amp;A&amp;R&amp;"Arial,Normal"&amp;P / &amp;N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851D6"/>
    <pageSetUpPr fitToPage="1"/>
  </sheetPr>
  <dimension ref="A1:J2719"/>
  <sheetViews>
    <sheetView showGridLines="0" topLeftCell="A2606" zoomScaleNormal="100" zoomScalePageLayoutView="55" workbookViewId="0">
      <selection activeCell="F141" sqref="F141"/>
    </sheetView>
  </sheetViews>
  <sheetFormatPr defaultColWidth="11.5703125" defaultRowHeight="12.75" x14ac:dyDescent="0.2"/>
  <cols>
    <col min="1" max="1" width="76.42578125" style="12" customWidth="1"/>
    <col min="2" max="2" width="8.140625" style="25" customWidth="1"/>
    <col min="3" max="3" width="11.7109375" style="656" customWidth="1"/>
    <col min="4" max="4" width="40.140625" customWidth="1"/>
    <col min="5" max="5" width="38" style="12" customWidth="1"/>
    <col min="6" max="6" width="11.5703125" style="12"/>
    <col min="7" max="7" width="38.140625" style="12" customWidth="1"/>
    <col min="8" max="9" width="11.5703125" style="12"/>
    <col min="10" max="10" width="19.7109375" style="12" customWidth="1"/>
    <col min="11" max="16384" width="11.5703125" style="12"/>
  </cols>
  <sheetData>
    <row r="1" spans="1:10" ht="18" customHeight="1" x14ac:dyDescent="0.2">
      <c r="A1" s="1365"/>
      <c r="B1" s="1365"/>
      <c r="C1" s="1365"/>
      <c r="D1" s="12"/>
      <c r="G1" s="676"/>
    </row>
    <row r="2" spans="1:10" ht="21.75" customHeight="1" x14ac:dyDescent="0.2">
      <c r="A2" s="1364" t="s">
        <v>0</v>
      </c>
      <c r="B2" s="1364" t="s">
        <v>768</v>
      </c>
      <c r="C2" s="1364" t="s">
        <v>93</v>
      </c>
      <c r="D2" s="12"/>
    </row>
    <row r="3" spans="1:10" ht="17.25" customHeight="1" x14ac:dyDescent="0.2">
      <c r="A3" s="1364"/>
      <c r="B3" s="1364"/>
      <c r="C3" s="1364"/>
      <c r="D3" s="12"/>
    </row>
    <row r="4" spans="1:10" x14ac:dyDescent="0.2">
      <c r="A4" s="669" t="s">
        <v>767</v>
      </c>
      <c r="B4" s="668"/>
      <c r="C4" s="667"/>
      <c r="D4" s="12"/>
      <c r="G4" s="676"/>
    </row>
    <row r="5" spans="1:10" x14ac:dyDescent="0.2">
      <c r="A5" s="662" t="s">
        <v>208</v>
      </c>
      <c r="B5" s="661"/>
      <c r="C5" s="660"/>
      <c r="D5" s="12"/>
    </row>
    <row r="6" spans="1:10" x14ac:dyDescent="0.2">
      <c r="A6" s="666" t="s">
        <v>562</v>
      </c>
      <c r="B6" s="665" t="s">
        <v>13</v>
      </c>
      <c r="C6" s="673">
        <v>185.56</v>
      </c>
      <c r="D6" s="12"/>
    </row>
    <row r="7" spans="1:10" x14ac:dyDescent="0.2">
      <c r="A7" s="659" t="s">
        <v>581</v>
      </c>
      <c r="B7" s="658" t="s">
        <v>13</v>
      </c>
      <c r="C7" s="673">
        <v>331.42</v>
      </c>
      <c r="D7" s="12"/>
      <c r="G7" s="676"/>
      <c r="J7" s="676"/>
    </row>
    <row r="8" spans="1:10" x14ac:dyDescent="0.2">
      <c r="A8" s="662" t="s">
        <v>605</v>
      </c>
      <c r="B8" s="661"/>
      <c r="C8" s="660"/>
      <c r="D8" s="12"/>
    </row>
    <row r="9" spans="1:10" x14ac:dyDescent="0.2">
      <c r="A9" s="666" t="s">
        <v>604</v>
      </c>
      <c r="B9" s="665" t="s">
        <v>13</v>
      </c>
      <c r="C9" s="673">
        <v>177.81</v>
      </c>
      <c r="D9" s="12"/>
    </row>
    <row r="10" spans="1:10" x14ac:dyDescent="0.2">
      <c r="A10" s="662" t="s">
        <v>561</v>
      </c>
      <c r="B10" s="661"/>
      <c r="C10" s="660"/>
      <c r="D10" s="12"/>
    </row>
    <row r="11" spans="1:10" x14ac:dyDescent="0.2">
      <c r="A11" s="659" t="s">
        <v>580</v>
      </c>
      <c r="B11" s="658" t="s">
        <v>3</v>
      </c>
      <c r="C11" s="673">
        <v>224.76</v>
      </c>
      <c r="D11" s="12"/>
    </row>
    <row r="12" spans="1:10" x14ac:dyDescent="0.2">
      <c r="A12" s="666" t="s">
        <v>560</v>
      </c>
      <c r="B12" s="665" t="s">
        <v>13</v>
      </c>
      <c r="C12" s="673">
        <v>348</v>
      </c>
      <c r="D12" s="12"/>
    </row>
    <row r="13" spans="1:10" x14ac:dyDescent="0.2">
      <c r="A13" s="659" t="s">
        <v>559</v>
      </c>
      <c r="B13" s="658" t="s">
        <v>3</v>
      </c>
      <c r="C13" s="673">
        <v>43.44</v>
      </c>
      <c r="D13" s="12"/>
    </row>
    <row r="14" spans="1:10" x14ac:dyDescent="0.2">
      <c r="A14" s="662" t="s">
        <v>212</v>
      </c>
      <c r="B14" s="661"/>
      <c r="C14" s="660"/>
      <c r="D14" s="12"/>
    </row>
    <row r="15" spans="1:10" x14ac:dyDescent="0.2">
      <c r="A15" s="659" t="s">
        <v>579</v>
      </c>
      <c r="B15" s="658" t="s">
        <v>13</v>
      </c>
      <c r="C15" s="657">
        <v>23.42</v>
      </c>
      <c r="D15" s="12"/>
    </row>
    <row r="16" spans="1:10" x14ac:dyDescent="0.2">
      <c r="A16" s="666" t="s">
        <v>558</v>
      </c>
      <c r="B16" s="665" t="s">
        <v>13</v>
      </c>
      <c r="C16" s="664">
        <v>17.98</v>
      </c>
      <c r="D16" s="12"/>
    </row>
    <row r="17" spans="1:4" x14ac:dyDescent="0.2">
      <c r="A17" s="662" t="s">
        <v>557</v>
      </c>
      <c r="B17" s="661"/>
      <c r="C17" s="660"/>
      <c r="D17" s="12"/>
    </row>
    <row r="18" spans="1:4" x14ac:dyDescent="0.2">
      <c r="A18" s="666" t="s">
        <v>603</v>
      </c>
      <c r="B18" s="665" t="s">
        <v>13</v>
      </c>
      <c r="C18" s="664">
        <v>34.94</v>
      </c>
      <c r="D18" s="12"/>
    </row>
    <row r="19" spans="1:4" x14ac:dyDescent="0.2">
      <c r="A19" s="659" t="s">
        <v>602</v>
      </c>
      <c r="B19" s="658" t="s">
        <v>13</v>
      </c>
      <c r="C19" s="657">
        <v>5.39</v>
      </c>
      <c r="D19" s="12"/>
    </row>
    <row r="20" spans="1:4" x14ac:dyDescent="0.2">
      <c r="A20" s="666" t="s">
        <v>652</v>
      </c>
      <c r="B20" s="665" t="s">
        <v>13</v>
      </c>
      <c r="C20" s="664">
        <v>23.48</v>
      </c>
      <c r="D20" s="12"/>
    </row>
    <row r="21" spans="1:4" x14ac:dyDescent="0.2">
      <c r="A21" s="659" t="s">
        <v>651</v>
      </c>
      <c r="B21" s="658" t="s">
        <v>13</v>
      </c>
      <c r="C21" s="657">
        <v>10.92</v>
      </c>
      <c r="D21" s="12"/>
    </row>
    <row r="22" spans="1:4" x14ac:dyDescent="0.2">
      <c r="A22" s="666" t="s">
        <v>766</v>
      </c>
      <c r="B22" s="665" t="s">
        <v>13</v>
      </c>
      <c r="C22" s="664">
        <v>58.79</v>
      </c>
      <c r="D22" s="12"/>
    </row>
    <row r="23" spans="1:4" x14ac:dyDescent="0.2">
      <c r="A23" s="659" t="s">
        <v>765</v>
      </c>
      <c r="B23" s="658" t="s">
        <v>13</v>
      </c>
      <c r="C23" s="657">
        <v>9.91</v>
      </c>
      <c r="D23" s="12"/>
    </row>
    <row r="24" spans="1:4" x14ac:dyDescent="0.2">
      <c r="A24" s="666" t="s">
        <v>712</v>
      </c>
      <c r="B24" s="665" t="s">
        <v>13</v>
      </c>
      <c r="C24" s="664">
        <v>8.9</v>
      </c>
      <c r="D24" s="12"/>
    </row>
    <row r="25" spans="1:4" x14ac:dyDescent="0.2">
      <c r="A25" s="659" t="s">
        <v>764</v>
      </c>
      <c r="B25" s="658" t="s">
        <v>13</v>
      </c>
      <c r="C25" s="657">
        <v>93.82</v>
      </c>
      <c r="D25" s="12"/>
    </row>
    <row r="26" spans="1:4" x14ac:dyDescent="0.2">
      <c r="A26" s="666" t="s">
        <v>763</v>
      </c>
      <c r="B26" s="665" t="s">
        <v>13</v>
      </c>
      <c r="C26" s="664">
        <v>7.11</v>
      </c>
      <c r="D26" s="12"/>
    </row>
    <row r="27" spans="1:4" x14ac:dyDescent="0.2">
      <c r="A27" s="659" t="s">
        <v>600</v>
      </c>
      <c r="B27" s="658" t="s">
        <v>13</v>
      </c>
      <c r="C27" s="657">
        <v>8.06</v>
      </c>
      <c r="D27" s="12"/>
    </row>
    <row r="28" spans="1:4" x14ac:dyDescent="0.2">
      <c r="A28" s="666" t="s">
        <v>762</v>
      </c>
      <c r="B28" s="665" t="s">
        <v>13</v>
      </c>
      <c r="C28" s="664">
        <v>353.36</v>
      </c>
      <c r="D28" s="12"/>
    </row>
    <row r="29" spans="1:4" x14ac:dyDescent="0.2">
      <c r="A29" s="662" t="s">
        <v>220</v>
      </c>
      <c r="B29" s="661"/>
      <c r="C29" s="660"/>
      <c r="D29" s="12"/>
    </row>
    <row r="30" spans="1:4" x14ac:dyDescent="0.2">
      <c r="A30" s="659" t="s">
        <v>761</v>
      </c>
      <c r="B30" s="658" t="s">
        <v>13</v>
      </c>
      <c r="C30" s="673">
        <v>5.8</v>
      </c>
      <c r="D30" s="12"/>
    </row>
    <row r="31" spans="1:4" x14ac:dyDescent="0.2">
      <c r="A31" s="666" t="s">
        <v>760</v>
      </c>
      <c r="B31" s="665" t="s">
        <v>13</v>
      </c>
      <c r="C31" s="673">
        <v>14.4</v>
      </c>
      <c r="D31" s="12"/>
    </row>
    <row r="32" spans="1:4" x14ac:dyDescent="0.2">
      <c r="A32" s="659" t="s">
        <v>759</v>
      </c>
      <c r="B32" s="658" t="s">
        <v>13</v>
      </c>
      <c r="C32" s="673">
        <v>202.01</v>
      </c>
      <c r="D32" s="12"/>
    </row>
    <row r="33" spans="1:6" x14ac:dyDescent="0.2">
      <c r="A33" s="666" t="s">
        <v>599</v>
      </c>
      <c r="B33" s="665" t="s">
        <v>13</v>
      </c>
      <c r="C33" s="673">
        <v>8.6</v>
      </c>
      <c r="D33" s="12"/>
    </row>
    <row r="34" spans="1:6" x14ac:dyDescent="0.2">
      <c r="A34" s="659" t="s">
        <v>644</v>
      </c>
      <c r="B34" s="658" t="s">
        <v>13</v>
      </c>
      <c r="C34" s="673">
        <v>10.66</v>
      </c>
      <c r="D34" s="12"/>
    </row>
    <row r="35" spans="1:6" ht="25.5" x14ac:dyDescent="0.2">
      <c r="A35" s="666" t="s">
        <v>643</v>
      </c>
      <c r="B35" s="665" t="s">
        <v>13</v>
      </c>
      <c r="C35" s="673">
        <v>2.72</v>
      </c>
      <c r="D35" s="12"/>
    </row>
    <row r="36" spans="1:6" x14ac:dyDescent="0.2">
      <c r="A36" s="662" t="s">
        <v>598</v>
      </c>
      <c r="B36" s="661"/>
      <c r="C36" s="660"/>
      <c r="D36" s="12"/>
    </row>
    <row r="37" spans="1:6" x14ac:dyDescent="0.2">
      <c r="A37" s="659" t="s">
        <v>642</v>
      </c>
      <c r="B37" s="658" t="s">
        <v>13</v>
      </c>
      <c r="C37" s="673">
        <v>158.22999999999999</v>
      </c>
      <c r="D37" s="12"/>
    </row>
    <row r="38" spans="1:6" x14ac:dyDescent="0.2">
      <c r="A38" s="666" t="s">
        <v>758</v>
      </c>
      <c r="B38" s="665" t="s">
        <v>13</v>
      </c>
      <c r="C38" s="673">
        <v>90.45</v>
      </c>
      <c r="D38" s="12"/>
    </row>
    <row r="39" spans="1:6" x14ac:dyDescent="0.2">
      <c r="A39" s="662" t="s">
        <v>708</v>
      </c>
      <c r="B39" s="661"/>
      <c r="C39" s="660"/>
      <c r="D39" s="12"/>
    </row>
    <row r="40" spans="1:6" x14ac:dyDescent="0.2">
      <c r="A40" s="659" t="s">
        <v>757</v>
      </c>
      <c r="B40" s="658" t="s">
        <v>13</v>
      </c>
      <c r="C40" s="673">
        <v>90.53</v>
      </c>
      <c r="D40" s="12"/>
    </row>
    <row r="41" spans="1:6" x14ac:dyDescent="0.2">
      <c r="A41" s="666" t="s">
        <v>728</v>
      </c>
      <c r="B41" s="665" t="s">
        <v>13</v>
      </c>
      <c r="C41" s="673">
        <v>245.5</v>
      </c>
      <c r="D41" s="664">
        <v>10.366099999999999</v>
      </c>
      <c r="E41" s="664">
        <f>C41-D41</f>
        <v>235.13390000000001</v>
      </c>
      <c r="F41" s="12" t="s">
        <v>803</v>
      </c>
    </row>
    <row r="42" spans="1:6" x14ac:dyDescent="0.2">
      <c r="A42" s="662" t="s">
        <v>576</v>
      </c>
      <c r="B42" s="661"/>
      <c r="C42" s="660"/>
      <c r="D42" s="12" t="s">
        <v>802</v>
      </c>
    </row>
    <row r="43" spans="1:6" x14ac:dyDescent="0.2">
      <c r="A43" s="659" t="s">
        <v>575</v>
      </c>
      <c r="B43" s="658" t="s">
        <v>13</v>
      </c>
      <c r="C43" s="673">
        <v>918.95</v>
      </c>
      <c r="D43" s="12"/>
    </row>
    <row r="44" spans="1:6" x14ac:dyDescent="0.2">
      <c r="A44" s="666" t="s">
        <v>574</v>
      </c>
      <c r="B44" s="665" t="s">
        <v>13</v>
      </c>
      <c r="C44" s="673">
        <v>238.42</v>
      </c>
      <c r="D44" s="12"/>
    </row>
    <row r="45" spans="1:6" x14ac:dyDescent="0.2">
      <c r="A45" s="662" t="s">
        <v>573</v>
      </c>
      <c r="B45" s="661"/>
      <c r="C45" s="660"/>
      <c r="D45" s="12"/>
    </row>
    <row r="46" spans="1:6" x14ac:dyDescent="0.2">
      <c r="A46" s="659" t="s">
        <v>572</v>
      </c>
      <c r="B46" s="658" t="s">
        <v>13</v>
      </c>
      <c r="C46" s="673">
        <v>1157.3699999999999</v>
      </c>
      <c r="D46" s="12"/>
    </row>
    <row r="47" spans="1:6" x14ac:dyDescent="0.2">
      <c r="A47" s="662" t="s">
        <v>224</v>
      </c>
      <c r="B47" s="661"/>
      <c r="C47" s="660"/>
      <c r="D47" s="12"/>
    </row>
    <row r="48" spans="1:6" x14ac:dyDescent="0.2">
      <c r="A48" s="666" t="s">
        <v>571</v>
      </c>
      <c r="B48" s="665" t="s">
        <v>13</v>
      </c>
      <c r="C48" s="673">
        <v>120.08</v>
      </c>
      <c r="D48" s="12"/>
    </row>
    <row r="49" spans="1:4" x14ac:dyDescent="0.2">
      <c r="A49" s="662" t="s">
        <v>218</v>
      </c>
      <c r="B49" s="661"/>
      <c r="C49" s="660"/>
      <c r="D49" s="12"/>
    </row>
    <row r="50" spans="1:4" x14ac:dyDescent="0.2">
      <c r="A50" s="659" t="s">
        <v>570</v>
      </c>
      <c r="B50" s="658" t="s">
        <v>13</v>
      </c>
      <c r="C50" s="673">
        <v>434.07</v>
      </c>
      <c r="D50" s="12"/>
    </row>
    <row r="51" spans="1:4" x14ac:dyDescent="0.2">
      <c r="A51" s="662" t="s">
        <v>219</v>
      </c>
      <c r="B51" s="661"/>
      <c r="C51" s="660"/>
      <c r="D51" s="12"/>
    </row>
    <row r="52" spans="1:4" x14ac:dyDescent="0.2">
      <c r="A52" s="666" t="s">
        <v>641</v>
      </c>
      <c r="B52" s="665" t="s">
        <v>13</v>
      </c>
      <c r="C52" s="673">
        <v>181.51</v>
      </c>
      <c r="D52" s="12"/>
    </row>
    <row r="53" spans="1:4" x14ac:dyDescent="0.2">
      <c r="A53" s="662" t="s">
        <v>222</v>
      </c>
      <c r="B53" s="661"/>
      <c r="C53" s="660"/>
      <c r="D53" s="12"/>
    </row>
    <row r="54" spans="1:4" x14ac:dyDescent="0.2">
      <c r="A54" s="659" t="s">
        <v>756</v>
      </c>
      <c r="B54" s="658" t="s">
        <v>13</v>
      </c>
      <c r="C54" s="673">
        <v>8.39</v>
      </c>
      <c r="D54" s="12"/>
    </row>
    <row r="55" spans="1:4" x14ac:dyDescent="0.2">
      <c r="A55" s="666" t="s">
        <v>755</v>
      </c>
      <c r="B55" s="665" t="s">
        <v>13</v>
      </c>
      <c r="C55" s="673">
        <v>14.03</v>
      </c>
      <c r="D55" s="12"/>
    </row>
    <row r="56" spans="1:4" x14ac:dyDescent="0.2">
      <c r="A56" s="659" t="s">
        <v>734</v>
      </c>
      <c r="B56" s="658" t="s">
        <v>13</v>
      </c>
      <c r="C56" s="673">
        <v>143.9</v>
      </c>
      <c r="D56" s="12"/>
    </row>
    <row r="57" spans="1:4" x14ac:dyDescent="0.2">
      <c r="A57" s="666" t="s">
        <v>701</v>
      </c>
      <c r="B57" s="665" t="s">
        <v>13</v>
      </c>
      <c r="C57" s="673">
        <v>143.69999999999999</v>
      </c>
      <c r="D57" s="12"/>
    </row>
    <row r="58" spans="1:4" x14ac:dyDescent="0.2">
      <c r="A58" s="659" t="s">
        <v>754</v>
      </c>
      <c r="B58" s="658" t="s">
        <v>13</v>
      </c>
      <c r="C58" s="673">
        <v>6.58</v>
      </c>
      <c r="D58" s="12"/>
    </row>
    <row r="59" spans="1:4" x14ac:dyDescent="0.2">
      <c r="A59" s="666" t="s">
        <v>638</v>
      </c>
      <c r="B59" s="665" t="s">
        <v>13</v>
      </c>
      <c r="C59" s="673">
        <v>35.11</v>
      </c>
      <c r="D59" s="12"/>
    </row>
    <row r="60" spans="1:4" x14ac:dyDescent="0.2">
      <c r="A60" s="662" t="s">
        <v>635</v>
      </c>
      <c r="B60" s="661"/>
      <c r="C60" s="660"/>
      <c r="D60" s="12"/>
    </row>
    <row r="61" spans="1:4" x14ac:dyDescent="0.2">
      <c r="A61" s="659" t="s">
        <v>697</v>
      </c>
      <c r="B61" s="658" t="s">
        <v>3</v>
      </c>
      <c r="C61" s="673">
        <v>27.73</v>
      </c>
      <c r="D61" s="12"/>
    </row>
    <row r="62" spans="1:4" x14ac:dyDescent="0.2">
      <c r="A62" s="666" t="s">
        <v>753</v>
      </c>
      <c r="B62" s="665" t="s">
        <v>3</v>
      </c>
      <c r="C62" s="673">
        <v>8.52</v>
      </c>
      <c r="D62" s="12"/>
    </row>
    <row r="63" spans="1:4" x14ac:dyDescent="0.2">
      <c r="A63" s="659" t="s">
        <v>752</v>
      </c>
      <c r="B63" s="658" t="s">
        <v>3</v>
      </c>
      <c r="C63" s="673">
        <v>29.86</v>
      </c>
      <c r="D63" s="12"/>
    </row>
    <row r="64" spans="1:4" x14ac:dyDescent="0.2">
      <c r="A64" s="666" t="s">
        <v>634</v>
      </c>
      <c r="B64" s="665" t="s">
        <v>3</v>
      </c>
      <c r="C64" s="673">
        <v>100.56</v>
      </c>
      <c r="D64" s="12"/>
    </row>
    <row r="65" spans="1:4" x14ac:dyDescent="0.2">
      <c r="A65" s="659" t="s">
        <v>751</v>
      </c>
      <c r="B65" s="658" t="s">
        <v>3</v>
      </c>
      <c r="C65" s="673">
        <v>27.32</v>
      </c>
      <c r="D65" s="12"/>
    </row>
    <row r="66" spans="1:4" x14ac:dyDescent="0.2">
      <c r="A66" s="662" t="s">
        <v>346</v>
      </c>
      <c r="B66" s="661"/>
      <c r="C66" s="660"/>
      <c r="D66" s="12"/>
    </row>
    <row r="67" spans="1:4" x14ac:dyDescent="0.2">
      <c r="A67" s="666" t="s">
        <v>633</v>
      </c>
      <c r="B67" s="665" t="s">
        <v>13</v>
      </c>
      <c r="C67" s="673">
        <v>1.86</v>
      </c>
      <c r="D67" s="12"/>
    </row>
    <row r="68" spans="1:4" x14ac:dyDescent="0.2">
      <c r="A68" s="662" t="s">
        <v>215</v>
      </c>
      <c r="B68" s="661"/>
      <c r="C68" s="660"/>
      <c r="D68" s="12"/>
    </row>
    <row r="69" spans="1:4" x14ac:dyDescent="0.2">
      <c r="A69" s="659" t="s">
        <v>750</v>
      </c>
      <c r="B69" s="658" t="s">
        <v>13</v>
      </c>
      <c r="C69" s="673">
        <v>62.23</v>
      </c>
      <c r="D69" s="12"/>
    </row>
    <row r="70" spans="1:4" x14ac:dyDescent="0.2">
      <c r="A70" s="662" t="s">
        <v>231</v>
      </c>
      <c r="B70" s="661"/>
      <c r="C70" s="660"/>
      <c r="D70" s="12"/>
    </row>
    <row r="71" spans="1:4" x14ac:dyDescent="0.2">
      <c r="A71" s="666" t="s">
        <v>725</v>
      </c>
      <c r="B71" s="665" t="s">
        <v>13</v>
      </c>
      <c r="C71" s="673">
        <v>9.9600000000000009</v>
      </c>
      <c r="D71" s="12"/>
    </row>
    <row r="72" spans="1:4" x14ac:dyDescent="0.2">
      <c r="A72" s="659" t="s">
        <v>724</v>
      </c>
      <c r="B72" s="658" t="s">
        <v>13</v>
      </c>
      <c r="C72" s="673">
        <v>235.13</v>
      </c>
      <c r="D72" s="12"/>
    </row>
    <row r="73" spans="1:4" x14ac:dyDescent="0.2">
      <c r="A73" s="666" t="s">
        <v>595</v>
      </c>
      <c r="B73" s="665" t="s">
        <v>13</v>
      </c>
      <c r="C73" s="673">
        <v>14.4</v>
      </c>
      <c r="D73" s="12"/>
    </row>
    <row r="74" spans="1:4" x14ac:dyDescent="0.2">
      <c r="A74" s="659" t="s">
        <v>629</v>
      </c>
      <c r="B74" s="658" t="s">
        <v>13</v>
      </c>
      <c r="C74" s="673">
        <v>10.66</v>
      </c>
      <c r="D74" s="12"/>
    </row>
    <row r="75" spans="1:4" x14ac:dyDescent="0.2">
      <c r="A75" s="666" t="s">
        <v>594</v>
      </c>
      <c r="B75" s="665" t="s">
        <v>13</v>
      </c>
      <c r="C75" s="673">
        <v>31.35</v>
      </c>
      <c r="D75" s="12"/>
    </row>
    <row r="76" spans="1:4" x14ac:dyDescent="0.2">
      <c r="A76" s="662" t="s">
        <v>569</v>
      </c>
      <c r="B76" s="661"/>
      <c r="C76" s="660"/>
      <c r="D76" s="12"/>
    </row>
    <row r="77" spans="1:4" x14ac:dyDescent="0.2">
      <c r="A77" s="659" t="s">
        <v>628</v>
      </c>
      <c r="B77" s="658" t="s">
        <v>13</v>
      </c>
      <c r="C77" s="673">
        <v>405.33</v>
      </c>
      <c r="D77" s="12"/>
    </row>
    <row r="78" spans="1:4" x14ac:dyDescent="0.2">
      <c r="A78" s="666" t="s">
        <v>593</v>
      </c>
      <c r="B78" s="665" t="s">
        <v>13</v>
      </c>
      <c r="C78" s="673">
        <v>79.78</v>
      </c>
      <c r="D78" s="12"/>
    </row>
    <row r="79" spans="1:4" x14ac:dyDescent="0.2">
      <c r="A79" s="659" t="s">
        <v>592</v>
      </c>
      <c r="B79" s="658" t="s">
        <v>13</v>
      </c>
      <c r="C79" s="673">
        <v>105.04</v>
      </c>
      <c r="D79" s="12"/>
    </row>
    <row r="80" spans="1:4" x14ac:dyDescent="0.2">
      <c r="A80" s="666" t="s">
        <v>723</v>
      </c>
      <c r="B80" s="665" t="s">
        <v>13</v>
      </c>
      <c r="C80" s="673">
        <v>30.31</v>
      </c>
      <c r="D80" s="12"/>
    </row>
    <row r="81" spans="1:4" x14ac:dyDescent="0.2">
      <c r="A81" s="659" t="s">
        <v>722</v>
      </c>
      <c r="B81" s="658" t="s">
        <v>13</v>
      </c>
      <c r="C81" s="673">
        <v>452.96</v>
      </c>
      <c r="D81" s="12"/>
    </row>
    <row r="82" spans="1:4" x14ac:dyDescent="0.2">
      <c r="A82" s="666" t="s">
        <v>693</v>
      </c>
      <c r="B82" s="665" t="s">
        <v>13</v>
      </c>
      <c r="C82" s="673">
        <v>113.25</v>
      </c>
      <c r="D82" s="12"/>
    </row>
    <row r="83" spans="1:4" x14ac:dyDescent="0.2">
      <c r="A83" s="662" t="s">
        <v>567</v>
      </c>
      <c r="B83" s="661"/>
      <c r="C83" s="660"/>
      <c r="D83" s="12"/>
    </row>
    <row r="84" spans="1:4" x14ac:dyDescent="0.2">
      <c r="A84" s="659" t="s">
        <v>566</v>
      </c>
      <c r="B84" s="658" t="s">
        <v>13</v>
      </c>
      <c r="C84" s="673">
        <v>615.58000000000004</v>
      </c>
      <c r="D84" s="12"/>
    </row>
    <row r="85" spans="1:4" x14ac:dyDescent="0.2">
      <c r="A85" s="662" t="s">
        <v>235</v>
      </c>
      <c r="B85" s="661"/>
      <c r="C85" s="660"/>
      <c r="D85" s="12"/>
    </row>
    <row r="86" spans="1:4" x14ac:dyDescent="0.2">
      <c r="A86" s="666" t="s">
        <v>554</v>
      </c>
      <c r="B86" s="665" t="s">
        <v>3</v>
      </c>
      <c r="C86" s="664">
        <v>116.78</v>
      </c>
      <c r="D86" s="12"/>
    </row>
    <row r="87" spans="1:4" x14ac:dyDescent="0.2">
      <c r="A87" s="662" t="s">
        <v>236</v>
      </c>
      <c r="B87" s="661"/>
      <c r="C87" s="660"/>
      <c r="D87" s="12"/>
    </row>
    <row r="88" spans="1:4" x14ac:dyDescent="0.2">
      <c r="A88" s="659" t="s">
        <v>591</v>
      </c>
      <c r="B88" s="658" t="s">
        <v>13</v>
      </c>
      <c r="C88" s="657">
        <v>1.04</v>
      </c>
      <c r="D88" s="12"/>
    </row>
    <row r="89" spans="1:4" x14ac:dyDescent="0.2">
      <c r="A89" s="666" t="s">
        <v>590</v>
      </c>
      <c r="B89" s="665" t="s">
        <v>13</v>
      </c>
      <c r="C89" s="664">
        <v>1.04</v>
      </c>
      <c r="D89" s="12"/>
    </row>
    <row r="90" spans="1:4" x14ac:dyDescent="0.2">
      <c r="A90" s="659" t="s">
        <v>589</v>
      </c>
      <c r="B90" s="658" t="s">
        <v>13</v>
      </c>
      <c r="C90" s="657">
        <v>1.89</v>
      </c>
      <c r="D90" s="12"/>
    </row>
    <row r="91" spans="1:4" x14ac:dyDescent="0.2">
      <c r="A91" s="666" t="s">
        <v>749</v>
      </c>
      <c r="B91" s="665" t="s">
        <v>13</v>
      </c>
      <c r="C91" s="664">
        <v>1.89</v>
      </c>
      <c r="D91" s="12"/>
    </row>
    <row r="92" spans="1:4" x14ac:dyDescent="0.2">
      <c r="A92" s="659" t="s">
        <v>748</v>
      </c>
      <c r="B92" s="658" t="s">
        <v>13</v>
      </c>
      <c r="C92" s="657">
        <v>2.21</v>
      </c>
      <c r="D92" s="12"/>
    </row>
    <row r="93" spans="1:4" x14ac:dyDescent="0.2">
      <c r="A93" s="666" t="s">
        <v>747</v>
      </c>
      <c r="B93" s="665" t="s">
        <v>13</v>
      </c>
      <c r="C93" s="664">
        <v>2.94</v>
      </c>
      <c r="D93" s="12"/>
    </row>
    <row r="94" spans="1:4" x14ac:dyDescent="0.2">
      <c r="A94" s="659" t="s">
        <v>746</v>
      </c>
      <c r="B94" s="658" t="s">
        <v>13</v>
      </c>
      <c r="C94" s="657">
        <v>4.2</v>
      </c>
      <c r="D94" s="12"/>
    </row>
    <row r="95" spans="1:4" x14ac:dyDescent="0.2">
      <c r="A95" s="666" t="s">
        <v>745</v>
      </c>
      <c r="B95" s="665" t="s">
        <v>13</v>
      </c>
      <c r="C95" s="664">
        <v>8.3800000000000008</v>
      </c>
      <c r="D95" s="12"/>
    </row>
    <row r="96" spans="1:4" x14ac:dyDescent="0.2">
      <c r="A96" s="659" t="s">
        <v>744</v>
      </c>
      <c r="B96" s="658" t="s">
        <v>13</v>
      </c>
      <c r="C96" s="657">
        <v>3.29</v>
      </c>
      <c r="D96" s="12"/>
    </row>
    <row r="97" spans="1:4" x14ac:dyDescent="0.2">
      <c r="A97" s="666" t="s">
        <v>743</v>
      </c>
      <c r="B97" s="665" t="s">
        <v>13</v>
      </c>
      <c r="C97" s="664">
        <v>1.89</v>
      </c>
      <c r="D97" s="12"/>
    </row>
    <row r="98" spans="1:4" x14ac:dyDescent="0.2">
      <c r="A98" s="659" t="s">
        <v>742</v>
      </c>
      <c r="B98" s="658" t="s">
        <v>13</v>
      </c>
      <c r="C98" s="657">
        <v>7.78</v>
      </c>
      <c r="D98" s="12"/>
    </row>
    <row r="99" spans="1:4" x14ac:dyDescent="0.2">
      <c r="A99" s="666" t="s">
        <v>741</v>
      </c>
      <c r="B99" s="665" t="s">
        <v>13</v>
      </c>
      <c r="C99" s="664">
        <v>14.08</v>
      </c>
      <c r="D99" s="12"/>
    </row>
    <row r="100" spans="1:4" x14ac:dyDescent="0.2">
      <c r="A100" s="659" t="s">
        <v>740</v>
      </c>
      <c r="B100" s="658" t="s">
        <v>13</v>
      </c>
      <c r="C100" s="657">
        <v>14.38</v>
      </c>
      <c r="D100" s="12"/>
    </row>
    <row r="101" spans="1:4" x14ac:dyDescent="0.2">
      <c r="A101" s="662" t="s">
        <v>240</v>
      </c>
      <c r="B101" s="661"/>
      <c r="C101" s="660"/>
      <c r="D101" s="12"/>
    </row>
    <row r="102" spans="1:4" x14ac:dyDescent="0.2">
      <c r="A102" s="666" t="s">
        <v>613</v>
      </c>
      <c r="B102" s="665" t="s">
        <v>3</v>
      </c>
      <c r="C102" s="664">
        <v>17.920000000000002</v>
      </c>
      <c r="D102" s="12"/>
    </row>
    <row r="103" spans="1:4" x14ac:dyDescent="0.2">
      <c r="A103" s="659" t="s">
        <v>612</v>
      </c>
      <c r="B103" s="658" t="s">
        <v>2</v>
      </c>
      <c r="C103" s="657">
        <v>2</v>
      </c>
      <c r="D103" s="12"/>
    </row>
    <row r="104" spans="1:4" x14ac:dyDescent="0.2">
      <c r="A104" s="666" t="s">
        <v>739</v>
      </c>
      <c r="B104" s="665" t="s">
        <v>2</v>
      </c>
      <c r="C104" s="664">
        <v>2</v>
      </c>
      <c r="D104" s="12"/>
    </row>
    <row r="105" spans="1:4" x14ac:dyDescent="0.2">
      <c r="A105" s="659" t="s">
        <v>681</v>
      </c>
      <c r="B105" s="658" t="s">
        <v>2</v>
      </c>
      <c r="C105" s="657">
        <v>1</v>
      </c>
      <c r="D105" s="12"/>
    </row>
    <row r="106" spans="1:4" x14ac:dyDescent="0.2">
      <c r="A106" s="662" t="s">
        <v>244</v>
      </c>
      <c r="B106" s="661"/>
      <c r="C106" s="660"/>
      <c r="D106" s="12"/>
    </row>
    <row r="107" spans="1:4" x14ac:dyDescent="0.2">
      <c r="A107" s="666" t="s">
        <v>586</v>
      </c>
      <c r="B107" s="665" t="s">
        <v>2</v>
      </c>
      <c r="C107" s="664">
        <v>1</v>
      </c>
      <c r="D107" s="12"/>
    </row>
    <row r="108" spans="1:4" x14ac:dyDescent="0.2">
      <c r="A108" s="659" t="s">
        <v>585</v>
      </c>
      <c r="B108" s="658" t="s">
        <v>2</v>
      </c>
      <c r="C108" s="657">
        <v>2</v>
      </c>
      <c r="D108" s="12"/>
    </row>
    <row r="109" spans="1:4" x14ac:dyDescent="0.2">
      <c r="A109" s="666" t="s">
        <v>609</v>
      </c>
      <c r="B109" s="665" t="s">
        <v>2</v>
      </c>
      <c r="C109" s="664">
        <v>2</v>
      </c>
      <c r="D109" s="12"/>
    </row>
    <row r="110" spans="1:4" x14ac:dyDescent="0.2">
      <c r="A110" s="662" t="s">
        <v>552</v>
      </c>
      <c r="B110" s="661"/>
      <c r="C110" s="660"/>
      <c r="D110" s="12"/>
    </row>
    <row r="111" spans="1:4" x14ac:dyDescent="0.2">
      <c r="A111" s="659" t="s">
        <v>551</v>
      </c>
      <c r="B111" s="658" t="s">
        <v>13</v>
      </c>
      <c r="C111" s="657">
        <v>287.68</v>
      </c>
      <c r="D111" s="12"/>
    </row>
    <row r="112" spans="1:4" x14ac:dyDescent="0.2">
      <c r="A112" s="666" t="s">
        <v>565</v>
      </c>
      <c r="B112" s="665" t="s">
        <v>13</v>
      </c>
      <c r="C112" s="664">
        <v>44.48</v>
      </c>
      <c r="D112" s="12"/>
    </row>
    <row r="113" spans="1:4" x14ac:dyDescent="0.2">
      <c r="A113" s="662" t="s">
        <v>550</v>
      </c>
      <c r="B113" s="661"/>
      <c r="C113" s="660"/>
      <c r="D113" s="12"/>
    </row>
    <row r="114" spans="1:4" x14ac:dyDescent="0.2">
      <c r="A114" s="659" t="s">
        <v>549</v>
      </c>
      <c r="B114" s="658" t="s">
        <v>13</v>
      </c>
      <c r="C114" s="657">
        <v>332.16</v>
      </c>
      <c r="D114" s="12"/>
    </row>
    <row r="115" spans="1:4" x14ac:dyDescent="0.2">
      <c r="A115" s="662" t="s">
        <v>273</v>
      </c>
      <c r="B115" s="661"/>
      <c r="C115" s="660"/>
      <c r="D115" s="12"/>
    </row>
    <row r="116" spans="1:4" x14ac:dyDescent="0.2">
      <c r="A116" s="666" t="s">
        <v>680</v>
      </c>
      <c r="B116" s="665" t="s">
        <v>13</v>
      </c>
      <c r="C116" s="664">
        <v>197.19</v>
      </c>
      <c r="D116" s="12"/>
    </row>
    <row r="117" spans="1:4" x14ac:dyDescent="0.2">
      <c r="A117" s="659" t="s">
        <v>679</v>
      </c>
      <c r="B117" s="658" t="s">
        <v>13</v>
      </c>
      <c r="C117" s="657">
        <v>36.729999999999997</v>
      </c>
      <c r="D117" s="12"/>
    </row>
    <row r="118" spans="1:4" x14ac:dyDescent="0.2">
      <c r="A118" s="662" t="s">
        <v>274</v>
      </c>
      <c r="B118" s="661"/>
      <c r="C118" s="660"/>
      <c r="D118" s="12"/>
    </row>
    <row r="119" spans="1:4" x14ac:dyDescent="0.2">
      <c r="A119" s="666" t="s">
        <v>714</v>
      </c>
      <c r="B119" s="665" t="s">
        <v>13</v>
      </c>
      <c r="C119" s="664">
        <v>98.25</v>
      </c>
      <c r="D119" s="12"/>
    </row>
    <row r="120" spans="1:4" x14ac:dyDescent="0.2">
      <c r="A120" s="662" t="s">
        <v>281</v>
      </c>
      <c r="B120" s="661"/>
      <c r="C120" s="660"/>
      <c r="D120" s="12"/>
    </row>
    <row r="121" spans="1:4" x14ac:dyDescent="0.2">
      <c r="A121" s="659" t="s">
        <v>677</v>
      </c>
      <c r="B121" s="658" t="s">
        <v>13</v>
      </c>
      <c r="C121" s="657">
        <v>32.909999999999997</v>
      </c>
      <c r="D121" s="12"/>
    </row>
    <row r="122" spans="1:4" x14ac:dyDescent="0.2">
      <c r="A122" s="669" t="s">
        <v>738</v>
      </c>
      <c r="B122" s="668"/>
      <c r="C122" s="667"/>
      <c r="D122" s="12"/>
    </row>
    <row r="123" spans="1:4" x14ac:dyDescent="0.2">
      <c r="A123" s="662" t="s">
        <v>208</v>
      </c>
      <c r="B123" s="661"/>
      <c r="C123" s="660"/>
      <c r="D123" s="12"/>
    </row>
    <row r="124" spans="1:4" x14ac:dyDescent="0.2">
      <c r="A124" s="666" t="s">
        <v>656</v>
      </c>
      <c r="B124" s="665" t="s">
        <v>13</v>
      </c>
      <c r="C124" s="673">
        <v>14.81</v>
      </c>
      <c r="D124" s="12"/>
    </row>
    <row r="125" spans="1:4" x14ac:dyDescent="0.2">
      <c r="A125" s="659" t="s">
        <v>562</v>
      </c>
      <c r="B125" s="658" t="s">
        <v>13</v>
      </c>
      <c r="C125" s="673">
        <v>74.84</v>
      </c>
      <c r="D125" s="12"/>
    </row>
    <row r="126" spans="1:4" x14ac:dyDescent="0.2">
      <c r="A126" s="666" t="s">
        <v>581</v>
      </c>
      <c r="B126" s="665" t="s">
        <v>13</v>
      </c>
      <c r="C126" s="673">
        <v>202.06</v>
      </c>
      <c r="D126" s="12"/>
    </row>
    <row r="127" spans="1:4" x14ac:dyDescent="0.2">
      <c r="A127" s="662" t="s">
        <v>605</v>
      </c>
      <c r="B127" s="661"/>
      <c r="C127" s="660"/>
      <c r="D127" s="12"/>
    </row>
    <row r="128" spans="1:4" x14ac:dyDescent="0.2">
      <c r="A128" s="659" t="s">
        <v>604</v>
      </c>
      <c r="B128" s="658" t="s">
        <v>13</v>
      </c>
      <c r="C128" s="673">
        <v>63.27</v>
      </c>
      <c r="D128" s="12"/>
    </row>
    <row r="129" spans="1:6" x14ac:dyDescent="0.2">
      <c r="A129" s="662" t="s">
        <v>561</v>
      </c>
      <c r="B129" s="661"/>
      <c r="C129" s="660"/>
      <c r="D129" s="12"/>
    </row>
    <row r="130" spans="1:6" x14ac:dyDescent="0.2">
      <c r="A130" s="666" t="s">
        <v>580</v>
      </c>
      <c r="B130" s="665" t="s">
        <v>3</v>
      </c>
      <c r="C130" s="673">
        <v>164.24</v>
      </c>
      <c r="D130" s="12"/>
    </row>
    <row r="131" spans="1:6" x14ac:dyDescent="0.2">
      <c r="A131" s="659" t="s">
        <v>560</v>
      </c>
      <c r="B131" s="658" t="s">
        <v>13</v>
      </c>
      <c r="C131" s="673">
        <v>178</v>
      </c>
      <c r="D131" s="12"/>
    </row>
    <row r="132" spans="1:6" x14ac:dyDescent="0.2">
      <c r="A132" s="666" t="s">
        <v>559</v>
      </c>
      <c r="B132" s="665" t="s">
        <v>3</v>
      </c>
      <c r="C132" s="673">
        <v>61.26</v>
      </c>
      <c r="D132" s="12"/>
    </row>
    <row r="133" spans="1:6" x14ac:dyDescent="0.2">
      <c r="A133" s="662" t="s">
        <v>220</v>
      </c>
      <c r="B133" s="661"/>
      <c r="C133" s="660"/>
      <c r="D133" s="12"/>
    </row>
    <row r="134" spans="1:6" x14ac:dyDescent="0.2">
      <c r="A134" s="659" t="s">
        <v>599</v>
      </c>
      <c r="B134" s="658" t="s">
        <v>13</v>
      </c>
      <c r="C134" s="673">
        <v>16.52</v>
      </c>
      <c r="D134" s="12"/>
    </row>
    <row r="135" spans="1:6" x14ac:dyDescent="0.2">
      <c r="A135" s="666" t="s">
        <v>644</v>
      </c>
      <c r="B135" s="665" t="s">
        <v>13</v>
      </c>
      <c r="C135" s="673">
        <v>7.72</v>
      </c>
      <c r="D135" s="12"/>
    </row>
    <row r="136" spans="1:6" ht="25.5" x14ac:dyDescent="0.2">
      <c r="A136" s="659" t="s">
        <v>643</v>
      </c>
      <c r="B136" s="658" t="s">
        <v>13</v>
      </c>
      <c r="C136" s="673">
        <v>2.72</v>
      </c>
      <c r="D136" s="12"/>
    </row>
    <row r="137" spans="1:6" x14ac:dyDescent="0.2">
      <c r="A137" s="662" t="s">
        <v>598</v>
      </c>
      <c r="B137" s="661"/>
      <c r="C137" s="660"/>
      <c r="D137" s="12"/>
    </row>
    <row r="138" spans="1:6" x14ac:dyDescent="0.2">
      <c r="A138" s="666" t="s">
        <v>642</v>
      </c>
      <c r="B138" s="665" t="s">
        <v>13</v>
      </c>
      <c r="C138" s="673">
        <v>127.41</v>
      </c>
      <c r="D138" s="12"/>
    </row>
    <row r="139" spans="1:6" x14ac:dyDescent="0.2">
      <c r="A139" s="662" t="s">
        <v>708</v>
      </c>
      <c r="B139" s="661"/>
      <c r="C139" s="660"/>
      <c r="D139" s="12"/>
    </row>
    <row r="140" spans="1:6" x14ac:dyDescent="0.2">
      <c r="A140" s="659" t="s">
        <v>728</v>
      </c>
      <c r="B140" s="658" t="s">
        <v>13</v>
      </c>
      <c r="C140" s="673">
        <v>483.98</v>
      </c>
      <c r="D140" s="12"/>
      <c r="E140" s="12" t="s">
        <v>572</v>
      </c>
      <c r="F140" s="12">
        <f>SUMIF(A4:A2719,E140,C4:C2719)</f>
        <v>17964.550000000003</v>
      </c>
    </row>
    <row r="141" spans="1:6" x14ac:dyDescent="0.2">
      <c r="A141" s="662" t="s">
        <v>576</v>
      </c>
      <c r="B141" s="661"/>
      <c r="C141" s="660"/>
      <c r="D141" s="12"/>
    </row>
    <row r="142" spans="1:6" x14ac:dyDescent="0.2">
      <c r="A142" s="666" t="s">
        <v>575</v>
      </c>
      <c r="B142" s="665" t="s">
        <v>13</v>
      </c>
      <c r="C142" s="673">
        <v>414.01</v>
      </c>
      <c r="D142" s="12"/>
    </row>
    <row r="143" spans="1:6" x14ac:dyDescent="0.2">
      <c r="A143" s="659" t="s">
        <v>574</v>
      </c>
      <c r="B143" s="658" t="s">
        <v>13</v>
      </c>
      <c r="C143" s="673">
        <v>139.35</v>
      </c>
      <c r="D143" s="12"/>
    </row>
    <row r="144" spans="1:6" x14ac:dyDescent="0.2">
      <c r="A144" s="662" t="s">
        <v>573</v>
      </c>
      <c r="B144" s="661"/>
      <c r="C144" s="660"/>
      <c r="D144" s="12"/>
    </row>
    <row r="145" spans="1:4" x14ac:dyDescent="0.2">
      <c r="A145" s="666" t="s">
        <v>572</v>
      </c>
      <c r="B145" s="665" t="s">
        <v>13</v>
      </c>
      <c r="C145" s="673">
        <v>553.36</v>
      </c>
      <c r="D145" s="12"/>
    </row>
    <row r="146" spans="1:4" x14ac:dyDescent="0.2">
      <c r="A146" s="662" t="s">
        <v>224</v>
      </c>
      <c r="B146" s="661"/>
      <c r="C146" s="660"/>
      <c r="D146" s="12"/>
    </row>
    <row r="147" spans="1:4" x14ac:dyDescent="0.2">
      <c r="A147" s="659" t="s">
        <v>571</v>
      </c>
      <c r="B147" s="658" t="s">
        <v>13</v>
      </c>
      <c r="C147" s="673">
        <v>150.16999999999999</v>
      </c>
      <c r="D147" s="12"/>
    </row>
    <row r="148" spans="1:4" x14ac:dyDescent="0.2">
      <c r="A148" s="662" t="s">
        <v>218</v>
      </c>
      <c r="B148" s="661"/>
      <c r="C148" s="660"/>
      <c r="D148" s="12"/>
    </row>
    <row r="149" spans="1:4" x14ac:dyDescent="0.2">
      <c r="A149" s="666" t="s">
        <v>570</v>
      </c>
      <c r="B149" s="665" t="s">
        <v>13</v>
      </c>
      <c r="C149" s="673">
        <v>613.4</v>
      </c>
      <c r="D149" s="12"/>
    </row>
    <row r="150" spans="1:4" x14ac:dyDescent="0.2">
      <c r="A150" s="662" t="s">
        <v>219</v>
      </c>
      <c r="B150" s="661"/>
      <c r="C150" s="660"/>
      <c r="D150" s="12"/>
    </row>
    <row r="151" spans="1:4" x14ac:dyDescent="0.2">
      <c r="A151" s="659" t="s">
        <v>641</v>
      </c>
      <c r="B151" s="658" t="s">
        <v>13</v>
      </c>
      <c r="C151" s="673">
        <v>5.44</v>
      </c>
      <c r="D151" s="12"/>
    </row>
    <row r="152" spans="1:4" x14ac:dyDescent="0.2">
      <c r="A152" s="662" t="s">
        <v>222</v>
      </c>
      <c r="B152" s="661"/>
      <c r="C152" s="660"/>
      <c r="D152" s="12"/>
    </row>
    <row r="153" spans="1:4" x14ac:dyDescent="0.2">
      <c r="A153" s="666" t="s">
        <v>734</v>
      </c>
      <c r="B153" s="665" t="s">
        <v>13</v>
      </c>
      <c r="C153" s="673">
        <v>123.4</v>
      </c>
      <c r="D153" s="12"/>
    </row>
    <row r="154" spans="1:4" x14ac:dyDescent="0.2">
      <c r="A154" s="659" t="s">
        <v>638</v>
      </c>
      <c r="B154" s="658" t="s">
        <v>13</v>
      </c>
      <c r="C154" s="673">
        <v>7.4</v>
      </c>
      <c r="D154" s="12"/>
    </row>
    <row r="155" spans="1:4" x14ac:dyDescent="0.2">
      <c r="A155" s="662" t="s">
        <v>346</v>
      </c>
      <c r="B155" s="661"/>
      <c r="C155" s="660"/>
      <c r="D155" s="12"/>
    </row>
    <row r="156" spans="1:4" x14ac:dyDescent="0.2">
      <c r="A156" s="666" t="s">
        <v>633</v>
      </c>
      <c r="B156" s="665" t="s">
        <v>13</v>
      </c>
      <c r="C156" s="673">
        <v>0.35</v>
      </c>
      <c r="D156" s="12"/>
    </row>
    <row r="157" spans="1:4" x14ac:dyDescent="0.2">
      <c r="A157" s="662" t="s">
        <v>231</v>
      </c>
      <c r="B157" s="661"/>
      <c r="C157" s="660"/>
      <c r="D157" s="12"/>
    </row>
    <row r="158" spans="1:4" x14ac:dyDescent="0.2">
      <c r="A158" s="666" t="s">
        <v>726</v>
      </c>
      <c r="B158" s="665" t="s">
        <v>13</v>
      </c>
      <c r="C158" s="673">
        <v>16.86</v>
      </c>
      <c r="D158" s="12"/>
    </row>
    <row r="159" spans="1:4" x14ac:dyDescent="0.2">
      <c r="A159" s="659" t="s">
        <v>725</v>
      </c>
      <c r="B159" s="658" t="s">
        <v>13</v>
      </c>
      <c r="C159" s="673">
        <v>22.95</v>
      </c>
      <c r="D159" s="12"/>
    </row>
    <row r="160" spans="1:4" x14ac:dyDescent="0.2">
      <c r="A160" s="666" t="s">
        <v>724</v>
      </c>
      <c r="B160" s="665" t="s">
        <v>13</v>
      </c>
      <c r="C160" s="673">
        <v>444.16</v>
      </c>
      <c r="D160" s="12"/>
    </row>
    <row r="161" spans="1:4" x14ac:dyDescent="0.2">
      <c r="A161" s="659" t="s">
        <v>629</v>
      </c>
      <c r="B161" s="658" t="s">
        <v>13</v>
      </c>
      <c r="C161" s="673">
        <v>7.72</v>
      </c>
      <c r="D161" s="12"/>
    </row>
    <row r="162" spans="1:4" x14ac:dyDescent="0.2">
      <c r="A162" s="666" t="s">
        <v>594</v>
      </c>
      <c r="B162" s="665" t="s">
        <v>13</v>
      </c>
      <c r="C162" s="673">
        <v>16.37</v>
      </c>
      <c r="D162" s="12"/>
    </row>
    <row r="163" spans="1:4" x14ac:dyDescent="0.2">
      <c r="A163" s="662" t="s">
        <v>569</v>
      </c>
      <c r="B163" s="661"/>
      <c r="C163" s="660"/>
      <c r="D163" s="12"/>
    </row>
    <row r="164" spans="1:4" x14ac:dyDescent="0.2">
      <c r="A164" s="659" t="s">
        <v>592</v>
      </c>
      <c r="B164" s="658" t="s">
        <v>13</v>
      </c>
      <c r="C164" s="673">
        <v>74.260000000000005</v>
      </c>
      <c r="D164" s="12"/>
    </row>
    <row r="165" spans="1:4" x14ac:dyDescent="0.2">
      <c r="A165" s="666" t="s">
        <v>723</v>
      </c>
      <c r="B165" s="665" t="s">
        <v>13</v>
      </c>
      <c r="C165" s="673">
        <v>51.73</v>
      </c>
      <c r="D165" s="12"/>
    </row>
    <row r="166" spans="1:4" x14ac:dyDescent="0.2">
      <c r="A166" s="659" t="s">
        <v>722</v>
      </c>
      <c r="B166" s="658" t="s">
        <v>13</v>
      </c>
      <c r="C166" s="673">
        <v>552.16</v>
      </c>
      <c r="D166" s="12"/>
    </row>
    <row r="167" spans="1:4" x14ac:dyDescent="0.2">
      <c r="A167" s="666" t="s">
        <v>693</v>
      </c>
      <c r="B167" s="665" t="s">
        <v>13</v>
      </c>
      <c r="C167" s="673">
        <v>34.31</v>
      </c>
      <c r="D167" s="12"/>
    </row>
    <row r="168" spans="1:4" x14ac:dyDescent="0.2">
      <c r="A168" s="662" t="s">
        <v>567</v>
      </c>
      <c r="B168" s="661"/>
      <c r="C168" s="660"/>
      <c r="D168" s="12"/>
    </row>
    <row r="169" spans="1:4" x14ac:dyDescent="0.2">
      <c r="A169" s="659" t="s">
        <v>566</v>
      </c>
      <c r="B169" s="658" t="s">
        <v>13</v>
      </c>
      <c r="C169" s="673">
        <v>618.84</v>
      </c>
      <c r="D169" s="12"/>
    </row>
    <row r="170" spans="1:4" x14ac:dyDescent="0.2">
      <c r="A170" s="662" t="s">
        <v>235</v>
      </c>
      <c r="B170" s="661"/>
      <c r="C170" s="660"/>
      <c r="D170" s="12"/>
    </row>
    <row r="171" spans="1:4" x14ac:dyDescent="0.2">
      <c r="A171" s="666" t="s">
        <v>554</v>
      </c>
      <c r="B171" s="665" t="s">
        <v>3</v>
      </c>
      <c r="C171" s="664">
        <v>121.66</v>
      </c>
      <c r="D171" s="12"/>
    </row>
    <row r="172" spans="1:4" x14ac:dyDescent="0.2">
      <c r="A172" s="662" t="s">
        <v>236</v>
      </c>
      <c r="B172" s="661"/>
      <c r="C172" s="660"/>
      <c r="D172" s="12"/>
    </row>
    <row r="173" spans="1:4" x14ac:dyDescent="0.2">
      <c r="A173" s="659" t="s">
        <v>733</v>
      </c>
      <c r="B173" s="658" t="s">
        <v>13</v>
      </c>
      <c r="C173" s="657">
        <v>2.44</v>
      </c>
      <c r="D173" s="12"/>
    </row>
    <row r="174" spans="1:4" x14ac:dyDescent="0.2">
      <c r="A174" s="666" t="s">
        <v>591</v>
      </c>
      <c r="B174" s="665" t="s">
        <v>13</v>
      </c>
      <c r="C174" s="664">
        <v>1.04</v>
      </c>
      <c r="D174" s="12"/>
    </row>
    <row r="175" spans="1:4" x14ac:dyDescent="0.2">
      <c r="A175" s="659" t="s">
        <v>590</v>
      </c>
      <c r="B175" s="658" t="s">
        <v>13</v>
      </c>
      <c r="C175" s="657">
        <v>2.08</v>
      </c>
      <c r="D175" s="12"/>
    </row>
    <row r="176" spans="1:4" x14ac:dyDescent="0.2">
      <c r="A176" s="666" t="s">
        <v>737</v>
      </c>
      <c r="B176" s="665" t="s">
        <v>13</v>
      </c>
      <c r="C176" s="664">
        <v>9.5299999999999994</v>
      </c>
      <c r="D176" s="12"/>
    </row>
    <row r="177" spans="1:4" x14ac:dyDescent="0.2">
      <c r="A177" s="659" t="s">
        <v>736</v>
      </c>
      <c r="B177" s="658" t="s">
        <v>13</v>
      </c>
      <c r="C177" s="657">
        <v>11.42</v>
      </c>
      <c r="D177" s="12"/>
    </row>
    <row r="178" spans="1:4" x14ac:dyDescent="0.2">
      <c r="A178" s="666" t="s">
        <v>716</v>
      </c>
      <c r="B178" s="665" t="s">
        <v>13</v>
      </c>
      <c r="C178" s="664">
        <v>13.2</v>
      </c>
      <c r="D178" s="12"/>
    </row>
    <row r="179" spans="1:4" x14ac:dyDescent="0.2">
      <c r="A179" s="662" t="s">
        <v>240</v>
      </c>
      <c r="B179" s="661"/>
      <c r="C179" s="660"/>
      <c r="D179" s="12"/>
    </row>
    <row r="180" spans="1:4" x14ac:dyDescent="0.2">
      <c r="A180" s="659" t="s">
        <v>613</v>
      </c>
      <c r="B180" s="658" t="s">
        <v>3</v>
      </c>
      <c r="C180" s="657">
        <v>14.1</v>
      </c>
      <c r="D180" s="12"/>
    </row>
    <row r="181" spans="1:4" x14ac:dyDescent="0.2">
      <c r="A181" s="662" t="s">
        <v>244</v>
      </c>
      <c r="B181" s="661"/>
      <c r="C181" s="660"/>
      <c r="D181" s="12"/>
    </row>
    <row r="182" spans="1:4" x14ac:dyDescent="0.2">
      <c r="A182" s="666" t="s">
        <v>586</v>
      </c>
      <c r="B182" s="665" t="s">
        <v>2</v>
      </c>
      <c r="C182" s="664">
        <v>1</v>
      </c>
      <c r="D182" s="12"/>
    </row>
    <row r="183" spans="1:4" x14ac:dyDescent="0.2">
      <c r="A183" s="659" t="s">
        <v>585</v>
      </c>
      <c r="B183" s="658" t="s">
        <v>2</v>
      </c>
      <c r="C183" s="657">
        <v>1</v>
      </c>
      <c r="D183" s="12"/>
    </row>
    <row r="184" spans="1:4" x14ac:dyDescent="0.2">
      <c r="A184" s="666" t="s">
        <v>609</v>
      </c>
      <c r="B184" s="665" t="s">
        <v>2</v>
      </c>
      <c r="C184" s="664">
        <v>2</v>
      </c>
      <c r="D184" s="12"/>
    </row>
    <row r="185" spans="1:4" x14ac:dyDescent="0.2">
      <c r="A185" s="662" t="s">
        <v>552</v>
      </c>
      <c r="B185" s="661"/>
      <c r="C185" s="660"/>
      <c r="D185" s="12"/>
    </row>
    <row r="186" spans="1:4" x14ac:dyDescent="0.2">
      <c r="A186" s="659" t="s">
        <v>551</v>
      </c>
      <c r="B186" s="658" t="s">
        <v>13</v>
      </c>
      <c r="C186" s="657">
        <v>192.74</v>
      </c>
      <c r="D186" s="12"/>
    </row>
    <row r="187" spans="1:4" x14ac:dyDescent="0.2">
      <c r="A187" s="666" t="s">
        <v>565</v>
      </c>
      <c r="B187" s="665" t="s">
        <v>13</v>
      </c>
      <c r="C187" s="664">
        <v>46.01</v>
      </c>
      <c r="D187" s="12"/>
    </row>
    <row r="188" spans="1:4" x14ac:dyDescent="0.2">
      <c r="A188" s="662" t="s">
        <v>550</v>
      </c>
      <c r="B188" s="661"/>
      <c r="C188" s="660"/>
      <c r="D188" s="12"/>
    </row>
    <row r="189" spans="1:4" x14ac:dyDescent="0.2">
      <c r="A189" s="659" t="s">
        <v>549</v>
      </c>
      <c r="B189" s="658" t="s">
        <v>13</v>
      </c>
      <c r="C189" s="657">
        <v>238.76</v>
      </c>
      <c r="D189" s="12"/>
    </row>
    <row r="190" spans="1:4" x14ac:dyDescent="0.2">
      <c r="A190" s="662" t="s">
        <v>273</v>
      </c>
      <c r="B190" s="661"/>
      <c r="C190" s="660"/>
      <c r="D190" s="12"/>
    </row>
    <row r="191" spans="1:4" x14ac:dyDescent="0.2">
      <c r="A191" s="666" t="s">
        <v>680</v>
      </c>
      <c r="B191" s="665" t="s">
        <v>13</v>
      </c>
      <c r="C191" s="664">
        <v>148.63999999999999</v>
      </c>
      <c r="D191" s="12"/>
    </row>
    <row r="192" spans="1:4" x14ac:dyDescent="0.2">
      <c r="A192" s="659" t="s">
        <v>679</v>
      </c>
      <c r="B192" s="658" t="s">
        <v>13</v>
      </c>
      <c r="C192" s="657">
        <v>27.63</v>
      </c>
      <c r="D192" s="12"/>
    </row>
    <row r="193" spans="1:4" x14ac:dyDescent="0.2">
      <c r="A193" s="666" t="s">
        <v>715</v>
      </c>
      <c r="B193" s="665" t="s">
        <v>13</v>
      </c>
      <c r="C193" s="664">
        <v>18.73</v>
      </c>
      <c r="D193" s="12"/>
    </row>
    <row r="194" spans="1:4" x14ac:dyDescent="0.2">
      <c r="A194" s="662" t="s">
        <v>274</v>
      </c>
      <c r="B194" s="661"/>
      <c r="C194" s="660"/>
      <c r="D194" s="12"/>
    </row>
    <row r="195" spans="1:4" x14ac:dyDescent="0.2">
      <c r="A195" s="659" t="s">
        <v>714</v>
      </c>
      <c r="B195" s="658" t="s">
        <v>13</v>
      </c>
      <c r="C195" s="657">
        <v>43.76</v>
      </c>
      <c r="D195" s="12"/>
    </row>
    <row r="196" spans="1:4" x14ac:dyDescent="0.2">
      <c r="A196" s="669" t="s">
        <v>735</v>
      </c>
      <c r="B196" s="668"/>
      <c r="C196" s="667"/>
      <c r="D196" s="12"/>
    </row>
    <row r="197" spans="1:4" x14ac:dyDescent="0.2">
      <c r="A197" s="662" t="s">
        <v>208</v>
      </c>
      <c r="B197" s="661"/>
      <c r="C197" s="660"/>
      <c r="D197" s="12"/>
    </row>
    <row r="198" spans="1:4" x14ac:dyDescent="0.2">
      <c r="A198" s="666" t="s">
        <v>656</v>
      </c>
      <c r="B198" s="665" t="s">
        <v>13</v>
      </c>
      <c r="C198" s="673">
        <v>18.690000000000001</v>
      </c>
      <c r="D198" s="12"/>
    </row>
    <row r="199" spans="1:4" x14ac:dyDescent="0.2">
      <c r="A199" s="659" t="s">
        <v>562</v>
      </c>
      <c r="B199" s="658" t="s">
        <v>13</v>
      </c>
      <c r="C199" s="673">
        <v>76.040000000000006</v>
      </c>
      <c r="D199" s="12"/>
    </row>
    <row r="200" spans="1:4" x14ac:dyDescent="0.2">
      <c r="A200" s="666" t="s">
        <v>581</v>
      </c>
      <c r="B200" s="665" t="s">
        <v>13</v>
      </c>
      <c r="C200" s="673">
        <v>190.36</v>
      </c>
      <c r="D200" s="12"/>
    </row>
    <row r="201" spans="1:4" x14ac:dyDescent="0.2">
      <c r="A201" s="662" t="s">
        <v>605</v>
      </c>
      <c r="B201" s="661"/>
      <c r="C201" s="660"/>
      <c r="D201" s="12"/>
    </row>
    <row r="202" spans="1:4" x14ac:dyDescent="0.2">
      <c r="A202" s="659" t="s">
        <v>604</v>
      </c>
      <c r="B202" s="658" t="s">
        <v>13</v>
      </c>
      <c r="C202" s="673">
        <v>63.27</v>
      </c>
      <c r="D202" s="12"/>
    </row>
    <row r="203" spans="1:4" x14ac:dyDescent="0.2">
      <c r="A203" s="662" t="s">
        <v>561</v>
      </c>
      <c r="B203" s="661"/>
      <c r="C203" s="660"/>
      <c r="D203" s="12"/>
    </row>
    <row r="204" spans="1:4" x14ac:dyDescent="0.2">
      <c r="A204" s="666" t="s">
        <v>580</v>
      </c>
      <c r="B204" s="665" t="s">
        <v>3</v>
      </c>
      <c r="C204" s="673">
        <v>166.26</v>
      </c>
      <c r="D204" s="12"/>
    </row>
    <row r="205" spans="1:4" x14ac:dyDescent="0.2">
      <c r="A205" s="659" t="s">
        <v>560</v>
      </c>
      <c r="B205" s="658" t="s">
        <v>13</v>
      </c>
      <c r="C205" s="673">
        <v>175</v>
      </c>
      <c r="D205" s="12"/>
    </row>
    <row r="206" spans="1:4" x14ac:dyDescent="0.2">
      <c r="A206" s="666" t="s">
        <v>559</v>
      </c>
      <c r="B206" s="665" t="s">
        <v>3</v>
      </c>
      <c r="C206" s="673">
        <v>64.62</v>
      </c>
      <c r="D206" s="12"/>
    </row>
    <row r="207" spans="1:4" x14ac:dyDescent="0.2">
      <c r="A207" s="662" t="s">
        <v>220</v>
      </c>
      <c r="B207" s="661"/>
      <c r="C207" s="660"/>
      <c r="D207" s="12"/>
    </row>
    <row r="208" spans="1:4" x14ac:dyDescent="0.2">
      <c r="A208" s="659" t="s">
        <v>599</v>
      </c>
      <c r="B208" s="658" t="s">
        <v>13</v>
      </c>
      <c r="C208" s="673">
        <v>16.52</v>
      </c>
      <c r="D208" s="12"/>
    </row>
    <row r="209" spans="1:4" x14ac:dyDescent="0.2">
      <c r="A209" s="666" t="s">
        <v>644</v>
      </c>
      <c r="B209" s="665" t="s">
        <v>13</v>
      </c>
      <c r="C209" s="673">
        <v>7.72</v>
      </c>
      <c r="D209" s="12"/>
    </row>
    <row r="210" spans="1:4" ht="25.5" x14ac:dyDescent="0.2">
      <c r="A210" s="659" t="s">
        <v>643</v>
      </c>
      <c r="B210" s="658" t="s">
        <v>13</v>
      </c>
      <c r="C210" s="673">
        <v>2.72</v>
      </c>
      <c r="D210" s="12"/>
    </row>
    <row r="211" spans="1:4" x14ac:dyDescent="0.2">
      <c r="A211" s="662" t="s">
        <v>598</v>
      </c>
      <c r="B211" s="661"/>
      <c r="C211" s="660"/>
      <c r="D211" s="12"/>
    </row>
    <row r="212" spans="1:4" x14ac:dyDescent="0.2">
      <c r="A212" s="666" t="s">
        <v>642</v>
      </c>
      <c r="B212" s="665" t="s">
        <v>13</v>
      </c>
      <c r="C212" s="673">
        <v>127.41</v>
      </c>
      <c r="D212" s="12"/>
    </row>
    <row r="213" spans="1:4" x14ac:dyDescent="0.2">
      <c r="A213" s="662" t="s">
        <v>708</v>
      </c>
      <c r="B213" s="661"/>
      <c r="C213" s="660"/>
      <c r="D213" s="12"/>
    </row>
    <row r="214" spans="1:4" x14ac:dyDescent="0.2">
      <c r="A214" s="659" t="s">
        <v>728</v>
      </c>
      <c r="B214" s="658" t="s">
        <v>13</v>
      </c>
      <c r="C214" s="673">
        <v>483.98</v>
      </c>
      <c r="D214" s="12"/>
    </row>
    <row r="215" spans="1:4" x14ac:dyDescent="0.2">
      <c r="A215" s="662" t="s">
        <v>576</v>
      </c>
      <c r="B215" s="661"/>
      <c r="C215" s="660"/>
      <c r="D215" s="12"/>
    </row>
    <row r="216" spans="1:4" x14ac:dyDescent="0.2">
      <c r="A216" s="666" t="s">
        <v>575</v>
      </c>
      <c r="B216" s="665" t="s">
        <v>13</v>
      </c>
      <c r="C216" s="673">
        <v>405.39</v>
      </c>
      <c r="D216" s="12"/>
    </row>
    <row r="217" spans="1:4" x14ac:dyDescent="0.2">
      <c r="A217" s="659" t="s">
        <v>574</v>
      </c>
      <c r="B217" s="658" t="s">
        <v>13</v>
      </c>
      <c r="C217" s="673">
        <v>143.03</v>
      </c>
      <c r="D217" s="12"/>
    </row>
    <row r="218" spans="1:4" x14ac:dyDescent="0.2">
      <c r="A218" s="662" t="s">
        <v>573</v>
      </c>
      <c r="B218" s="661"/>
      <c r="C218" s="660"/>
      <c r="D218" s="12"/>
    </row>
    <row r="219" spans="1:4" x14ac:dyDescent="0.2">
      <c r="A219" s="666" t="s">
        <v>572</v>
      </c>
      <c r="B219" s="665" t="s">
        <v>13</v>
      </c>
      <c r="C219" s="673">
        <v>548.41999999999996</v>
      </c>
      <c r="D219" s="12"/>
    </row>
    <row r="220" spans="1:4" x14ac:dyDescent="0.2">
      <c r="A220" s="662" t="s">
        <v>224</v>
      </c>
      <c r="B220" s="661"/>
      <c r="C220" s="660"/>
      <c r="D220" s="12"/>
    </row>
    <row r="221" spans="1:4" x14ac:dyDescent="0.2">
      <c r="A221" s="659" t="s">
        <v>571</v>
      </c>
      <c r="B221" s="658" t="s">
        <v>13</v>
      </c>
      <c r="C221" s="673">
        <v>151.58000000000001</v>
      </c>
      <c r="D221" s="12"/>
    </row>
    <row r="222" spans="1:4" x14ac:dyDescent="0.2">
      <c r="A222" s="662" t="s">
        <v>218</v>
      </c>
      <c r="B222" s="661"/>
      <c r="C222" s="660"/>
      <c r="D222" s="12"/>
    </row>
    <row r="223" spans="1:4" x14ac:dyDescent="0.2">
      <c r="A223" s="666" t="s">
        <v>570</v>
      </c>
      <c r="B223" s="665" t="s">
        <v>13</v>
      </c>
      <c r="C223" s="673">
        <v>490.54</v>
      </c>
      <c r="D223" s="12"/>
    </row>
    <row r="224" spans="1:4" x14ac:dyDescent="0.2">
      <c r="A224" s="662" t="s">
        <v>219</v>
      </c>
      <c r="B224" s="661"/>
      <c r="C224" s="660"/>
      <c r="D224" s="12"/>
    </row>
    <row r="225" spans="1:4" x14ac:dyDescent="0.2">
      <c r="A225" s="659" t="s">
        <v>641</v>
      </c>
      <c r="B225" s="658" t="s">
        <v>13</v>
      </c>
      <c r="C225" s="673">
        <v>5.44</v>
      </c>
      <c r="D225" s="12"/>
    </row>
    <row r="226" spans="1:4" x14ac:dyDescent="0.2">
      <c r="A226" s="662" t="s">
        <v>222</v>
      </c>
      <c r="B226" s="661"/>
      <c r="C226" s="660"/>
      <c r="D226" s="12"/>
    </row>
    <row r="227" spans="1:4" x14ac:dyDescent="0.2">
      <c r="A227" s="666" t="s">
        <v>734</v>
      </c>
      <c r="B227" s="665" t="s">
        <v>13</v>
      </c>
      <c r="C227" s="673">
        <v>123.4</v>
      </c>
      <c r="D227" s="12"/>
    </row>
    <row r="228" spans="1:4" x14ac:dyDescent="0.2">
      <c r="A228" s="659" t="s">
        <v>638</v>
      </c>
      <c r="B228" s="658" t="s">
        <v>13</v>
      </c>
      <c r="C228" s="673">
        <v>7.4</v>
      </c>
      <c r="D228" s="12"/>
    </row>
    <row r="229" spans="1:4" x14ac:dyDescent="0.2">
      <c r="A229" s="662" t="s">
        <v>346</v>
      </c>
      <c r="B229" s="661"/>
      <c r="C229" s="660"/>
      <c r="D229" s="12"/>
    </row>
    <row r="230" spans="1:4" x14ac:dyDescent="0.2">
      <c r="A230" s="666" t="s">
        <v>633</v>
      </c>
      <c r="B230" s="665" t="s">
        <v>13</v>
      </c>
      <c r="C230" s="673">
        <v>0.35</v>
      </c>
      <c r="D230" s="12"/>
    </row>
    <row r="231" spans="1:4" x14ac:dyDescent="0.2">
      <c r="A231" s="662" t="s">
        <v>231</v>
      </c>
      <c r="B231" s="661"/>
      <c r="C231" s="660"/>
      <c r="D231" s="12"/>
    </row>
    <row r="232" spans="1:4" x14ac:dyDescent="0.2">
      <c r="A232" s="659" t="s">
        <v>727</v>
      </c>
      <c r="B232" s="658" t="s">
        <v>13</v>
      </c>
      <c r="C232" s="673">
        <v>9.34</v>
      </c>
      <c r="D232" s="12"/>
    </row>
    <row r="233" spans="1:4" x14ac:dyDescent="0.2">
      <c r="A233" s="666" t="s">
        <v>726</v>
      </c>
      <c r="B233" s="665" t="s">
        <v>13</v>
      </c>
      <c r="C233" s="673">
        <v>16.86</v>
      </c>
      <c r="D233" s="12"/>
    </row>
    <row r="234" spans="1:4" x14ac:dyDescent="0.2">
      <c r="A234" s="659" t="s">
        <v>725</v>
      </c>
      <c r="B234" s="658" t="s">
        <v>13</v>
      </c>
      <c r="C234" s="673">
        <v>22.95</v>
      </c>
      <c r="D234" s="12"/>
    </row>
    <row r="235" spans="1:4" x14ac:dyDescent="0.2">
      <c r="A235" s="666" t="s">
        <v>724</v>
      </c>
      <c r="B235" s="665" t="s">
        <v>13</v>
      </c>
      <c r="C235" s="673">
        <v>444.16</v>
      </c>
      <c r="D235" s="12"/>
    </row>
    <row r="236" spans="1:4" x14ac:dyDescent="0.2">
      <c r="A236" s="659" t="s">
        <v>629</v>
      </c>
      <c r="B236" s="658" t="s">
        <v>13</v>
      </c>
      <c r="C236" s="673">
        <v>7.72</v>
      </c>
      <c r="D236" s="12"/>
    </row>
    <row r="237" spans="1:4" x14ac:dyDescent="0.2">
      <c r="A237" s="666" t="s">
        <v>594</v>
      </c>
      <c r="B237" s="665" t="s">
        <v>13</v>
      </c>
      <c r="C237" s="673">
        <v>16.37</v>
      </c>
      <c r="D237" s="12"/>
    </row>
    <row r="238" spans="1:4" x14ac:dyDescent="0.2">
      <c r="A238" s="662" t="s">
        <v>569</v>
      </c>
      <c r="B238" s="661"/>
      <c r="C238" s="660"/>
      <c r="D238" s="12"/>
    </row>
    <row r="239" spans="1:4" x14ac:dyDescent="0.2">
      <c r="A239" s="659" t="s">
        <v>592</v>
      </c>
      <c r="B239" s="658" t="s">
        <v>13</v>
      </c>
      <c r="C239" s="673">
        <v>75.41</v>
      </c>
      <c r="D239" s="12"/>
    </row>
    <row r="240" spans="1:4" x14ac:dyDescent="0.2">
      <c r="A240" s="666" t="s">
        <v>723</v>
      </c>
      <c r="B240" s="665" t="s">
        <v>13</v>
      </c>
      <c r="C240" s="673">
        <v>50.53</v>
      </c>
      <c r="D240" s="12"/>
    </row>
    <row r="241" spans="1:4" x14ac:dyDescent="0.2">
      <c r="A241" s="659" t="s">
        <v>722</v>
      </c>
      <c r="B241" s="658" t="s">
        <v>13</v>
      </c>
      <c r="C241" s="673">
        <v>547.5</v>
      </c>
      <c r="D241" s="12"/>
    </row>
    <row r="242" spans="1:4" x14ac:dyDescent="0.2">
      <c r="A242" s="666" t="s">
        <v>693</v>
      </c>
      <c r="B242" s="665" t="s">
        <v>13</v>
      </c>
      <c r="C242" s="673">
        <v>34.299999999999997</v>
      </c>
      <c r="D242" s="12"/>
    </row>
    <row r="243" spans="1:4" x14ac:dyDescent="0.2">
      <c r="A243" s="662" t="s">
        <v>567</v>
      </c>
      <c r="B243" s="661"/>
      <c r="C243" s="660"/>
      <c r="D243" s="12"/>
    </row>
    <row r="244" spans="1:4" x14ac:dyDescent="0.2">
      <c r="A244" s="659" t="s">
        <v>566</v>
      </c>
      <c r="B244" s="658" t="s">
        <v>13</v>
      </c>
      <c r="C244" s="673">
        <v>495.98</v>
      </c>
      <c r="D244" s="12"/>
    </row>
    <row r="245" spans="1:4" x14ac:dyDescent="0.2">
      <c r="A245" s="662" t="s">
        <v>235</v>
      </c>
      <c r="B245" s="661"/>
      <c r="C245" s="660"/>
      <c r="D245" s="12"/>
    </row>
    <row r="246" spans="1:4" x14ac:dyDescent="0.2">
      <c r="A246" s="666" t="s">
        <v>554</v>
      </c>
      <c r="B246" s="665" t="s">
        <v>3</v>
      </c>
      <c r="C246" s="664">
        <v>120.48</v>
      </c>
      <c r="D246" s="12"/>
    </row>
    <row r="247" spans="1:4" x14ac:dyDescent="0.2">
      <c r="A247" s="662" t="s">
        <v>236</v>
      </c>
      <c r="B247" s="661"/>
      <c r="C247" s="660"/>
      <c r="D247" s="12"/>
    </row>
    <row r="248" spans="1:4" x14ac:dyDescent="0.2">
      <c r="A248" s="659" t="s">
        <v>733</v>
      </c>
      <c r="B248" s="658" t="s">
        <v>13</v>
      </c>
      <c r="C248" s="657">
        <v>2.44</v>
      </c>
      <c r="D248" s="12"/>
    </row>
    <row r="249" spans="1:4" x14ac:dyDescent="0.2">
      <c r="A249" s="666" t="s">
        <v>591</v>
      </c>
      <c r="B249" s="665" t="s">
        <v>13</v>
      </c>
      <c r="C249" s="664">
        <v>1.04</v>
      </c>
      <c r="D249" s="12"/>
    </row>
    <row r="250" spans="1:4" x14ac:dyDescent="0.2">
      <c r="A250" s="659" t="s">
        <v>590</v>
      </c>
      <c r="B250" s="658" t="s">
        <v>13</v>
      </c>
      <c r="C250" s="657">
        <v>1.04</v>
      </c>
      <c r="D250" s="12"/>
    </row>
    <row r="251" spans="1:4" x14ac:dyDescent="0.2">
      <c r="A251" s="666" t="s">
        <v>732</v>
      </c>
      <c r="B251" s="665" t="s">
        <v>13</v>
      </c>
      <c r="C251" s="664">
        <v>10.93</v>
      </c>
      <c r="D251" s="12"/>
    </row>
    <row r="252" spans="1:4" x14ac:dyDescent="0.2">
      <c r="A252" s="659" t="s">
        <v>731</v>
      </c>
      <c r="B252" s="658" t="s">
        <v>13</v>
      </c>
      <c r="C252" s="657">
        <v>9.0399999999999991</v>
      </c>
      <c r="D252" s="12"/>
    </row>
    <row r="253" spans="1:4" x14ac:dyDescent="0.2">
      <c r="A253" s="666" t="s">
        <v>730</v>
      </c>
      <c r="B253" s="665" t="s">
        <v>13</v>
      </c>
      <c r="C253" s="664">
        <v>12.14</v>
      </c>
      <c r="D253" s="12"/>
    </row>
    <row r="254" spans="1:4" x14ac:dyDescent="0.2">
      <c r="A254" s="659" t="s">
        <v>716</v>
      </c>
      <c r="B254" s="658" t="s">
        <v>13</v>
      </c>
      <c r="C254" s="657">
        <v>12</v>
      </c>
      <c r="D254" s="12"/>
    </row>
    <row r="255" spans="1:4" x14ac:dyDescent="0.2">
      <c r="A255" s="662" t="s">
        <v>240</v>
      </c>
      <c r="B255" s="661"/>
      <c r="C255" s="660"/>
      <c r="D255" s="12"/>
    </row>
    <row r="256" spans="1:4" x14ac:dyDescent="0.2">
      <c r="A256" s="666" t="s">
        <v>613</v>
      </c>
      <c r="B256" s="665" t="s">
        <v>3</v>
      </c>
      <c r="C256" s="664">
        <v>14.1</v>
      </c>
      <c r="D256" s="12"/>
    </row>
    <row r="257" spans="1:4" x14ac:dyDescent="0.2">
      <c r="A257" s="662" t="s">
        <v>244</v>
      </c>
      <c r="B257" s="661"/>
      <c r="C257" s="660"/>
      <c r="D257" s="12"/>
    </row>
    <row r="258" spans="1:4" x14ac:dyDescent="0.2">
      <c r="A258" s="659" t="s">
        <v>586</v>
      </c>
      <c r="B258" s="658" t="s">
        <v>2</v>
      </c>
      <c r="C258" s="657">
        <v>1</v>
      </c>
      <c r="D258" s="12"/>
    </row>
    <row r="259" spans="1:4" x14ac:dyDescent="0.2">
      <c r="A259" s="666" t="s">
        <v>585</v>
      </c>
      <c r="B259" s="665" t="s">
        <v>2</v>
      </c>
      <c r="C259" s="664">
        <v>1</v>
      </c>
      <c r="D259" s="12"/>
    </row>
    <row r="260" spans="1:4" x14ac:dyDescent="0.2">
      <c r="A260" s="659" t="s">
        <v>609</v>
      </c>
      <c r="B260" s="658" t="s">
        <v>2</v>
      </c>
      <c r="C260" s="657">
        <v>2</v>
      </c>
      <c r="D260" s="12"/>
    </row>
    <row r="261" spans="1:4" x14ac:dyDescent="0.2">
      <c r="A261" s="662" t="s">
        <v>552</v>
      </c>
      <c r="B261" s="661"/>
      <c r="C261" s="660"/>
      <c r="D261" s="12"/>
    </row>
    <row r="262" spans="1:4" x14ac:dyDescent="0.2">
      <c r="A262" s="666" t="s">
        <v>551</v>
      </c>
      <c r="B262" s="665" t="s">
        <v>13</v>
      </c>
      <c r="C262" s="664">
        <v>192.08</v>
      </c>
      <c r="D262" s="12"/>
    </row>
    <row r="263" spans="1:4" x14ac:dyDescent="0.2">
      <c r="A263" s="659" t="s">
        <v>565</v>
      </c>
      <c r="B263" s="658" t="s">
        <v>13</v>
      </c>
      <c r="C263" s="657">
        <v>46.05</v>
      </c>
      <c r="D263" s="12"/>
    </row>
    <row r="264" spans="1:4" x14ac:dyDescent="0.2">
      <c r="A264" s="662" t="s">
        <v>550</v>
      </c>
      <c r="B264" s="661"/>
      <c r="C264" s="660"/>
      <c r="D264" s="12"/>
    </row>
    <row r="265" spans="1:4" x14ac:dyDescent="0.2">
      <c r="A265" s="666" t="s">
        <v>549</v>
      </c>
      <c r="B265" s="665" t="s">
        <v>13</v>
      </c>
      <c r="C265" s="664">
        <v>238.13</v>
      </c>
      <c r="D265" s="12"/>
    </row>
    <row r="266" spans="1:4" x14ac:dyDescent="0.2">
      <c r="A266" s="662" t="s">
        <v>273</v>
      </c>
      <c r="B266" s="661"/>
      <c r="C266" s="660"/>
      <c r="D266" s="12"/>
    </row>
    <row r="267" spans="1:4" x14ac:dyDescent="0.2">
      <c r="A267" s="659" t="s">
        <v>680</v>
      </c>
      <c r="B267" s="658" t="s">
        <v>13</v>
      </c>
      <c r="C267" s="657">
        <v>148.61000000000001</v>
      </c>
      <c r="D267" s="12"/>
    </row>
    <row r="268" spans="1:4" x14ac:dyDescent="0.2">
      <c r="A268" s="666" t="s">
        <v>679</v>
      </c>
      <c r="B268" s="665" t="s">
        <v>13</v>
      </c>
      <c r="C268" s="664">
        <v>24.89</v>
      </c>
      <c r="D268" s="12"/>
    </row>
    <row r="269" spans="1:4" x14ac:dyDescent="0.2">
      <c r="A269" s="659" t="s">
        <v>715</v>
      </c>
      <c r="B269" s="658" t="s">
        <v>13</v>
      </c>
      <c r="C269" s="657">
        <v>30.72</v>
      </c>
      <c r="D269" s="12"/>
    </row>
    <row r="270" spans="1:4" x14ac:dyDescent="0.2">
      <c r="A270" s="662" t="s">
        <v>274</v>
      </c>
      <c r="B270" s="661"/>
      <c r="C270" s="660"/>
      <c r="D270" s="12"/>
    </row>
    <row r="271" spans="1:4" x14ac:dyDescent="0.2">
      <c r="A271" s="666" t="s">
        <v>714</v>
      </c>
      <c r="B271" s="665" t="s">
        <v>13</v>
      </c>
      <c r="C271" s="664">
        <v>33.909999999999997</v>
      </c>
      <c r="D271" s="12"/>
    </row>
    <row r="272" spans="1:4" x14ac:dyDescent="0.2">
      <c r="A272" s="669" t="s">
        <v>729</v>
      </c>
      <c r="B272" s="668"/>
      <c r="C272" s="667"/>
      <c r="D272" s="12"/>
    </row>
    <row r="273" spans="1:4" x14ac:dyDescent="0.2">
      <c r="A273" s="662" t="s">
        <v>208</v>
      </c>
      <c r="B273" s="661"/>
      <c r="C273" s="660"/>
      <c r="D273" s="12"/>
    </row>
    <row r="274" spans="1:4" x14ac:dyDescent="0.2">
      <c r="A274" s="659" t="s">
        <v>656</v>
      </c>
      <c r="B274" s="658" t="s">
        <v>13</v>
      </c>
      <c r="C274" s="673">
        <v>16.18</v>
      </c>
      <c r="D274" s="12"/>
    </row>
    <row r="275" spans="1:4" x14ac:dyDescent="0.2">
      <c r="A275" s="666" t="s">
        <v>562</v>
      </c>
      <c r="B275" s="665" t="s">
        <v>13</v>
      </c>
      <c r="C275" s="673">
        <v>111.89</v>
      </c>
      <c r="D275" s="12"/>
    </row>
    <row r="276" spans="1:4" x14ac:dyDescent="0.2">
      <c r="A276" s="659" t="s">
        <v>581</v>
      </c>
      <c r="B276" s="658" t="s">
        <v>13</v>
      </c>
      <c r="C276" s="673">
        <v>245.82</v>
      </c>
      <c r="D276" s="12"/>
    </row>
    <row r="277" spans="1:4" x14ac:dyDescent="0.2">
      <c r="A277" s="662" t="s">
        <v>605</v>
      </c>
      <c r="B277" s="661"/>
      <c r="C277" s="660"/>
      <c r="D277" s="12"/>
    </row>
    <row r="278" spans="1:4" x14ac:dyDescent="0.2">
      <c r="A278" s="666" t="s">
        <v>604</v>
      </c>
      <c r="B278" s="665" t="s">
        <v>13</v>
      </c>
      <c r="C278" s="673">
        <v>76.72</v>
      </c>
      <c r="D278" s="12"/>
    </row>
    <row r="279" spans="1:4" x14ac:dyDescent="0.2">
      <c r="A279" s="662" t="s">
        <v>561</v>
      </c>
      <c r="B279" s="661"/>
      <c r="C279" s="660"/>
      <c r="D279" s="12"/>
    </row>
    <row r="280" spans="1:4" x14ac:dyDescent="0.2">
      <c r="A280" s="659" t="s">
        <v>580</v>
      </c>
      <c r="B280" s="658" t="s">
        <v>3</v>
      </c>
      <c r="C280" s="673">
        <v>166.78</v>
      </c>
      <c r="D280" s="12"/>
    </row>
    <row r="281" spans="1:4" x14ac:dyDescent="0.2">
      <c r="A281" s="666" t="s">
        <v>560</v>
      </c>
      <c r="B281" s="665" t="s">
        <v>13</v>
      </c>
      <c r="C281" s="673">
        <v>226</v>
      </c>
      <c r="D281" s="12"/>
    </row>
    <row r="282" spans="1:4" x14ac:dyDescent="0.2">
      <c r="A282" s="659" t="s">
        <v>559</v>
      </c>
      <c r="B282" s="658" t="s">
        <v>3</v>
      </c>
      <c r="C282" s="673">
        <v>58.5</v>
      </c>
      <c r="D282" s="12"/>
    </row>
    <row r="283" spans="1:4" x14ac:dyDescent="0.2">
      <c r="A283" s="662" t="s">
        <v>220</v>
      </c>
      <c r="B283" s="661"/>
      <c r="C283" s="660"/>
      <c r="D283" s="12"/>
    </row>
    <row r="284" spans="1:4" x14ac:dyDescent="0.2">
      <c r="A284" s="666" t="s">
        <v>599</v>
      </c>
      <c r="B284" s="665" t="s">
        <v>13</v>
      </c>
      <c r="C284" s="673">
        <v>16.52</v>
      </c>
      <c r="D284" s="12"/>
    </row>
    <row r="285" spans="1:4" x14ac:dyDescent="0.2">
      <c r="A285" s="659" t="s">
        <v>644</v>
      </c>
      <c r="B285" s="658" t="s">
        <v>13</v>
      </c>
      <c r="C285" s="673">
        <v>10.78</v>
      </c>
      <c r="D285" s="12"/>
    </row>
    <row r="286" spans="1:4" ht="25.5" x14ac:dyDescent="0.2">
      <c r="A286" s="666" t="s">
        <v>643</v>
      </c>
      <c r="B286" s="665" t="s">
        <v>13</v>
      </c>
      <c r="C286" s="673">
        <v>3.1</v>
      </c>
      <c r="D286" s="12"/>
    </row>
    <row r="287" spans="1:4" x14ac:dyDescent="0.2">
      <c r="A287" s="662" t="s">
        <v>598</v>
      </c>
      <c r="B287" s="661"/>
      <c r="C287" s="660"/>
      <c r="D287" s="12"/>
    </row>
    <row r="288" spans="1:4" x14ac:dyDescent="0.2">
      <c r="A288" s="659" t="s">
        <v>642</v>
      </c>
      <c r="B288" s="658" t="s">
        <v>13</v>
      </c>
      <c r="C288" s="673">
        <v>4.53</v>
      </c>
      <c r="D288" s="12"/>
    </row>
    <row r="289" spans="1:4" x14ac:dyDescent="0.2">
      <c r="A289" s="662" t="s">
        <v>708</v>
      </c>
      <c r="B289" s="661"/>
      <c r="C289" s="660"/>
      <c r="D289" s="12"/>
    </row>
    <row r="290" spans="1:4" x14ac:dyDescent="0.2">
      <c r="A290" s="666" t="s">
        <v>728</v>
      </c>
      <c r="B290" s="665" t="s">
        <v>13</v>
      </c>
      <c r="C290" s="673">
        <v>518.20000000000005</v>
      </c>
      <c r="D290" s="12"/>
    </row>
    <row r="291" spans="1:4" x14ac:dyDescent="0.2">
      <c r="A291" s="662" t="s">
        <v>576</v>
      </c>
      <c r="B291" s="661"/>
      <c r="C291" s="660"/>
      <c r="D291" s="12"/>
    </row>
    <row r="292" spans="1:4" x14ac:dyDescent="0.2">
      <c r="A292" s="659" t="s">
        <v>575</v>
      </c>
      <c r="B292" s="658" t="s">
        <v>13</v>
      </c>
      <c r="C292" s="673">
        <v>546.33000000000004</v>
      </c>
      <c r="D292" s="12"/>
    </row>
    <row r="293" spans="1:4" x14ac:dyDescent="0.2">
      <c r="A293" s="666" t="s">
        <v>574</v>
      </c>
      <c r="B293" s="665" t="s">
        <v>13</v>
      </c>
      <c r="C293" s="673">
        <v>179.11</v>
      </c>
      <c r="D293" s="12"/>
    </row>
    <row r="294" spans="1:4" x14ac:dyDescent="0.2">
      <c r="A294" s="662" t="s">
        <v>573</v>
      </c>
      <c r="B294" s="661"/>
      <c r="C294" s="660"/>
      <c r="D294" s="12"/>
    </row>
    <row r="295" spans="1:4" x14ac:dyDescent="0.2">
      <c r="A295" s="659" t="s">
        <v>572</v>
      </c>
      <c r="B295" s="658" t="s">
        <v>13</v>
      </c>
      <c r="C295" s="673">
        <v>725.44</v>
      </c>
      <c r="D295" s="12"/>
    </row>
    <row r="296" spans="1:4" x14ac:dyDescent="0.2">
      <c r="A296" s="662" t="s">
        <v>224</v>
      </c>
      <c r="B296" s="661"/>
      <c r="C296" s="660"/>
      <c r="D296" s="12"/>
    </row>
    <row r="297" spans="1:4" x14ac:dyDescent="0.2">
      <c r="A297" s="666" t="s">
        <v>571</v>
      </c>
      <c r="B297" s="665" t="s">
        <v>13</v>
      </c>
      <c r="C297" s="673">
        <v>333.89</v>
      </c>
      <c r="D297" s="12"/>
    </row>
    <row r="298" spans="1:4" x14ac:dyDescent="0.2">
      <c r="A298" s="662" t="s">
        <v>218</v>
      </c>
      <c r="B298" s="661"/>
      <c r="C298" s="660"/>
      <c r="D298" s="12"/>
    </row>
    <row r="299" spans="1:4" x14ac:dyDescent="0.2">
      <c r="A299" s="659" t="s">
        <v>570</v>
      </c>
      <c r="B299" s="658" t="s">
        <v>13</v>
      </c>
      <c r="C299" s="673">
        <v>626.69000000000005</v>
      </c>
      <c r="D299" s="12"/>
    </row>
    <row r="300" spans="1:4" x14ac:dyDescent="0.2">
      <c r="A300" s="662" t="s">
        <v>219</v>
      </c>
      <c r="B300" s="661"/>
      <c r="C300" s="660"/>
      <c r="D300" s="12"/>
    </row>
    <row r="301" spans="1:4" x14ac:dyDescent="0.2">
      <c r="A301" s="666" t="s">
        <v>641</v>
      </c>
      <c r="B301" s="665" t="s">
        <v>13</v>
      </c>
      <c r="C301" s="673">
        <v>5.44</v>
      </c>
      <c r="D301" s="12"/>
    </row>
    <row r="302" spans="1:4" x14ac:dyDescent="0.2">
      <c r="A302" s="662" t="s">
        <v>222</v>
      </c>
      <c r="B302" s="661"/>
      <c r="C302" s="660"/>
      <c r="D302" s="12"/>
    </row>
    <row r="303" spans="1:4" x14ac:dyDescent="0.2">
      <c r="A303" s="659" t="s">
        <v>638</v>
      </c>
      <c r="B303" s="658" t="s">
        <v>13</v>
      </c>
      <c r="C303" s="673">
        <v>7.4</v>
      </c>
      <c r="D303" s="12"/>
    </row>
    <row r="304" spans="1:4" x14ac:dyDescent="0.2">
      <c r="A304" s="662" t="s">
        <v>346</v>
      </c>
      <c r="B304" s="661"/>
      <c r="C304" s="660"/>
      <c r="D304" s="12"/>
    </row>
    <row r="305" spans="1:4" x14ac:dyDescent="0.2">
      <c r="A305" s="666" t="s">
        <v>633</v>
      </c>
      <c r="B305" s="665" t="s">
        <v>13</v>
      </c>
      <c r="C305" s="673">
        <v>0.35</v>
      </c>
      <c r="D305" s="12"/>
    </row>
    <row r="306" spans="1:4" x14ac:dyDescent="0.2">
      <c r="A306" s="662" t="s">
        <v>231</v>
      </c>
      <c r="B306" s="661"/>
      <c r="C306" s="660"/>
      <c r="D306" s="12"/>
    </row>
    <row r="307" spans="1:4" x14ac:dyDescent="0.2">
      <c r="A307" s="666" t="s">
        <v>726</v>
      </c>
      <c r="B307" s="665" t="s">
        <v>13</v>
      </c>
      <c r="C307" s="673">
        <v>16.86</v>
      </c>
      <c r="D307" s="12"/>
    </row>
    <row r="308" spans="1:4" x14ac:dyDescent="0.2">
      <c r="A308" s="659" t="s">
        <v>725</v>
      </c>
      <c r="B308" s="658" t="s">
        <v>13</v>
      </c>
      <c r="C308" s="673">
        <v>27.06</v>
      </c>
      <c r="D308" s="12"/>
    </row>
    <row r="309" spans="1:4" x14ac:dyDescent="0.2">
      <c r="A309" s="666" t="s">
        <v>724</v>
      </c>
      <c r="B309" s="665" t="s">
        <v>13</v>
      </c>
      <c r="C309" s="673">
        <v>478.39</v>
      </c>
      <c r="D309" s="12"/>
    </row>
    <row r="310" spans="1:4" x14ac:dyDescent="0.2">
      <c r="A310" s="659" t="s">
        <v>629</v>
      </c>
      <c r="B310" s="658" t="s">
        <v>13</v>
      </c>
      <c r="C310" s="673">
        <v>10.78</v>
      </c>
      <c r="D310" s="12"/>
    </row>
    <row r="311" spans="1:4" x14ac:dyDescent="0.2">
      <c r="A311" s="666" t="s">
        <v>594</v>
      </c>
      <c r="B311" s="665" t="s">
        <v>13</v>
      </c>
      <c r="C311" s="673">
        <v>16.75</v>
      </c>
      <c r="D311" s="12"/>
    </row>
    <row r="312" spans="1:4" x14ac:dyDescent="0.2">
      <c r="A312" s="662" t="s">
        <v>569</v>
      </c>
      <c r="B312" s="661"/>
      <c r="C312" s="660"/>
      <c r="D312" s="12"/>
    </row>
    <row r="313" spans="1:4" x14ac:dyDescent="0.2">
      <c r="A313" s="659" t="s">
        <v>592</v>
      </c>
      <c r="B313" s="658" t="s">
        <v>13</v>
      </c>
      <c r="C313" s="673">
        <v>95.77</v>
      </c>
      <c r="D313" s="12"/>
    </row>
    <row r="314" spans="1:4" x14ac:dyDescent="0.2">
      <c r="A314" s="666" t="s">
        <v>723</v>
      </c>
      <c r="B314" s="665" t="s">
        <v>13</v>
      </c>
      <c r="C314" s="673">
        <v>48.91</v>
      </c>
      <c r="D314" s="12"/>
    </row>
    <row r="315" spans="1:4" x14ac:dyDescent="0.2">
      <c r="A315" s="659" t="s">
        <v>722</v>
      </c>
      <c r="B315" s="658" t="s">
        <v>13</v>
      </c>
      <c r="C315" s="673">
        <v>864.87</v>
      </c>
      <c r="D315" s="12"/>
    </row>
    <row r="316" spans="1:4" x14ac:dyDescent="0.2">
      <c r="A316" s="666" t="s">
        <v>693</v>
      </c>
      <c r="B316" s="665" t="s">
        <v>13</v>
      </c>
      <c r="C316" s="673">
        <v>45.25</v>
      </c>
      <c r="D316" s="12"/>
    </row>
    <row r="317" spans="1:4" x14ac:dyDescent="0.2">
      <c r="A317" s="662" t="s">
        <v>567</v>
      </c>
      <c r="B317" s="661"/>
      <c r="C317" s="660"/>
      <c r="D317" s="12"/>
    </row>
    <row r="318" spans="1:4" x14ac:dyDescent="0.2">
      <c r="A318" s="659" t="s">
        <v>566</v>
      </c>
      <c r="B318" s="658" t="s">
        <v>13</v>
      </c>
      <c r="C318" s="673">
        <v>632.13</v>
      </c>
      <c r="D318" s="12"/>
    </row>
    <row r="319" spans="1:4" x14ac:dyDescent="0.2">
      <c r="A319" s="662" t="s">
        <v>235</v>
      </c>
      <c r="B319" s="661"/>
      <c r="C319" s="660"/>
      <c r="D319" s="12"/>
    </row>
    <row r="320" spans="1:4" x14ac:dyDescent="0.2">
      <c r="A320" s="666" t="s">
        <v>554</v>
      </c>
      <c r="B320" s="665" t="s">
        <v>3</v>
      </c>
      <c r="C320" s="664">
        <v>121.66</v>
      </c>
      <c r="D320" s="12"/>
    </row>
    <row r="321" spans="1:4" x14ac:dyDescent="0.2">
      <c r="A321" s="662" t="s">
        <v>236</v>
      </c>
      <c r="B321" s="661"/>
      <c r="C321" s="660"/>
      <c r="D321" s="12"/>
    </row>
    <row r="322" spans="1:4" x14ac:dyDescent="0.2">
      <c r="A322" s="659" t="s">
        <v>721</v>
      </c>
      <c r="B322" s="658" t="s">
        <v>13</v>
      </c>
      <c r="C322" s="657">
        <v>0.19</v>
      </c>
      <c r="D322" s="12"/>
    </row>
    <row r="323" spans="1:4" x14ac:dyDescent="0.2">
      <c r="A323" s="666" t="s">
        <v>720</v>
      </c>
      <c r="B323" s="665" t="s">
        <v>13</v>
      </c>
      <c r="C323" s="664">
        <v>3.18</v>
      </c>
      <c r="D323" s="12"/>
    </row>
    <row r="324" spans="1:4" x14ac:dyDescent="0.2">
      <c r="A324" s="659" t="s">
        <v>591</v>
      </c>
      <c r="B324" s="658" t="s">
        <v>13</v>
      </c>
      <c r="C324" s="657">
        <v>1.04</v>
      </c>
      <c r="D324" s="12"/>
    </row>
    <row r="325" spans="1:4" x14ac:dyDescent="0.2">
      <c r="A325" s="666" t="s">
        <v>719</v>
      </c>
      <c r="B325" s="665" t="s">
        <v>13</v>
      </c>
      <c r="C325" s="664">
        <v>10.54</v>
      </c>
      <c r="D325" s="12"/>
    </row>
    <row r="326" spans="1:4" x14ac:dyDescent="0.2">
      <c r="A326" s="659" t="s">
        <v>718</v>
      </c>
      <c r="B326" s="658" t="s">
        <v>13</v>
      </c>
      <c r="C326" s="657">
        <v>6.2</v>
      </c>
      <c r="D326" s="12"/>
    </row>
    <row r="327" spans="1:4" x14ac:dyDescent="0.2">
      <c r="A327" s="666" t="s">
        <v>717</v>
      </c>
      <c r="B327" s="665" t="s">
        <v>13</v>
      </c>
      <c r="C327" s="664">
        <v>17.989999999999998</v>
      </c>
      <c r="D327" s="12"/>
    </row>
    <row r="328" spans="1:4" x14ac:dyDescent="0.2">
      <c r="A328" s="659" t="s">
        <v>716</v>
      </c>
      <c r="B328" s="658" t="s">
        <v>13</v>
      </c>
      <c r="C328" s="657">
        <v>12</v>
      </c>
      <c r="D328" s="12"/>
    </row>
    <row r="329" spans="1:4" x14ac:dyDescent="0.2">
      <c r="A329" s="662" t="s">
        <v>240</v>
      </c>
      <c r="B329" s="661"/>
      <c r="C329" s="660"/>
      <c r="D329" s="12"/>
    </row>
    <row r="330" spans="1:4" x14ac:dyDescent="0.2">
      <c r="A330" s="666" t="s">
        <v>613</v>
      </c>
      <c r="B330" s="665" t="s">
        <v>3</v>
      </c>
      <c r="C330" s="664">
        <v>16.850000000000001</v>
      </c>
      <c r="D330" s="12"/>
    </row>
    <row r="331" spans="1:4" x14ac:dyDescent="0.2">
      <c r="A331" s="662" t="s">
        <v>244</v>
      </c>
      <c r="B331" s="661"/>
      <c r="C331" s="660"/>
      <c r="D331" s="12"/>
    </row>
    <row r="332" spans="1:4" x14ac:dyDescent="0.2">
      <c r="A332" s="659" t="s">
        <v>586</v>
      </c>
      <c r="B332" s="658" t="s">
        <v>2</v>
      </c>
      <c r="C332" s="657">
        <v>1</v>
      </c>
      <c r="D332" s="12"/>
    </row>
    <row r="333" spans="1:4" x14ac:dyDescent="0.2">
      <c r="A333" s="666" t="s">
        <v>585</v>
      </c>
      <c r="B333" s="665" t="s">
        <v>2</v>
      </c>
      <c r="C333" s="664">
        <v>1</v>
      </c>
      <c r="D333" s="12"/>
    </row>
    <row r="334" spans="1:4" x14ac:dyDescent="0.2">
      <c r="A334" s="659" t="s">
        <v>609</v>
      </c>
      <c r="B334" s="658" t="s">
        <v>2</v>
      </c>
      <c r="C334" s="657">
        <v>2</v>
      </c>
      <c r="D334" s="12"/>
    </row>
    <row r="335" spans="1:4" x14ac:dyDescent="0.2">
      <c r="A335" s="662" t="s">
        <v>552</v>
      </c>
      <c r="B335" s="661"/>
      <c r="C335" s="660"/>
      <c r="D335" s="12"/>
    </row>
    <row r="336" spans="1:4" x14ac:dyDescent="0.2">
      <c r="A336" s="666" t="s">
        <v>551</v>
      </c>
      <c r="B336" s="665" t="s">
        <v>13</v>
      </c>
      <c r="C336" s="664">
        <v>235.66</v>
      </c>
      <c r="D336" s="12"/>
    </row>
    <row r="337" spans="1:4" x14ac:dyDescent="0.2">
      <c r="A337" s="659" t="s">
        <v>565</v>
      </c>
      <c r="B337" s="658" t="s">
        <v>13</v>
      </c>
      <c r="C337" s="657">
        <v>49.38</v>
      </c>
      <c r="D337" s="12"/>
    </row>
    <row r="338" spans="1:4" x14ac:dyDescent="0.2">
      <c r="A338" s="662" t="s">
        <v>550</v>
      </c>
      <c r="B338" s="661"/>
      <c r="C338" s="660"/>
      <c r="D338" s="12"/>
    </row>
    <row r="339" spans="1:4" x14ac:dyDescent="0.2">
      <c r="A339" s="666" t="s">
        <v>549</v>
      </c>
      <c r="B339" s="665" t="s">
        <v>13</v>
      </c>
      <c r="C339" s="664">
        <v>285.02999999999997</v>
      </c>
      <c r="D339" s="12"/>
    </row>
    <row r="340" spans="1:4" x14ac:dyDescent="0.2">
      <c r="A340" s="662" t="s">
        <v>273</v>
      </c>
      <c r="B340" s="661"/>
      <c r="C340" s="660"/>
      <c r="D340" s="12"/>
    </row>
    <row r="341" spans="1:4" x14ac:dyDescent="0.2">
      <c r="A341" s="659" t="s">
        <v>680</v>
      </c>
      <c r="B341" s="658" t="s">
        <v>13</v>
      </c>
      <c r="C341" s="657">
        <v>185.77</v>
      </c>
      <c r="D341" s="12"/>
    </row>
    <row r="342" spans="1:4" x14ac:dyDescent="0.2">
      <c r="A342" s="666" t="s">
        <v>679</v>
      </c>
      <c r="B342" s="665" t="s">
        <v>13</v>
      </c>
      <c r="C342" s="664">
        <v>37.1</v>
      </c>
      <c r="D342" s="12"/>
    </row>
    <row r="343" spans="1:4" x14ac:dyDescent="0.2">
      <c r="A343" s="659" t="s">
        <v>715</v>
      </c>
      <c r="B343" s="658" t="s">
        <v>13</v>
      </c>
      <c r="C343" s="657">
        <v>21.14</v>
      </c>
      <c r="D343" s="12"/>
    </row>
    <row r="344" spans="1:4" x14ac:dyDescent="0.2">
      <c r="A344" s="662" t="s">
        <v>274</v>
      </c>
      <c r="B344" s="661"/>
      <c r="C344" s="660"/>
      <c r="D344" s="12"/>
    </row>
    <row r="345" spans="1:4" x14ac:dyDescent="0.2">
      <c r="A345" s="666" t="s">
        <v>714</v>
      </c>
      <c r="B345" s="665" t="s">
        <v>13</v>
      </c>
      <c r="C345" s="664">
        <v>41.02</v>
      </c>
      <c r="D345" s="12"/>
    </row>
    <row r="346" spans="1:4" x14ac:dyDescent="0.2">
      <c r="A346" s="669" t="s">
        <v>713</v>
      </c>
      <c r="B346" s="668"/>
      <c r="C346" s="667"/>
      <c r="D346" s="12"/>
    </row>
    <row r="347" spans="1:4" x14ac:dyDescent="0.2">
      <c r="A347" s="662" t="s">
        <v>208</v>
      </c>
      <c r="B347" s="661"/>
      <c r="C347" s="660"/>
      <c r="D347" s="12"/>
    </row>
    <row r="348" spans="1:4" x14ac:dyDescent="0.2">
      <c r="A348" s="659" t="s">
        <v>562</v>
      </c>
      <c r="B348" s="658" t="s">
        <v>13</v>
      </c>
      <c r="C348" s="673">
        <v>189.24</v>
      </c>
      <c r="D348" s="12"/>
    </row>
    <row r="349" spans="1:4" x14ac:dyDescent="0.2">
      <c r="A349" s="666" t="s">
        <v>581</v>
      </c>
      <c r="B349" s="665" t="s">
        <v>13</v>
      </c>
      <c r="C349" s="673">
        <v>215.57</v>
      </c>
      <c r="D349" s="12"/>
    </row>
    <row r="350" spans="1:4" x14ac:dyDescent="0.2">
      <c r="A350" s="662" t="s">
        <v>605</v>
      </c>
      <c r="B350" s="661"/>
      <c r="C350" s="660"/>
      <c r="D350" s="12"/>
    </row>
    <row r="351" spans="1:4" x14ac:dyDescent="0.2">
      <c r="A351" s="659" t="s">
        <v>604</v>
      </c>
      <c r="B351" s="658" t="s">
        <v>13</v>
      </c>
      <c r="C351" s="673">
        <v>101.27</v>
      </c>
      <c r="D351" s="12"/>
    </row>
    <row r="352" spans="1:4" x14ac:dyDescent="0.2">
      <c r="A352" s="662" t="s">
        <v>561</v>
      </c>
      <c r="B352" s="661"/>
      <c r="C352" s="660"/>
      <c r="D352" s="12"/>
    </row>
    <row r="353" spans="1:4" x14ac:dyDescent="0.2">
      <c r="A353" s="666" t="s">
        <v>580</v>
      </c>
      <c r="B353" s="665" t="s">
        <v>3</v>
      </c>
      <c r="C353" s="673">
        <v>127.23</v>
      </c>
      <c r="D353" s="12"/>
    </row>
    <row r="354" spans="1:4" x14ac:dyDescent="0.2">
      <c r="A354" s="659" t="s">
        <v>560</v>
      </c>
      <c r="B354" s="658" t="s">
        <v>13</v>
      </c>
      <c r="C354" s="673">
        <v>254</v>
      </c>
      <c r="D354" s="12"/>
    </row>
    <row r="355" spans="1:4" x14ac:dyDescent="0.2">
      <c r="A355" s="666" t="s">
        <v>559</v>
      </c>
      <c r="B355" s="665" t="s">
        <v>3</v>
      </c>
      <c r="C355" s="673">
        <v>79.05</v>
      </c>
      <c r="D355" s="12"/>
    </row>
    <row r="356" spans="1:4" x14ac:dyDescent="0.2">
      <c r="A356" s="662" t="s">
        <v>212</v>
      </c>
      <c r="B356" s="661"/>
      <c r="C356" s="660"/>
      <c r="D356" s="12"/>
    </row>
    <row r="357" spans="1:4" x14ac:dyDescent="0.2">
      <c r="A357" s="666" t="s">
        <v>579</v>
      </c>
      <c r="B357" s="665" t="s">
        <v>13</v>
      </c>
      <c r="C357" s="664">
        <v>6.74</v>
      </c>
      <c r="D357" s="12"/>
    </row>
    <row r="358" spans="1:4" x14ac:dyDescent="0.2">
      <c r="A358" s="659" t="s">
        <v>558</v>
      </c>
      <c r="B358" s="658" t="s">
        <v>13</v>
      </c>
      <c r="C358" s="657">
        <v>370.32</v>
      </c>
      <c r="D358" s="12"/>
    </row>
    <row r="359" spans="1:4" x14ac:dyDescent="0.2">
      <c r="A359" s="662" t="s">
        <v>557</v>
      </c>
      <c r="B359" s="661"/>
      <c r="C359" s="660"/>
      <c r="D359" s="12"/>
    </row>
    <row r="360" spans="1:4" x14ac:dyDescent="0.2">
      <c r="A360" s="659" t="s">
        <v>652</v>
      </c>
      <c r="B360" s="658" t="s">
        <v>13</v>
      </c>
      <c r="C360" s="657">
        <v>15.58</v>
      </c>
      <c r="D360" s="12"/>
    </row>
    <row r="361" spans="1:4" x14ac:dyDescent="0.2">
      <c r="A361" s="666" t="s">
        <v>651</v>
      </c>
      <c r="B361" s="665" t="s">
        <v>13</v>
      </c>
      <c r="C361" s="664">
        <v>6.74</v>
      </c>
      <c r="D361" s="12"/>
    </row>
    <row r="362" spans="1:4" x14ac:dyDescent="0.2">
      <c r="A362" s="659" t="s">
        <v>646</v>
      </c>
      <c r="B362" s="658" t="s">
        <v>13</v>
      </c>
      <c r="C362" s="657">
        <v>0.2</v>
      </c>
      <c r="D362" s="12"/>
    </row>
    <row r="363" spans="1:4" x14ac:dyDescent="0.2">
      <c r="A363" s="666" t="s">
        <v>645</v>
      </c>
      <c r="B363" s="665" t="s">
        <v>13</v>
      </c>
      <c r="C363" s="664">
        <v>0.1</v>
      </c>
      <c r="D363" s="12"/>
    </row>
    <row r="364" spans="1:4" x14ac:dyDescent="0.2">
      <c r="A364" s="659" t="s">
        <v>712</v>
      </c>
      <c r="B364" s="658" t="s">
        <v>13</v>
      </c>
      <c r="C364" s="657">
        <v>60.49</v>
      </c>
      <c r="D364" s="12"/>
    </row>
    <row r="365" spans="1:4" x14ac:dyDescent="0.2">
      <c r="A365" s="666" t="s">
        <v>711</v>
      </c>
      <c r="B365" s="665" t="s">
        <v>13</v>
      </c>
      <c r="C365" s="664">
        <v>50.65</v>
      </c>
      <c r="D365" s="12"/>
    </row>
    <row r="366" spans="1:4" x14ac:dyDescent="0.2">
      <c r="A366" s="659" t="s">
        <v>696</v>
      </c>
      <c r="B366" s="658" t="s">
        <v>13</v>
      </c>
      <c r="C366" s="657">
        <v>54.01</v>
      </c>
      <c r="D366" s="12"/>
    </row>
    <row r="367" spans="1:4" x14ac:dyDescent="0.2">
      <c r="A367" s="666" t="s">
        <v>710</v>
      </c>
      <c r="B367" s="665" t="s">
        <v>13</v>
      </c>
      <c r="C367" s="664">
        <v>77.5</v>
      </c>
      <c r="D367" s="12"/>
    </row>
    <row r="368" spans="1:4" x14ac:dyDescent="0.2">
      <c r="A368" s="659" t="s">
        <v>601</v>
      </c>
      <c r="B368" s="658" t="s">
        <v>13</v>
      </c>
      <c r="C368" s="657">
        <v>65.010000000000005</v>
      </c>
      <c r="D368" s="12"/>
    </row>
    <row r="369" spans="1:4" x14ac:dyDescent="0.2">
      <c r="A369" s="666" t="s">
        <v>600</v>
      </c>
      <c r="B369" s="665" t="s">
        <v>13</v>
      </c>
      <c r="C369" s="664">
        <v>242.16</v>
      </c>
      <c r="D369" s="12"/>
    </row>
    <row r="370" spans="1:4" x14ac:dyDescent="0.2">
      <c r="A370" s="662" t="s">
        <v>220</v>
      </c>
      <c r="B370" s="661"/>
      <c r="C370" s="660"/>
      <c r="D370" s="12"/>
    </row>
    <row r="371" spans="1:4" x14ac:dyDescent="0.2">
      <c r="A371" s="659" t="s">
        <v>709</v>
      </c>
      <c r="B371" s="658" t="s">
        <v>13</v>
      </c>
      <c r="C371" s="673">
        <v>47.86</v>
      </c>
      <c r="D371" s="12"/>
    </row>
    <row r="372" spans="1:4" x14ac:dyDescent="0.2">
      <c r="A372" s="666" t="s">
        <v>599</v>
      </c>
      <c r="B372" s="665" t="s">
        <v>13</v>
      </c>
      <c r="C372" s="673">
        <v>432.84</v>
      </c>
      <c r="D372" s="12"/>
    </row>
    <row r="373" spans="1:4" x14ac:dyDescent="0.2">
      <c r="A373" s="659" t="s">
        <v>644</v>
      </c>
      <c r="B373" s="658" t="s">
        <v>13</v>
      </c>
      <c r="C373" s="673">
        <v>13.06</v>
      </c>
      <c r="D373" s="12"/>
    </row>
    <row r="374" spans="1:4" ht="25.5" x14ac:dyDescent="0.2">
      <c r="A374" s="666" t="s">
        <v>643</v>
      </c>
      <c r="B374" s="665" t="s">
        <v>13</v>
      </c>
      <c r="C374" s="673">
        <v>2.72</v>
      </c>
      <c r="D374" s="12"/>
    </row>
    <row r="375" spans="1:4" x14ac:dyDescent="0.2">
      <c r="A375" s="662" t="s">
        <v>598</v>
      </c>
      <c r="B375" s="661"/>
      <c r="C375" s="660"/>
      <c r="D375" s="12"/>
    </row>
    <row r="376" spans="1:4" x14ac:dyDescent="0.2">
      <c r="A376" s="659" t="s">
        <v>597</v>
      </c>
      <c r="B376" s="658" t="s">
        <v>13</v>
      </c>
      <c r="C376" s="673">
        <v>13.97</v>
      </c>
      <c r="D376" s="12"/>
    </row>
    <row r="377" spans="1:4" x14ac:dyDescent="0.2">
      <c r="A377" s="666" t="s">
        <v>642</v>
      </c>
      <c r="B377" s="665" t="s">
        <v>13</v>
      </c>
      <c r="C377" s="673">
        <v>7.44</v>
      </c>
      <c r="D377" s="12"/>
    </row>
    <row r="378" spans="1:4" x14ac:dyDescent="0.2">
      <c r="A378" s="662" t="s">
        <v>708</v>
      </c>
      <c r="B378" s="661"/>
      <c r="C378" s="660"/>
      <c r="D378" s="12"/>
    </row>
    <row r="379" spans="1:4" x14ac:dyDescent="0.2">
      <c r="A379" s="659" t="s">
        <v>707</v>
      </c>
      <c r="B379" s="658" t="s">
        <v>13</v>
      </c>
      <c r="C379" s="673">
        <v>13.97</v>
      </c>
      <c r="D379" s="12"/>
    </row>
    <row r="380" spans="1:4" x14ac:dyDescent="0.2">
      <c r="A380" s="662" t="s">
        <v>576</v>
      </c>
      <c r="B380" s="661"/>
      <c r="C380" s="660"/>
      <c r="D380" s="12"/>
    </row>
    <row r="381" spans="1:4" x14ac:dyDescent="0.2">
      <c r="A381" s="666" t="s">
        <v>575</v>
      </c>
      <c r="B381" s="665" t="s">
        <v>13</v>
      </c>
      <c r="C381" s="673">
        <v>420.78</v>
      </c>
      <c r="D381" s="12"/>
    </row>
    <row r="382" spans="1:4" x14ac:dyDescent="0.2">
      <c r="A382" s="659" t="s">
        <v>574</v>
      </c>
      <c r="B382" s="658" t="s">
        <v>13</v>
      </c>
      <c r="C382" s="673">
        <v>232.53</v>
      </c>
      <c r="D382" s="12"/>
    </row>
    <row r="383" spans="1:4" x14ac:dyDescent="0.2">
      <c r="A383" s="662" t="s">
        <v>573</v>
      </c>
      <c r="B383" s="661"/>
      <c r="C383" s="660"/>
      <c r="D383" s="12"/>
    </row>
    <row r="384" spans="1:4" x14ac:dyDescent="0.2">
      <c r="A384" s="666" t="s">
        <v>572</v>
      </c>
      <c r="B384" s="665" t="s">
        <v>13</v>
      </c>
      <c r="C384" s="673">
        <v>653.30999999999995</v>
      </c>
      <c r="D384" s="12"/>
    </row>
    <row r="385" spans="1:4" x14ac:dyDescent="0.2">
      <c r="A385" s="662" t="s">
        <v>224</v>
      </c>
      <c r="B385" s="661"/>
      <c r="C385" s="660"/>
      <c r="D385" s="12"/>
    </row>
    <row r="386" spans="1:4" x14ac:dyDescent="0.2">
      <c r="A386" s="659" t="s">
        <v>571</v>
      </c>
      <c r="B386" s="658" t="s">
        <v>13</v>
      </c>
      <c r="C386" s="673">
        <v>48.2</v>
      </c>
      <c r="D386" s="12"/>
    </row>
    <row r="387" spans="1:4" x14ac:dyDescent="0.2">
      <c r="A387" s="662" t="s">
        <v>218</v>
      </c>
      <c r="B387" s="661"/>
      <c r="C387" s="660"/>
      <c r="D387" s="12"/>
    </row>
    <row r="388" spans="1:4" x14ac:dyDescent="0.2">
      <c r="A388" s="666" t="s">
        <v>570</v>
      </c>
      <c r="B388" s="665" t="s">
        <v>13</v>
      </c>
      <c r="C388" s="673">
        <v>42.1</v>
      </c>
      <c r="D388" s="12"/>
    </row>
    <row r="389" spans="1:4" x14ac:dyDescent="0.2">
      <c r="A389" s="662" t="s">
        <v>219</v>
      </c>
      <c r="B389" s="661"/>
      <c r="C389" s="660"/>
      <c r="D389" s="12"/>
    </row>
    <row r="390" spans="1:4" x14ac:dyDescent="0.2">
      <c r="A390" s="659" t="s">
        <v>641</v>
      </c>
      <c r="B390" s="658" t="s">
        <v>13</v>
      </c>
      <c r="C390" s="673">
        <v>193.76</v>
      </c>
      <c r="D390" s="12"/>
    </row>
    <row r="391" spans="1:4" x14ac:dyDescent="0.2">
      <c r="A391" s="662" t="s">
        <v>706</v>
      </c>
      <c r="B391" s="661"/>
      <c r="C391" s="660"/>
      <c r="D391" s="12"/>
    </row>
    <row r="392" spans="1:4" x14ac:dyDescent="0.2">
      <c r="A392" s="666" t="s">
        <v>705</v>
      </c>
      <c r="B392" s="665" t="s">
        <v>13</v>
      </c>
      <c r="C392" s="664">
        <v>36.299999999999997</v>
      </c>
      <c r="D392" s="12"/>
    </row>
    <row r="393" spans="1:4" x14ac:dyDescent="0.2">
      <c r="A393" s="662" t="s">
        <v>222</v>
      </c>
      <c r="B393" s="661"/>
      <c r="C393" s="660"/>
      <c r="D393" s="12"/>
    </row>
    <row r="394" spans="1:4" x14ac:dyDescent="0.2">
      <c r="A394" s="659" t="s">
        <v>704</v>
      </c>
      <c r="B394" s="658" t="s">
        <v>13</v>
      </c>
      <c r="C394" s="673">
        <v>1.78</v>
      </c>
      <c r="D394" s="12"/>
    </row>
    <row r="395" spans="1:4" x14ac:dyDescent="0.2">
      <c r="A395" s="666" t="s">
        <v>695</v>
      </c>
      <c r="B395" s="665" t="s">
        <v>13</v>
      </c>
      <c r="C395" s="673">
        <v>4.3</v>
      </c>
      <c r="D395" s="12"/>
    </row>
    <row r="396" spans="1:4" x14ac:dyDescent="0.2">
      <c r="A396" s="659" t="s">
        <v>703</v>
      </c>
      <c r="B396" s="658" t="s">
        <v>13</v>
      </c>
      <c r="C396" s="673">
        <v>72.040000000000006</v>
      </c>
      <c r="D396" s="12"/>
    </row>
    <row r="397" spans="1:4" x14ac:dyDescent="0.2">
      <c r="A397" s="666" t="s">
        <v>702</v>
      </c>
      <c r="B397" s="665" t="s">
        <v>13</v>
      </c>
      <c r="C397" s="673">
        <v>228.99</v>
      </c>
      <c r="D397" s="12"/>
    </row>
    <row r="398" spans="1:4" x14ac:dyDescent="0.2">
      <c r="A398" s="659" t="s">
        <v>701</v>
      </c>
      <c r="B398" s="658" t="s">
        <v>13</v>
      </c>
      <c r="C398" s="673">
        <v>133.55000000000001</v>
      </c>
      <c r="D398" s="12"/>
    </row>
    <row r="399" spans="1:4" x14ac:dyDescent="0.2">
      <c r="A399" s="666" t="s">
        <v>638</v>
      </c>
      <c r="B399" s="665" t="s">
        <v>13</v>
      </c>
      <c r="C399" s="673">
        <v>30.56</v>
      </c>
      <c r="D399" s="12"/>
    </row>
    <row r="400" spans="1:4" x14ac:dyDescent="0.2">
      <c r="A400" s="662" t="s">
        <v>637</v>
      </c>
      <c r="B400" s="661"/>
      <c r="C400" s="660"/>
      <c r="D400" s="12"/>
    </row>
    <row r="401" spans="1:4" x14ac:dyDescent="0.2">
      <c r="A401" s="659" t="s">
        <v>700</v>
      </c>
      <c r="B401" s="658" t="s">
        <v>13</v>
      </c>
      <c r="C401" s="673">
        <v>28.79</v>
      </c>
      <c r="D401" s="12"/>
    </row>
    <row r="402" spans="1:4" x14ac:dyDescent="0.2">
      <c r="A402" s="662" t="s">
        <v>699</v>
      </c>
      <c r="B402" s="661"/>
      <c r="C402" s="660"/>
      <c r="D402" s="12"/>
    </row>
    <row r="403" spans="1:4" x14ac:dyDescent="0.2">
      <c r="A403" s="666" t="s">
        <v>698</v>
      </c>
      <c r="B403" s="665" t="s">
        <v>13</v>
      </c>
      <c r="C403" s="673">
        <v>7.39</v>
      </c>
      <c r="D403" s="12"/>
    </row>
    <row r="404" spans="1:4" x14ac:dyDescent="0.2">
      <c r="A404" s="662" t="s">
        <v>635</v>
      </c>
      <c r="B404" s="661"/>
      <c r="C404" s="660"/>
      <c r="D404" s="12"/>
    </row>
    <row r="405" spans="1:4" x14ac:dyDescent="0.2">
      <c r="A405" s="659" t="s">
        <v>697</v>
      </c>
      <c r="B405" s="658" t="s">
        <v>3</v>
      </c>
      <c r="C405" s="673">
        <v>60.24</v>
      </c>
      <c r="D405" s="12"/>
    </row>
    <row r="406" spans="1:4" x14ac:dyDescent="0.2">
      <c r="A406" s="666" t="s">
        <v>634</v>
      </c>
      <c r="B406" s="665" t="s">
        <v>3</v>
      </c>
      <c r="C406" s="673">
        <v>131.72</v>
      </c>
      <c r="D406" s="12"/>
    </row>
    <row r="407" spans="1:4" x14ac:dyDescent="0.2">
      <c r="A407" s="662" t="s">
        <v>346</v>
      </c>
      <c r="B407" s="661"/>
      <c r="C407" s="660"/>
      <c r="D407" s="12"/>
    </row>
    <row r="408" spans="1:4" x14ac:dyDescent="0.2">
      <c r="A408" s="659" t="s">
        <v>633</v>
      </c>
      <c r="B408" s="658" t="s">
        <v>13</v>
      </c>
      <c r="C408" s="673">
        <v>1.96</v>
      </c>
      <c r="D408" s="12"/>
    </row>
    <row r="409" spans="1:4" x14ac:dyDescent="0.2">
      <c r="A409" s="662" t="s">
        <v>217</v>
      </c>
      <c r="B409" s="661"/>
      <c r="C409" s="660"/>
      <c r="D409" s="12"/>
    </row>
    <row r="410" spans="1:4" x14ac:dyDescent="0.2">
      <c r="A410" s="666" t="s">
        <v>632</v>
      </c>
      <c r="B410" s="665" t="s">
        <v>13</v>
      </c>
      <c r="C410" s="673">
        <v>33.29</v>
      </c>
      <c r="D410" s="12"/>
    </row>
    <row r="411" spans="1:4" x14ac:dyDescent="0.2">
      <c r="A411" s="662" t="s">
        <v>215</v>
      </c>
      <c r="B411" s="661"/>
      <c r="C411" s="660"/>
      <c r="D411" s="12"/>
    </row>
    <row r="412" spans="1:4" x14ac:dyDescent="0.2">
      <c r="A412" s="659" t="s">
        <v>696</v>
      </c>
      <c r="B412" s="658" t="s">
        <v>13</v>
      </c>
      <c r="C412" s="657">
        <v>54.01</v>
      </c>
      <c r="D412" s="12"/>
    </row>
    <row r="413" spans="1:4" x14ac:dyDescent="0.2">
      <c r="A413" s="666" t="s">
        <v>695</v>
      </c>
      <c r="B413" s="665" t="s">
        <v>13</v>
      </c>
      <c r="C413" s="673">
        <v>53.28</v>
      </c>
      <c r="D413" s="12"/>
    </row>
    <row r="414" spans="1:4" x14ac:dyDescent="0.2">
      <c r="A414" s="662" t="s">
        <v>216</v>
      </c>
      <c r="B414" s="661"/>
      <c r="C414" s="660"/>
      <c r="D414" s="12"/>
    </row>
    <row r="415" spans="1:4" x14ac:dyDescent="0.2">
      <c r="A415" s="659" t="s">
        <v>694</v>
      </c>
      <c r="B415" s="658" t="s">
        <v>13</v>
      </c>
      <c r="C415" s="673">
        <v>8.25</v>
      </c>
      <c r="D415" s="12"/>
    </row>
    <row r="416" spans="1:4" x14ac:dyDescent="0.2">
      <c r="A416" s="662" t="s">
        <v>231</v>
      </c>
      <c r="B416" s="661"/>
      <c r="C416" s="660"/>
      <c r="D416" s="12"/>
    </row>
    <row r="417" spans="1:4" x14ac:dyDescent="0.2">
      <c r="A417" s="666" t="s">
        <v>595</v>
      </c>
      <c r="B417" s="665" t="s">
        <v>13</v>
      </c>
      <c r="C417" s="664">
        <v>2.92</v>
      </c>
      <c r="D417" s="12"/>
    </row>
    <row r="418" spans="1:4" x14ac:dyDescent="0.2">
      <c r="A418" s="659" t="s">
        <v>629</v>
      </c>
      <c r="B418" s="658" t="s">
        <v>13</v>
      </c>
      <c r="C418" s="657">
        <v>8.76</v>
      </c>
      <c r="D418" s="12"/>
    </row>
    <row r="419" spans="1:4" x14ac:dyDescent="0.2">
      <c r="A419" s="666" t="s">
        <v>594</v>
      </c>
      <c r="B419" s="665" t="s">
        <v>13</v>
      </c>
      <c r="C419" s="664">
        <v>16.37</v>
      </c>
      <c r="D419" s="12"/>
    </row>
    <row r="420" spans="1:4" x14ac:dyDescent="0.2">
      <c r="A420" s="662" t="s">
        <v>569</v>
      </c>
      <c r="B420" s="661"/>
      <c r="C420" s="660"/>
      <c r="D420" s="12"/>
    </row>
    <row r="421" spans="1:4" x14ac:dyDescent="0.2">
      <c r="A421" s="659" t="s">
        <v>628</v>
      </c>
      <c r="B421" s="658" t="s">
        <v>13</v>
      </c>
      <c r="C421" s="657">
        <v>344.44</v>
      </c>
      <c r="D421" s="12"/>
    </row>
    <row r="422" spans="1:4" x14ac:dyDescent="0.2">
      <c r="A422" s="666" t="s">
        <v>592</v>
      </c>
      <c r="B422" s="665" t="s">
        <v>13</v>
      </c>
      <c r="C422" s="664">
        <v>84.43</v>
      </c>
      <c r="D422" s="12"/>
    </row>
    <row r="423" spans="1:4" x14ac:dyDescent="0.2">
      <c r="A423" s="659" t="s">
        <v>693</v>
      </c>
      <c r="B423" s="658" t="s">
        <v>13</v>
      </c>
      <c r="C423" s="657">
        <v>106.74</v>
      </c>
      <c r="D423" s="12"/>
    </row>
    <row r="424" spans="1:4" x14ac:dyDescent="0.2">
      <c r="A424" s="666" t="s">
        <v>568</v>
      </c>
      <c r="B424" s="665" t="s">
        <v>13</v>
      </c>
      <c r="C424" s="664">
        <v>15.51</v>
      </c>
      <c r="D424" s="12"/>
    </row>
    <row r="425" spans="1:4" x14ac:dyDescent="0.2">
      <c r="A425" s="662" t="s">
        <v>567</v>
      </c>
      <c r="B425" s="661"/>
      <c r="C425" s="660"/>
      <c r="D425" s="12"/>
    </row>
    <row r="426" spans="1:4" x14ac:dyDescent="0.2">
      <c r="A426" s="659" t="s">
        <v>566</v>
      </c>
      <c r="B426" s="658" t="s">
        <v>13</v>
      </c>
      <c r="C426" s="657">
        <v>235.85</v>
      </c>
      <c r="D426" s="12"/>
    </row>
    <row r="427" spans="1:4" x14ac:dyDescent="0.2">
      <c r="A427" s="662" t="s">
        <v>235</v>
      </c>
      <c r="B427" s="661"/>
      <c r="C427" s="660"/>
      <c r="D427" s="12"/>
    </row>
    <row r="428" spans="1:4" x14ac:dyDescent="0.2">
      <c r="A428" s="666" t="s">
        <v>554</v>
      </c>
      <c r="B428" s="665" t="s">
        <v>3</v>
      </c>
      <c r="C428" s="664">
        <v>145.61000000000001</v>
      </c>
      <c r="D428" s="12"/>
    </row>
    <row r="429" spans="1:4" x14ac:dyDescent="0.2">
      <c r="A429" s="662" t="s">
        <v>236</v>
      </c>
      <c r="B429" s="661"/>
      <c r="C429" s="660"/>
      <c r="D429" s="12"/>
    </row>
    <row r="430" spans="1:4" x14ac:dyDescent="0.2">
      <c r="A430" s="659" t="s">
        <v>591</v>
      </c>
      <c r="B430" s="658" t="s">
        <v>13</v>
      </c>
      <c r="C430" s="657">
        <v>1.04</v>
      </c>
      <c r="D430" s="12"/>
    </row>
    <row r="431" spans="1:4" x14ac:dyDescent="0.2">
      <c r="A431" s="666" t="s">
        <v>590</v>
      </c>
      <c r="B431" s="665" t="s">
        <v>13</v>
      </c>
      <c r="C431" s="664">
        <v>1.04</v>
      </c>
      <c r="D431" s="12"/>
    </row>
    <row r="432" spans="1:4" x14ac:dyDescent="0.2">
      <c r="A432" s="659" t="s">
        <v>692</v>
      </c>
      <c r="B432" s="658" t="s">
        <v>13</v>
      </c>
      <c r="C432" s="657">
        <v>15.7</v>
      </c>
      <c r="D432" s="12"/>
    </row>
    <row r="433" spans="1:4" x14ac:dyDescent="0.2">
      <c r="A433" s="666" t="s">
        <v>691</v>
      </c>
      <c r="B433" s="665" t="s">
        <v>3</v>
      </c>
      <c r="C433" s="664">
        <v>0.96</v>
      </c>
      <c r="D433" s="12"/>
    </row>
    <row r="434" spans="1:4" x14ac:dyDescent="0.2">
      <c r="A434" s="659" t="s">
        <v>690</v>
      </c>
      <c r="B434" s="658" t="s">
        <v>3</v>
      </c>
      <c r="C434" s="657">
        <v>3.74</v>
      </c>
      <c r="D434" s="12"/>
    </row>
    <row r="435" spans="1:4" x14ac:dyDescent="0.2">
      <c r="A435" s="666" t="s">
        <v>689</v>
      </c>
      <c r="B435" s="665" t="s">
        <v>3</v>
      </c>
      <c r="C435" s="664">
        <v>3.54</v>
      </c>
      <c r="D435" s="12"/>
    </row>
    <row r="436" spans="1:4" x14ac:dyDescent="0.2">
      <c r="A436" s="659" t="s">
        <v>688</v>
      </c>
      <c r="B436" s="658" t="s">
        <v>3</v>
      </c>
      <c r="C436" s="657">
        <v>13.9</v>
      </c>
      <c r="D436" s="12"/>
    </row>
    <row r="437" spans="1:4" x14ac:dyDescent="0.2">
      <c r="A437" s="666" t="s">
        <v>687</v>
      </c>
      <c r="B437" s="665" t="s">
        <v>3</v>
      </c>
      <c r="C437" s="664">
        <v>6.36</v>
      </c>
      <c r="D437" s="12"/>
    </row>
    <row r="438" spans="1:4" x14ac:dyDescent="0.2">
      <c r="A438" s="659" t="s">
        <v>686</v>
      </c>
      <c r="B438" s="658" t="s">
        <v>3</v>
      </c>
      <c r="C438" s="657">
        <v>5.7</v>
      </c>
      <c r="D438" s="12"/>
    </row>
    <row r="439" spans="1:4" x14ac:dyDescent="0.2">
      <c r="A439" s="666" t="s">
        <v>621</v>
      </c>
      <c r="B439" s="665" t="s">
        <v>13</v>
      </c>
      <c r="C439" s="664">
        <v>0.36</v>
      </c>
      <c r="D439" s="12"/>
    </row>
    <row r="440" spans="1:4" x14ac:dyDescent="0.2">
      <c r="A440" s="659" t="s">
        <v>589</v>
      </c>
      <c r="B440" s="658" t="s">
        <v>13</v>
      </c>
      <c r="C440" s="657">
        <v>1.89</v>
      </c>
      <c r="D440" s="12"/>
    </row>
    <row r="441" spans="1:4" x14ac:dyDescent="0.2">
      <c r="A441" s="666" t="s">
        <v>685</v>
      </c>
      <c r="B441" s="665" t="s">
        <v>13</v>
      </c>
      <c r="C441" s="664">
        <v>5.67</v>
      </c>
      <c r="D441" s="12"/>
    </row>
    <row r="442" spans="1:4" x14ac:dyDescent="0.2">
      <c r="A442" s="659" t="s">
        <v>684</v>
      </c>
      <c r="B442" s="658" t="s">
        <v>13</v>
      </c>
      <c r="C442" s="657">
        <v>12.61</v>
      </c>
      <c r="D442" s="12"/>
    </row>
    <row r="443" spans="1:4" x14ac:dyDescent="0.2">
      <c r="A443" s="666" t="s">
        <v>683</v>
      </c>
      <c r="B443" s="665" t="s">
        <v>13</v>
      </c>
      <c r="C443" s="664">
        <v>18.899999999999999</v>
      </c>
      <c r="D443" s="12"/>
    </row>
    <row r="444" spans="1:4" x14ac:dyDescent="0.2">
      <c r="A444" s="659" t="s">
        <v>682</v>
      </c>
      <c r="B444" s="658" t="s">
        <v>13</v>
      </c>
      <c r="C444" s="657">
        <v>2.94</v>
      </c>
      <c r="D444" s="12"/>
    </row>
    <row r="445" spans="1:4" x14ac:dyDescent="0.2">
      <c r="A445" s="666" t="s">
        <v>617</v>
      </c>
      <c r="B445" s="665" t="s">
        <v>13</v>
      </c>
      <c r="C445" s="664">
        <v>0.08</v>
      </c>
      <c r="D445" s="12"/>
    </row>
    <row r="446" spans="1:4" x14ac:dyDescent="0.2">
      <c r="A446" s="659" t="s">
        <v>616</v>
      </c>
      <c r="B446" s="658" t="s">
        <v>13</v>
      </c>
      <c r="C446" s="657">
        <v>1.34</v>
      </c>
      <c r="D446" s="12"/>
    </row>
    <row r="447" spans="1:4" x14ac:dyDescent="0.2">
      <c r="A447" s="662" t="s">
        <v>240</v>
      </c>
      <c r="B447" s="661"/>
      <c r="C447" s="660"/>
      <c r="D447" s="12"/>
    </row>
    <row r="448" spans="1:4" x14ac:dyDescent="0.2">
      <c r="A448" s="666" t="s">
        <v>613</v>
      </c>
      <c r="B448" s="665" t="s">
        <v>3</v>
      </c>
      <c r="C448" s="664">
        <v>15.43</v>
      </c>
      <c r="D448" s="12"/>
    </row>
    <row r="449" spans="1:4" x14ac:dyDescent="0.2">
      <c r="A449" s="659" t="s">
        <v>612</v>
      </c>
      <c r="B449" s="658" t="s">
        <v>2</v>
      </c>
      <c r="C449" s="657">
        <v>1</v>
      </c>
      <c r="D449" s="12"/>
    </row>
    <row r="450" spans="1:4" x14ac:dyDescent="0.2">
      <c r="A450" s="666" t="s">
        <v>681</v>
      </c>
      <c r="B450" s="665" t="s">
        <v>2</v>
      </c>
      <c r="C450" s="664">
        <v>1</v>
      </c>
      <c r="D450" s="12"/>
    </row>
    <row r="451" spans="1:4" x14ac:dyDescent="0.2">
      <c r="A451" s="662" t="s">
        <v>244</v>
      </c>
      <c r="B451" s="661"/>
      <c r="C451" s="660"/>
      <c r="D451" s="12"/>
    </row>
    <row r="452" spans="1:4" x14ac:dyDescent="0.2">
      <c r="A452" s="659" t="s">
        <v>586</v>
      </c>
      <c r="B452" s="658" t="s">
        <v>2</v>
      </c>
      <c r="C452" s="657">
        <v>1</v>
      </c>
      <c r="D452" s="12"/>
    </row>
    <row r="453" spans="1:4" x14ac:dyDescent="0.2">
      <c r="A453" s="666" t="s">
        <v>585</v>
      </c>
      <c r="B453" s="665" t="s">
        <v>2</v>
      </c>
      <c r="C453" s="664">
        <v>1</v>
      </c>
      <c r="D453" s="12"/>
    </row>
    <row r="454" spans="1:4" x14ac:dyDescent="0.2">
      <c r="A454" s="659" t="s">
        <v>609</v>
      </c>
      <c r="B454" s="658" t="s">
        <v>2</v>
      </c>
      <c r="C454" s="657">
        <v>2</v>
      </c>
      <c r="D454" s="12"/>
    </row>
    <row r="455" spans="1:4" x14ac:dyDescent="0.2">
      <c r="A455" s="662" t="s">
        <v>552</v>
      </c>
      <c r="B455" s="661"/>
      <c r="C455" s="660"/>
      <c r="D455" s="12"/>
    </row>
    <row r="456" spans="1:4" x14ac:dyDescent="0.2">
      <c r="A456" s="666" t="s">
        <v>551</v>
      </c>
      <c r="B456" s="665" t="s">
        <v>13</v>
      </c>
      <c r="C456" s="664">
        <v>356.93</v>
      </c>
      <c r="D456" s="12"/>
    </row>
    <row r="457" spans="1:4" x14ac:dyDescent="0.2">
      <c r="A457" s="659" t="s">
        <v>565</v>
      </c>
      <c r="B457" s="658" t="s">
        <v>13</v>
      </c>
      <c r="C457" s="657">
        <v>93.61</v>
      </c>
      <c r="D457" s="12"/>
    </row>
    <row r="458" spans="1:4" x14ac:dyDescent="0.2">
      <c r="A458" s="662" t="s">
        <v>550</v>
      </c>
      <c r="B458" s="661"/>
      <c r="C458" s="660"/>
      <c r="D458" s="12"/>
    </row>
    <row r="459" spans="1:4" x14ac:dyDescent="0.2">
      <c r="A459" s="666" t="s">
        <v>549</v>
      </c>
      <c r="B459" s="665" t="s">
        <v>13</v>
      </c>
      <c r="C459" s="664">
        <v>450.54</v>
      </c>
      <c r="D459" s="12"/>
    </row>
    <row r="460" spans="1:4" x14ac:dyDescent="0.2">
      <c r="A460" s="662" t="s">
        <v>273</v>
      </c>
      <c r="B460" s="661"/>
      <c r="C460" s="660"/>
      <c r="D460" s="12"/>
    </row>
    <row r="461" spans="1:4" x14ac:dyDescent="0.2">
      <c r="A461" s="659" t="s">
        <v>680</v>
      </c>
      <c r="B461" s="658" t="s">
        <v>13</v>
      </c>
      <c r="C461" s="657">
        <v>103.91</v>
      </c>
      <c r="D461" s="12"/>
    </row>
    <row r="462" spans="1:4" x14ac:dyDescent="0.2">
      <c r="A462" s="666" t="s">
        <v>679</v>
      </c>
      <c r="B462" s="665" t="s">
        <v>13</v>
      </c>
      <c r="C462" s="664">
        <v>2.67</v>
      </c>
      <c r="D462" s="12"/>
    </row>
    <row r="463" spans="1:4" x14ac:dyDescent="0.2">
      <c r="A463" s="659" t="s">
        <v>564</v>
      </c>
      <c r="B463" s="658" t="s">
        <v>13</v>
      </c>
      <c r="C463" s="657">
        <v>86.95</v>
      </c>
      <c r="D463" s="12"/>
    </row>
    <row r="464" spans="1:4" x14ac:dyDescent="0.2">
      <c r="A464" s="666" t="s">
        <v>607</v>
      </c>
      <c r="B464" s="665" t="s">
        <v>13</v>
      </c>
      <c r="C464" s="664">
        <v>5.22</v>
      </c>
      <c r="D464" s="12"/>
    </row>
    <row r="465" spans="1:4" x14ac:dyDescent="0.2">
      <c r="A465" s="659" t="s">
        <v>548</v>
      </c>
      <c r="B465" s="658" t="s">
        <v>13</v>
      </c>
      <c r="C465" s="657">
        <v>73.819999999999993</v>
      </c>
      <c r="D465" s="12"/>
    </row>
    <row r="466" spans="1:4" x14ac:dyDescent="0.2">
      <c r="A466" s="666" t="s">
        <v>678</v>
      </c>
      <c r="B466" s="665" t="s">
        <v>13</v>
      </c>
      <c r="C466" s="664">
        <v>177.98</v>
      </c>
      <c r="D466" s="12"/>
    </row>
    <row r="467" spans="1:4" x14ac:dyDescent="0.2">
      <c r="A467" s="662" t="s">
        <v>281</v>
      </c>
      <c r="B467" s="661"/>
      <c r="C467" s="660"/>
      <c r="D467" s="12"/>
    </row>
    <row r="468" spans="1:4" x14ac:dyDescent="0.2">
      <c r="A468" s="659" t="s">
        <v>677</v>
      </c>
      <c r="B468" s="658" t="s">
        <v>13</v>
      </c>
      <c r="C468" s="657">
        <v>47.86</v>
      </c>
      <c r="D468" s="12"/>
    </row>
    <row r="469" spans="1:4" x14ac:dyDescent="0.2">
      <c r="A469" s="669" t="s">
        <v>676</v>
      </c>
      <c r="B469" s="668"/>
      <c r="C469" s="667"/>
      <c r="D469" s="670" t="s">
        <v>405</v>
      </c>
    </row>
    <row r="470" spans="1:4" x14ac:dyDescent="0.2">
      <c r="A470" s="662" t="s">
        <v>208</v>
      </c>
      <c r="B470" s="661"/>
      <c r="C470" s="660"/>
      <c r="D470" s="660"/>
    </row>
    <row r="471" spans="1:4" x14ac:dyDescent="0.2">
      <c r="A471" s="666" t="s">
        <v>656</v>
      </c>
      <c r="B471" s="665" t="s">
        <v>13</v>
      </c>
      <c r="C471" s="664">
        <v>3.51</v>
      </c>
      <c r="D471" s="664">
        <f ca="1">SUMIF($A$470:$C$2605,A471,$C$470:$C$2605)</f>
        <v>62.540000000000013</v>
      </c>
    </row>
    <row r="472" spans="1:4" x14ac:dyDescent="0.2">
      <c r="A472" s="659" t="s">
        <v>562</v>
      </c>
      <c r="B472" s="658" t="s">
        <v>13</v>
      </c>
      <c r="C472" s="657">
        <v>195.79</v>
      </c>
      <c r="D472" s="657">
        <f ca="1">SUMIF($A$470:$C$2605,A472,$C$470:$C$2605)</f>
        <v>3913.7099999999996</v>
      </c>
    </row>
    <row r="473" spans="1:4" x14ac:dyDescent="0.2">
      <c r="A473" s="666" t="s">
        <v>581</v>
      </c>
      <c r="B473" s="665" t="s">
        <v>13</v>
      </c>
      <c r="C473" s="664">
        <v>81.08</v>
      </c>
      <c r="D473" s="664">
        <f ca="1">SUMIF($A$470:$C$2605,A473,$C$470:$C$2605)</f>
        <v>1648.8899999999994</v>
      </c>
    </row>
    <row r="474" spans="1:4" x14ac:dyDescent="0.2">
      <c r="A474" s="662" t="s">
        <v>376</v>
      </c>
      <c r="B474" s="661"/>
      <c r="C474" s="660"/>
      <c r="D474" s="660"/>
    </row>
    <row r="475" spans="1:4" x14ac:dyDescent="0.2">
      <c r="A475" s="659" t="s">
        <v>655</v>
      </c>
      <c r="B475" s="658" t="s">
        <v>13</v>
      </c>
      <c r="C475" s="657">
        <v>29.07</v>
      </c>
      <c r="D475" s="657">
        <f ca="1">SUMIF($A$470:$C$2605,A475,$C$470:$C$2605)</f>
        <v>551.82000000000005</v>
      </c>
    </row>
    <row r="476" spans="1:4" x14ac:dyDescent="0.2">
      <c r="A476" s="662" t="s">
        <v>605</v>
      </c>
      <c r="B476" s="661"/>
      <c r="C476" s="660"/>
      <c r="D476" s="660"/>
    </row>
    <row r="477" spans="1:4" x14ac:dyDescent="0.2">
      <c r="A477" s="666" t="s">
        <v>604</v>
      </c>
      <c r="B477" s="665" t="s">
        <v>13</v>
      </c>
      <c r="C477" s="664">
        <v>85</v>
      </c>
      <c r="D477" s="664">
        <f ca="1">SUMIF($A$470:$C$2605,A477,$C$470:$C$2605)</f>
        <v>1700</v>
      </c>
    </row>
    <row r="478" spans="1:4" x14ac:dyDescent="0.2">
      <c r="A478" s="662" t="s">
        <v>561</v>
      </c>
      <c r="B478" s="661"/>
      <c r="C478" s="660"/>
      <c r="D478" s="660"/>
    </row>
    <row r="479" spans="1:4" x14ac:dyDescent="0.2">
      <c r="A479" s="659" t="s">
        <v>580</v>
      </c>
      <c r="B479" s="658" t="s">
        <v>3</v>
      </c>
      <c r="C479" s="657">
        <v>172.97</v>
      </c>
      <c r="D479" s="657">
        <f ca="1">SUMIF($A$470:$C$2605,A479,$C$470:$C$2605)</f>
        <v>3455.8599999999992</v>
      </c>
    </row>
    <row r="480" spans="1:4" x14ac:dyDescent="0.2">
      <c r="A480" s="666" t="s">
        <v>560</v>
      </c>
      <c r="B480" s="665" t="s">
        <v>13</v>
      </c>
      <c r="C480" s="664">
        <v>197.23</v>
      </c>
      <c r="D480" s="664">
        <f ca="1">ROUNDUP(SUMIF($A$470:$C$2605,A480,$C$470:$C$2605),0)</f>
        <v>3939</v>
      </c>
    </row>
    <row r="481" spans="1:4" x14ac:dyDescent="0.2">
      <c r="A481" s="659" t="s">
        <v>559</v>
      </c>
      <c r="B481" s="658" t="s">
        <v>3</v>
      </c>
      <c r="C481" s="657">
        <v>98</v>
      </c>
      <c r="D481" s="657">
        <f ca="1">SUMIF($A$470:$C$2605,A481,$C$470:$C$2605)</f>
        <v>1960</v>
      </c>
    </row>
    <row r="482" spans="1:4" x14ac:dyDescent="0.2">
      <c r="A482" s="662" t="s">
        <v>212</v>
      </c>
      <c r="B482" s="661"/>
      <c r="C482" s="660"/>
      <c r="D482" s="660"/>
    </row>
    <row r="483" spans="1:4" x14ac:dyDescent="0.2">
      <c r="A483" s="666" t="s">
        <v>579</v>
      </c>
      <c r="B483" s="665" t="s">
        <v>13</v>
      </c>
      <c r="C483" s="664">
        <v>43.76</v>
      </c>
      <c r="D483" s="664">
        <f ca="1">SUMIF($A$470:$C$2605,A483,$C$470:$C$2605)</f>
        <v>875.19999999999993</v>
      </c>
    </row>
    <row r="484" spans="1:4" x14ac:dyDescent="0.2">
      <c r="A484" s="662" t="s">
        <v>557</v>
      </c>
      <c r="B484" s="661"/>
      <c r="C484" s="660"/>
      <c r="D484" s="660"/>
    </row>
    <row r="485" spans="1:4" x14ac:dyDescent="0.2">
      <c r="A485" s="659" t="s">
        <v>654</v>
      </c>
      <c r="B485" s="658" t="s">
        <v>13</v>
      </c>
      <c r="C485" s="657">
        <v>12.1</v>
      </c>
      <c r="D485" s="657">
        <f t="shared" ref="D485:D496" ca="1" si="0">SUMIF($A$470:$C$2605,A485,$C$470:$C$2605)</f>
        <v>241.99999999999991</v>
      </c>
    </row>
    <row r="486" spans="1:4" x14ac:dyDescent="0.2">
      <c r="A486" s="666" t="s">
        <v>653</v>
      </c>
      <c r="B486" s="665" t="s">
        <v>13</v>
      </c>
      <c r="C486" s="664">
        <v>6.98</v>
      </c>
      <c r="D486" s="664">
        <f t="shared" ca="1" si="0"/>
        <v>139.60000000000005</v>
      </c>
    </row>
    <row r="487" spans="1:4" x14ac:dyDescent="0.2">
      <c r="A487" s="659" t="s">
        <v>603</v>
      </c>
      <c r="B487" s="658" t="s">
        <v>13</v>
      </c>
      <c r="C487" s="657">
        <v>3.31</v>
      </c>
      <c r="D487" s="657">
        <f t="shared" ca="1" si="0"/>
        <v>66.200000000000017</v>
      </c>
    </row>
    <row r="488" spans="1:4" x14ac:dyDescent="0.2">
      <c r="A488" s="666" t="s">
        <v>602</v>
      </c>
      <c r="B488" s="665" t="s">
        <v>13</v>
      </c>
      <c r="C488" s="664">
        <v>6.44</v>
      </c>
      <c r="D488" s="664">
        <f t="shared" ca="1" si="0"/>
        <v>128.79999999999998</v>
      </c>
    </row>
    <row r="489" spans="1:4" x14ac:dyDescent="0.2">
      <c r="A489" s="659" t="s">
        <v>652</v>
      </c>
      <c r="B489" s="658" t="s">
        <v>13</v>
      </c>
      <c r="C489" s="657">
        <v>36.83</v>
      </c>
      <c r="D489" s="657">
        <f t="shared" ca="1" si="0"/>
        <v>736.60000000000014</v>
      </c>
    </row>
    <row r="490" spans="1:4" x14ac:dyDescent="0.2">
      <c r="A490" s="666" t="s">
        <v>651</v>
      </c>
      <c r="B490" s="665" t="s">
        <v>13</v>
      </c>
      <c r="C490" s="664">
        <v>17.95</v>
      </c>
      <c r="D490" s="664">
        <f t="shared" ca="1" si="0"/>
        <v>358.99999999999989</v>
      </c>
    </row>
    <row r="491" spans="1:4" x14ac:dyDescent="0.2">
      <c r="A491" s="659" t="s">
        <v>650</v>
      </c>
      <c r="B491" s="658" t="s">
        <v>13</v>
      </c>
      <c r="C491" s="657">
        <v>22.97</v>
      </c>
      <c r="D491" s="657">
        <f t="shared" ca="1" si="0"/>
        <v>459.4000000000002</v>
      </c>
    </row>
    <row r="492" spans="1:4" x14ac:dyDescent="0.2">
      <c r="A492" s="666" t="s">
        <v>649</v>
      </c>
      <c r="B492" s="665" t="s">
        <v>13</v>
      </c>
      <c r="C492" s="664">
        <v>5.43</v>
      </c>
      <c r="D492" s="664">
        <f t="shared" ca="1" si="0"/>
        <v>108.60000000000005</v>
      </c>
    </row>
    <row r="493" spans="1:4" x14ac:dyDescent="0.2">
      <c r="A493" s="659" t="s">
        <v>648</v>
      </c>
      <c r="B493" s="658" t="s">
        <v>13</v>
      </c>
      <c r="C493" s="657">
        <v>10.6</v>
      </c>
      <c r="D493" s="657">
        <f t="shared" ca="1" si="0"/>
        <v>211.99999999999994</v>
      </c>
    </row>
    <row r="494" spans="1:4" x14ac:dyDescent="0.2">
      <c r="A494" s="666" t="s">
        <v>647</v>
      </c>
      <c r="B494" s="665" t="s">
        <v>13</v>
      </c>
      <c r="C494" s="664">
        <v>6.95</v>
      </c>
      <c r="D494" s="664">
        <f t="shared" ca="1" si="0"/>
        <v>139.00000000000003</v>
      </c>
    </row>
    <row r="495" spans="1:4" x14ac:dyDescent="0.2">
      <c r="A495" s="659" t="s">
        <v>646</v>
      </c>
      <c r="B495" s="658" t="s">
        <v>13</v>
      </c>
      <c r="C495" s="657">
        <v>9.51</v>
      </c>
      <c r="D495" s="657">
        <f t="shared" ca="1" si="0"/>
        <v>190.19999999999996</v>
      </c>
    </row>
    <row r="496" spans="1:4" x14ac:dyDescent="0.2">
      <c r="A496" s="666" t="s">
        <v>645</v>
      </c>
      <c r="B496" s="665" t="s">
        <v>13</v>
      </c>
      <c r="C496" s="664">
        <v>2.99</v>
      </c>
      <c r="D496" s="664">
        <f t="shared" ca="1" si="0"/>
        <v>59.800000000000026</v>
      </c>
    </row>
    <row r="497" spans="1:4" x14ac:dyDescent="0.2">
      <c r="A497" s="662" t="s">
        <v>220</v>
      </c>
      <c r="B497" s="661"/>
      <c r="C497" s="660"/>
      <c r="D497" s="660"/>
    </row>
    <row r="498" spans="1:4" x14ac:dyDescent="0.2">
      <c r="A498" s="659" t="s">
        <v>599</v>
      </c>
      <c r="B498" s="658" t="s">
        <v>13</v>
      </c>
      <c r="C498" s="657">
        <v>197.73</v>
      </c>
      <c r="D498" s="657">
        <f ca="1">SUMIF($A$470:$C$2605,A498,$C$470:$C$2605)</f>
        <v>3955.39</v>
      </c>
    </row>
    <row r="499" spans="1:4" x14ac:dyDescent="0.2">
      <c r="A499" s="666" t="s">
        <v>644</v>
      </c>
      <c r="B499" s="665" t="s">
        <v>13</v>
      </c>
      <c r="C499" s="664">
        <v>7.88</v>
      </c>
      <c r="D499" s="664">
        <f ca="1">SUMIF($A$470:$C$2605,A499,$C$470:$C$2605)</f>
        <v>157.59999999999997</v>
      </c>
    </row>
    <row r="500" spans="1:4" ht="25.5" x14ac:dyDescent="0.2">
      <c r="A500" s="659" t="s">
        <v>643</v>
      </c>
      <c r="B500" s="658" t="s">
        <v>13</v>
      </c>
      <c r="C500" s="657">
        <v>2.82</v>
      </c>
      <c r="D500" s="657">
        <f ca="1">SUMIF($A$470:$C$2605,A500,$C$470:$C$2605)</f>
        <v>56.4</v>
      </c>
    </row>
    <row r="501" spans="1:4" x14ac:dyDescent="0.2">
      <c r="A501" s="662" t="s">
        <v>598</v>
      </c>
      <c r="B501" s="661"/>
      <c r="C501" s="660"/>
      <c r="D501" s="660"/>
    </row>
    <row r="502" spans="1:4" x14ac:dyDescent="0.2">
      <c r="A502" s="666" t="s">
        <v>642</v>
      </c>
      <c r="B502" s="665" t="s">
        <v>13</v>
      </c>
      <c r="C502" s="664">
        <v>5.27</v>
      </c>
      <c r="D502" s="664">
        <f ca="1">SUMIF($A$470:$C$2605,A502,$C$470:$C$2605)</f>
        <v>105.39999999999995</v>
      </c>
    </row>
    <row r="503" spans="1:4" x14ac:dyDescent="0.2">
      <c r="A503" s="662" t="s">
        <v>576</v>
      </c>
      <c r="B503" s="661"/>
      <c r="C503" s="660"/>
      <c r="D503" s="660"/>
    </row>
    <row r="504" spans="1:4" x14ac:dyDescent="0.2">
      <c r="A504" s="659" t="s">
        <v>575</v>
      </c>
      <c r="B504" s="658" t="s">
        <v>13</v>
      </c>
      <c r="C504" s="657">
        <v>546.54</v>
      </c>
      <c r="D504" s="657">
        <f ca="1">SUMIF($A$470:$C$2605,A504,$C$470:$C$2605)</f>
        <v>10930.11</v>
      </c>
    </row>
    <row r="505" spans="1:4" x14ac:dyDescent="0.2">
      <c r="A505" s="666" t="s">
        <v>574</v>
      </c>
      <c r="B505" s="665" t="s">
        <v>13</v>
      </c>
      <c r="C505" s="664">
        <v>153.63999999999999</v>
      </c>
      <c r="D505" s="664">
        <f ca="1">SUMIF($A$470:$C$2605,A505,$C$470:$C$2605)</f>
        <v>3073.6199999999994</v>
      </c>
    </row>
    <row r="506" spans="1:4" x14ac:dyDescent="0.2">
      <c r="A506" s="662" t="s">
        <v>573</v>
      </c>
      <c r="B506" s="661"/>
      <c r="C506" s="660"/>
      <c r="D506" s="660"/>
    </row>
    <row r="507" spans="1:4" x14ac:dyDescent="0.2">
      <c r="A507" s="659" t="s">
        <v>572</v>
      </c>
      <c r="B507" s="658" t="s">
        <v>13</v>
      </c>
      <c r="C507" s="657">
        <v>700.18</v>
      </c>
      <c r="D507" s="657">
        <f ca="1">SUMIF($A$470:$C$2605,A507,$C$470:$C$2605)</f>
        <v>14003.720000000003</v>
      </c>
    </row>
    <row r="508" spans="1:4" x14ac:dyDescent="0.2">
      <c r="A508" s="662" t="s">
        <v>224</v>
      </c>
      <c r="B508" s="661"/>
      <c r="C508" s="660"/>
      <c r="D508" s="660"/>
    </row>
    <row r="509" spans="1:4" x14ac:dyDescent="0.2">
      <c r="A509" s="666" t="s">
        <v>571</v>
      </c>
      <c r="B509" s="665" t="s">
        <v>13</v>
      </c>
      <c r="C509" s="664">
        <v>45.24</v>
      </c>
      <c r="D509" s="664">
        <f ca="1">SUMIF($A$470:$C$2605,A509,$C$470:$C$2605)</f>
        <v>904.80000000000007</v>
      </c>
    </row>
    <row r="510" spans="1:4" x14ac:dyDescent="0.2">
      <c r="A510" s="662" t="s">
        <v>218</v>
      </c>
      <c r="B510" s="661"/>
      <c r="C510" s="660"/>
      <c r="D510" s="660"/>
    </row>
    <row r="511" spans="1:4" x14ac:dyDescent="0.2">
      <c r="A511" s="659" t="s">
        <v>570</v>
      </c>
      <c r="B511" s="658" t="s">
        <v>13</v>
      </c>
      <c r="C511" s="657">
        <v>37.35</v>
      </c>
      <c r="D511" s="657">
        <f ca="1">SUMIF($A$470:$C$2605,A511,$C$470:$C$2605)</f>
        <v>747.00000000000023</v>
      </c>
    </row>
    <row r="512" spans="1:4" x14ac:dyDescent="0.2">
      <c r="A512" s="662" t="s">
        <v>219</v>
      </c>
      <c r="B512" s="661"/>
      <c r="C512" s="660"/>
      <c r="D512" s="660"/>
    </row>
    <row r="513" spans="1:4" x14ac:dyDescent="0.2">
      <c r="A513" s="666" t="s">
        <v>641</v>
      </c>
      <c r="B513" s="665" t="s">
        <v>13</v>
      </c>
      <c r="C513" s="664">
        <v>187.81</v>
      </c>
      <c r="D513" s="664">
        <f ca="1">SUMIF($A$470:$C$2605,A513,$C$470:$C$2605)</f>
        <v>3757.5300000000016</v>
      </c>
    </row>
    <row r="514" spans="1:4" x14ac:dyDescent="0.2">
      <c r="A514" s="662" t="s">
        <v>222</v>
      </c>
      <c r="B514" s="661"/>
      <c r="C514" s="660"/>
      <c r="D514" s="660"/>
    </row>
    <row r="515" spans="1:4" x14ac:dyDescent="0.2">
      <c r="A515" s="659" t="s">
        <v>640</v>
      </c>
      <c r="B515" s="658" t="s">
        <v>13</v>
      </c>
      <c r="C515" s="657">
        <v>93.11</v>
      </c>
      <c r="D515" s="657">
        <f ca="1">SUMIF($A$470:$C$2605,A515,$C$470:$C$2605)</f>
        <v>1862.2199999999991</v>
      </c>
    </row>
    <row r="516" spans="1:4" x14ac:dyDescent="0.2">
      <c r="A516" s="666" t="s">
        <v>639</v>
      </c>
      <c r="B516" s="665" t="s">
        <v>13</v>
      </c>
      <c r="C516" s="664">
        <v>23.3</v>
      </c>
      <c r="D516" s="664">
        <f ca="1">SUMIF($A$470:$C$2605,A516,$C$470:$C$2605)</f>
        <v>467.51999999999992</v>
      </c>
    </row>
    <row r="517" spans="1:4" x14ac:dyDescent="0.2">
      <c r="A517" s="659" t="s">
        <v>638</v>
      </c>
      <c r="B517" s="658" t="s">
        <v>13</v>
      </c>
      <c r="C517" s="657">
        <v>8.48</v>
      </c>
      <c r="D517" s="657">
        <f ca="1">SUMIF($A$470:$C$2605,A517,$C$470:$C$2605)</f>
        <v>169.6</v>
      </c>
    </row>
    <row r="518" spans="1:4" x14ac:dyDescent="0.2">
      <c r="A518" s="662" t="s">
        <v>637</v>
      </c>
      <c r="B518" s="661"/>
      <c r="C518" s="660"/>
      <c r="D518" s="660"/>
    </row>
    <row r="519" spans="1:4" x14ac:dyDescent="0.2">
      <c r="A519" s="666" t="s">
        <v>636</v>
      </c>
      <c r="B519" s="665" t="s">
        <v>13</v>
      </c>
      <c r="C519" s="664">
        <v>63.72</v>
      </c>
      <c r="D519" s="664">
        <f ca="1">SUMIF($A$470:$C$2605,A519,$C$470:$C$2605)</f>
        <v>1273.8300000000006</v>
      </c>
    </row>
    <row r="520" spans="1:4" x14ac:dyDescent="0.2">
      <c r="A520" s="662" t="s">
        <v>635</v>
      </c>
      <c r="B520" s="661"/>
      <c r="C520" s="660"/>
      <c r="D520" s="660"/>
    </row>
    <row r="521" spans="1:4" x14ac:dyDescent="0.2">
      <c r="A521" s="659" t="s">
        <v>634</v>
      </c>
      <c r="B521" s="658" t="s">
        <v>3</v>
      </c>
      <c r="C521" s="657">
        <v>158.85</v>
      </c>
      <c r="D521" s="657">
        <f ca="1">SUMIF($A$470:$C$2605,A521,$C$470:$C$2605)</f>
        <v>3176.9999999999991</v>
      </c>
    </row>
    <row r="522" spans="1:4" x14ac:dyDescent="0.2">
      <c r="A522" s="662" t="s">
        <v>346</v>
      </c>
      <c r="B522" s="661"/>
      <c r="C522" s="660"/>
      <c r="D522" s="660"/>
    </row>
    <row r="523" spans="1:4" x14ac:dyDescent="0.2">
      <c r="A523" s="666" t="s">
        <v>633</v>
      </c>
      <c r="B523" s="665" t="s">
        <v>13</v>
      </c>
      <c r="C523" s="664">
        <v>0.85</v>
      </c>
      <c r="D523" s="664">
        <f ca="1">SUMIF($A$470:$C$2605,A523,$C$470:$C$2605)</f>
        <v>16.999999999999996</v>
      </c>
    </row>
    <row r="524" spans="1:4" x14ac:dyDescent="0.2">
      <c r="A524" s="662" t="s">
        <v>217</v>
      </c>
      <c r="B524" s="661"/>
      <c r="C524" s="660"/>
      <c r="D524" s="660"/>
    </row>
    <row r="525" spans="1:4" x14ac:dyDescent="0.2">
      <c r="A525" s="659" t="s">
        <v>632</v>
      </c>
      <c r="B525" s="658" t="s">
        <v>13</v>
      </c>
      <c r="C525" s="657">
        <v>4.21</v>
      </c>
      <c r="D525" s="657">
        <f ca="1">SUMIF($A$470:$C$2605,A525,$C$470:$C$2605)</f>
        <v>65.010000000000019</v>
      </c>
    </row>
    <row r="526" spans="1:4" x14ac:dyDescent="0.2">
      <c r="A526" s="662" t="s">
        <v>215</v>
      </c>
      <c r="B526" s="661"/>
      <c r="C526" s="660"/>
      <c r="D526" s="660"/>
    </row>
    <row r="527" spans="1:4" x14ac:dyDescent="0.2">
      <c r="A527" s="666" t="s">
        <v>631</v>
      </c>
      <c r="B527" s="665" t="s">
        <v>13</v>
      </c>
      <c r="C527" s="664">
        <v>58.23</v>
      </c>
      <c r="D527" s="664">
        <f ca="1">SUMIF($A$470:$C$2605,A527,$C$470:$C$2605)</f>
        <v>1164.7200000000003</v>
      </c>
    </row>
    <row r="528" spans="1:4" x14ac:dyDescent="0.2">
      <c r="A528" s="659" t="s">
        <v>630</v>
      </c>
      <c r="B528" s="658" t="s">
        <v>13</v>
      </c>
      <c r="C528" s="657">
        <v>109.99</v>
      </c>
      <c r="D528" s="657">
        <f ca="1">SUMIF($A$470:$C$2605,A528,$C$470:$C$2605)</f>
        <v>2161.9899999999998</v>
      </c>
    </row>
    <row r="529" spans="1:4" x14ac:dyDescent="0.2">
      <c r="A529" s="662" t="s">
        <v>231</v>
      </c>
      <c r="B529" s="661"/>
      <c r="C529" s="660"/>
      <c r="D529" s="660"/>
    </row>
    <row r="530" spans="1:4" x14ac:dyDescent="0.2">
      <c r="A530" s="666" t="s">
        <v>595</v>
      </c>
      <c r="B530" s="665" t="s">
        <v>13</v>
      </c>
      <c r="C530" s="664">
        <v>6.72</v>
      </c>
      <c r="D530" s="664">
        <f ca="1">SUMIF($A$470:$C$2605,A530,$C$470:$C$2605)</f>
        <v>134.4</v>
      </c>
    </row>
    <row r="531" spans="1:4" x14ac:dyDescent="0.2">
      <c r="A531" s="659" t="s">
        <v>629</v>
      </c>
      <c r="B531" s="658" t="s">
        <v>13</v>
      </c>
      <c r="C531" s="657">
        <v>7.88</v>
      </c>
      <c r="D531" s="657">
        <f ca="1">SUMIF($A$470:$C$2605,A531,$C$470:$C$2605)</f>
        <v>157.59999999999997</v>
      </c>
    </row>
    <row r="532" spans="1:4" x14ac:dyDescent="0.2">
      <c r="A532" s="666" t="s">
        <v>594</v>
      </c>
      <c r="B532" s="665" t="s">
        <v>13</v>
      </c>
      <c r="C532" s="664">
        <v>17.21</v>
      </c>
      <c r="D532" s="664">
        <f ca="1">SUMIF($A$470:$C$2605,A532,$C$470:$C$2605)</f>
        <v>344.2</v>
      </c>
    </row>
    <row r="533" spans="1:4" x14ac:dyDescent="0.2">
      <c r="A533" s="662" t="s">
        <v>569</v>
      </c>
      <c r="B533" s="661"/>
      <c r="C533" s="660"/>
      <c r="D533" s="660"/>
    </row>
    <row r="534" spans="1:4" x14ac:dyDescent="0.2">
      <c r="A534" s="659" t="s">
        <v>628</v>
      </c>
      <c r="B534" s="658" t="s">
        <v>13</v>
      </c>
      <c r="C534" s="657">
        <v>31.33</v>
      </c>
      <c r="D534" s="657">
        <f ca="1">SUMIF($A$470:$C$2605,A534,$C$470:$C$2605)</f>
        <v>626.59999999999991</v>
      </c>
    </row>
    <row r="535" spans="1:4" x14ac:dyDescent="0.2">
      <c r="A535" s="666" t="s">
        <v>627</v>
      </c>
      <c r="B535" s="665" t="s">
        <v>13</v>
      </c>
      <c r="C535" s="664">
        <v>421.72</v>
      </c>
      <c r="D535" s="664">
        <f ca="1">SUMIF($A$470:$C$2605,A535,$C$470:$C$2605)</f>
        <v>8416.5399999999972</v>
      </c>
    </row>
    <row r="536" spans="1:4" x14ac:dyDescent="0.2">
      <c r="A536" s="659" t="s">
        <v>592</v>
      </c>
      <c r="B536" s="658" t="s">
        <v>13</v>
      </c>
      <c r="C536" s="657">
        <v>78.91</v>
      </c>
      <c r="D536" s="657">
        <f ca="1">SUMIF($A$470:$C$2605,A536,$C$470:$C$2605)</f>
        <v>1578.2000000000003</v>
      </c>
    </row>
    <row r="537" spans="1:4" x14ac:dyDescent="0.2">
      <c r="A537" s="662" t="s">
        <v>567</v>
      </c>
      <c r="B537" s="661"/>
      <c r="C537" s="660"/>
      <c r="D537" s="660"/>
    </row>
    <row r="538" spans="1:4" x14ac:dyDescent="0.2">
      <c r="A538" s="666" t="s">
        <v>566</v>
      </c>
      <c r="B538" s="665" t="s">
        <v>13</v>
      </c>
      <c r="C538" s="664">
        <v>225.16</v>
      </c>
      <c r="D538" s="664">
        <f ca="1">SUMIF($A$470:$C$2605,A538,$C$470:$C$2605)</f>
        <v>4504.53</v>
      </c>
    </row>
    <row r="539" spans="1:4" x14ac:dyDescent="0.2">
      <c r="A539" s="662" t="s">
        <v>235</v>
      </c>
      <c r="B539" s="661"/>
      <c r="C539" s="660"/>
      <c r="D539" s="660"/>
    </row>
    <row r="540" spans="1:4" x14ac:dyDescent="0.2">
      <c r="A540" s="659" t="s">
        <v>554</v>
      </c>
      <c r="B540" s="658" t="s">
        <v>3</v>
      </c>
      <c r="C540" s="657">
        <v>108.4</v>
      </c>
      <c r="D540" s="657">
        <f ca="1">SUMIF($A$470:$C$2605,A540,$C$470:$C$2605)</f>
        <v>2168.0000000000009</v>
      </c>
    </row>
    <row r="541" spans="1:4" x14ac:dyDescent="0.2">
      <c r="A541" s="662" t="s">
        <v>236</v>
      </c>
      <c r="B541" s="661"/>
      <c r="C541" s="660"/>
      <c r="D541" s="660"/>
    </row>
    <row r="542" spans="1:4" x14ac:dyDescent="0.2">
      <c r="A542" s="666" t="s">
        <v>591</v>
      </c>
      <c r="B542" s="665" t="s">
        <v>13</v>
      </c>
      <c r="C542" s="664">
        <v>1.04</v>
      </c>
      <c r="D542" s="664">
        <f t="shared" ref="D542:D555" ca="1" si="1">SUMIF($A$470:$C$2605,A542,$C$470:$C$2605)</f>
        <v>20.79999999999999</v>
      </c>
    </row>
    <row r="543" spans="1:4" x14ac:dyDescent="0.2">
      <c r="A543" s="659" t="s">
        <v>590</v>
      </c>
      <c r="B543" s="658" t="s">
        <v>13</v>
      </c>
      <c r="C543" s="657">
        <v>1.04</v>
      </c>
      <c r="D543" s="657">
        <f t="shared" ca="1" si="1"/>
        <v>20.79999999999999</v>
      </c>
    </row>
    <row r="544" spans="1:4" x14ac:dyDescent="0.2">
      <c r="A544" s="666" t="s">
        <v>625</v>
      </c>
      <c r="B544" s="665" t="s">
        <v>13</v>
      </c>
      <c r="C544" s="664">
        <v>2.25</v>
      </c>
      <c r="D544" s="664">
        <f t="shared" ca="1" si="1"/>
        <v>45</v>
      </c>
    </row>
    <row r="545" spans="1:4" x14ac:dyDescent="0.2">
      <c r="A545" s="659" t="s">
        <v>624</v>
      </c>
      <c r="B545" s="658" t="s">
        <v>13</v>
      </c>
      <c r="C545" s="657">
        <v>8.86</v>
      </c>
      <c r="D545" s="657">
        <f t="shared" ca="1" si="1"/>
        <v>177.20000000000005</v>
      </c>
    </row>
    <row r="546" spans="1:4" x14ac:dyDescent="0.2">
      <c r="A546" s="666" t="s">
        <v>623</v>
      </c>
      <c r="B546" s="665" t="s">
        <v>3</v>
      </c>
      <c r="C546" s="664">
        <v>2.5</v>
      </c>
      <c r="D546" s="664">
        <f t="shared" ca="1" si="1"/>
        <v>50</v>
      </c>
    </row>
    <row r="547" spans="1:4" x14ac:dyDescent="0.2">
      <c r="A547" s="659" t="s">
        <v>622</v>
      </c>
      <c r="B547" s="658" t="s">
        <v>3</v>
      </c>
      <c r="C547" s="657">
        <v>7.4</v>
      </c>
      <c r="D547" s="657">
        <f t="shared" ca="1" si="1"/>
        <v>148.00000000000006</v>
      </c>
    </row>
    <row r="548" spans="1:4" x14ac:dyDescent="0.2">
      <c r="A548" s="666" t="s">
        <v>621</v>
      </c>
      <c r="B548" s="665" t="s">
        <v>13</v>
      </c>
      <c r="C548" s="664">
        <v>0.36</v>
      </c>
      <c r="D548" s="664">
        <f t="shared" ca="1" si="1"/>
        <v>7.200000000000002</v>
      </c>
    </row>
    <row r="549" spans="1:4" x14ac:dyDescent="0.2">
      <c r="A549" s="659" t="s">
        <v>620</v>
      </c>
      <c r="B549" s="658" t="s">
        <v>13</v>
      </c>
      <c r="C549" s="657">
        <v>1.18</v>
      </c>
      <c r="D549" s="657">
        <f t="shared" ca="1" si="1"/>
        <v>23.599999999999998</v>
      </c>
    </row>
    <row r="550" spans="1:4" x14ac:dyDescent="0.2">
      <c r="A550" s="666" t="s">
        <v>619</v>
      </c>
      <c r="B550" s="665" t="s">
        <v>13</v>
      </c>
      <c r="C550" s="664">
        <v>4.03</v>
      </c>
      <c r="D550" s="664">
        <f t="shared" ca="1" si="1"/>
        <v>80.600000000000009</v>
      </c>
    </row>
    <row r="551" spans="1:4" x14ac:dyDescent="0.2">
      <c r="A551" s="659" t="s">
        <v>618</v>
      </c>
      <c r="B551" s="658" t="s">
        <v>13</v>
      </c>
      <c r="C551" s="657">
        <v>11.09</v>
      </c>
      <c r="D551" s="657">
        <f t="shared" ca="1" si="1"/>
        <v>221.80000000000004</v>
      </c>
    </row>
    <row r="552" spans="1:4" x14ac:dyDescent="0.2">
      <c r="A552" s="666" t="s">
        <v>617</v>
      </c>
      <c r="B552" s="665" t="s">
        <v>13</v>
      </c>
      <c r="C552" s="664">
        <v>0.05</v>
      </c>
      <c r="D552" s="664">
        <f t="shared" ca="1" si="1"/>
        <v>1.0000000000000002</v>
      </c>
    </row>
    <row r="553" spans="1:4" x14ac:dyDescent="0.2">
      <c r="A553" s="659" t="s">
        <v>616</v>
      </c>
      <c r="B553" s="658" t="s">
        <v>13</v>
      </c>
      <c r="C553" s="657">
        <v>0.89</v>
      </c>
      <c r="D553" s="657">
        <f t="shared" ca="1" si="1"/>
        <v>17.800000000000004</v>
      </c>
    </row>
    <row r="554" spans="1:4" x14ac:dyDescent="0.2">
      <c r="A554" s="666" t="s">
        <v>615</v>
      </c>
      <c r="B554" s="665" t="s">
        <v>13</v>
      </c>
      <c r="C554" s="664">
        <v>0.02</v>
      </c>
      <c r="D554" s="664">
        <f t="shared" ca="1" si="1"/>
        <v>0.40000000000000008</v>
      </c>
    </row>
    <row r="555" spans="1:4" x14ac:dyDescent="0.2">
      <c r="A555" s="659" t="s">
        <v>614</v>
      </c>
      <c r="B555" s="658" t="s">
        <v>13</v>
      </c>
      <c r="C555" s="657">
        <v>0.38</v>
      </c>
      <c r="D555" s="657">
        <f t="shared" ca="1" si="1"/>
        <v>7.5999999999999988</v>
      </c>
    </row>
    <row r="556" spans="1:4" x14ac:dyDescent="0.2">
      <c r="A556" s="662" t="s">
        <v>240</v>
      </c>
      <c r="B556" s="661"/>
      <c r="C556" s="660"/>
      <c r="D556" s="660"/>
    </row>
    <row r="557" spans="1:4" x14ac:dyDescent="0.2">
      <c r="A557" s="666" t="s">
        <v>613</v>
      </c>
      <c r="B557" s="665" t="s">
        <v>3</v>
      </c>
      <c r="C557" s="664">
        <v>14.53</v>
      </c>
      <c r="D557" s="664">
        <f ca="1">SUMIF($A$470:$C$2605,A557,$C$470:$C$2605)</f>
        <v>290.59999999999991</v>
      </c>
    </row>
    <row r="558" spans="1:4" x14ac:dyDescent="0.2">
      <c r="A558" s="659" t="s">
        <v>612</v>
      </c>
      <c r="B558" s="658" t="s">
        <v>2</v>
      </c>
      <c r="C558" s="657">
        <v>8</v>
      </c>
      <c r="D558" s="657">
        <f ca="1">SUMIF($A$470:$C$2605,A558,$C$470:$C$2605)</f>
        <v>160</v>
      </c>
    </row>
    <row r="559" spans="1:4" x14ac:dyDescent="0.2">
      <c r="A559" s="666" t="s">
        <v>611</v>
      </c>
      <c r="B559" s="665" t="s">
        <v>2</v>
      </c>
      <c r="C559" s="664">
        <v>6</v>
      </c>
      <c r="D559" s="664">
        <f ca="1">SUMIF($A$470:$C$2605,A559,$C$470:$C$2605)</f>
        <v>120</v>
      </c>
    </row>
    <row r="560" spans="1:4" x14ac:dyDescent="0.2">
      <c r="A560" s="659" t="s">
        <v>610</v>
      </c>
      <c r="B560" s="658" t="s">
        <v>2</v>
      </c>
      <c r="C560" s="657">
        <v>3</v>
      </c>
      <c r="D560" s="657">
        <f ca="1">SUMIF($A$470:$C$2605,A560,$C$470:$C$2605)</f>
        <v>60</v>
      </c>
    </row>
    <row r="561" spans="1:4" x14ac:dyDescent="0.2">
      <c r="A561" s="662" t="s">
        <v>244</v>
      </c>
      <c r="B561" s="661"/>
      <c r="C561" s="660"/>
      <c r="D561" s="660"/>
    </row>
    <row r="562" spans="1:4" x14ac:dyDescent="0.2">
      <c r="A562" s="666" t="s">
        <v>586</v>
      </c>
      <c r="B562" s="665" t="s">
        <v>2</v>
      </c>
      <c r="C562" s="664">
        <v>1</v>
      </c>
      <c r="D562" s="664">
        <f ca="1">SUMIF($A$470:$C$2605,A562,$C$470:$C$2605)</f>
        <v>20</v>
      </c>
    </row>
    <row r="563" spans="1:4" x14ac:dyDescent="0.2">
      <c r="A563" s="659" t="s">
        <v>585</v>
      </c>
      <c r="B563" s="658" t="s">
        <v>2</v>
      </c>
      <c r="C563" s="657">
        <v>1</v>
      </c>
      <c r="D563" s="657">
        <f ca="1">SUMIF($A$470:$C$2605,A563,$C$470:$C$2605)</f>
        <v>20</v>
      </c>
    </row>
    <row r="564" spans="1:4" x14ac:dyDescent="0.2">
      <c r="A564" s="666" t="s">
        <v>609</v>
      </c>
      <c r="B564" s="665" t="s">
        <v>2</v>
      </c>
      <c r="C564" s="664">
        <v>2</v>
      </c>
      <c r="D564" s="664">
        <f ca="1">SUMIF($A$470:$C$2605,A564,$C$470:$C$2605)</f>
        <v>40</v>
      </c>
    </row>
    <row r="565" spans="1:4" x14ac:dyDescent="0.2">
      <c r="A565" s="662" t="s">
        <v>552</v>
      </c>
      <c r="B565" s="661"/>
      <c r="C565" s="660"/>
      <c r="D565" s="660"/>
    </row>
    <row r="566" spans="1:4" x14ac:dyDescent="0.2">
      <c r="A566" s="659" t="s">
        <v>551</v>
      </c>
      <c r="B566" s="658" t="s">
        <v>13</v>
      </c>
      <c r="C566" s="657">
        <v>89.87</v>
      </c>
      <c r="D566" s="657">
        <f ca="1">SUMIF($A$470:$C$2605,A566,$C$470:$C$2605)</f>
        <v>1779.2099999999996</v>
      </c>
    </row>
    <row r="567" spans="1:4" x14ac:dyDescent="0.2">
      <c r="A567" s="666" t="s">
        <v>565</v>
      </c>
      <c r="B567" s="665" t="s">
        <v>13</v>
      </c>
      <c r="C567" s="664">
        <v>82.74</v>
      </c>
      <c r="D567" s="664">
        <f ca="1">SUMIF($A$470:$C$2605,A567,$C$470:$C$2605)</f>
        <v>1654.8</v>
      </c>
    </row>
    <row r="568" spans="1:4" x14ac:dyDescent="0.2">
      <c r="A568" s="662" t="s">
        <v>550</v>
      </c>
      <c r="B568" s="661"/>
      <c r="C568" s="660"/>
      <c r="D568" s="660"/>
    </row>
    <row r="569" spans="1:4" x14ac:dyDescent="0.2">
      <c r="A569" s="659" t="s">
        <v>549</v>
      </c>
      <c r="B569" s="658" t="s">
        <v>13</v>
      </c>
      <c r="C569" s="657">
        <v>172.6</v>
      </c>
      <c r="D569" s="657">
        <f ca="1">SUMIF($A$470:$C$2605,A569,$C$470:$C$2605)</f>
        <v>3433.92</v>
      </c>
    </row>
    <row r="570" spans="1:4" x14ac:dyDescent="0.2">
      <c r="A570" s="662" t="s">
        <v>273</v>
      </c>
      <c r="B570" s="661"/>
      <c r="C570" s="660"/>
      <c r="D570" s="660"/>
    </row>
    <row r="571" spans="1:4" x14ac:dyDescent="0.2">
      <c r="A571" s="666" t="s">
        <v>564</v>
      </c>
      <c r="B571" s="665" t="s">
        <v>13</v>
      </c>
      <c r="C571" s="664">
        <v>77.59</v>
      </c>
      <c r="D571" s="664">
        <f ca="1">SUMIF($A$470:$C$2605,A571,$C$470:$C$2605)</f>
        <v>1551.7999999999997</v>
      </c>
    </row>
    <row r="572" spans="1:4" x14ac:dyDescent="0.2">
      <c r="A572" s="659" t="s">
        <v>608</v>
      </c>
      <c r="B572" s="658" t="s">
        <v>13</v>
      </c>
      <c r="C572" s="657">
        <v>8.0500000000000007</v>
      </c>
      <c r="D572" s="657">
        <f ca="1">SUMIF($A$470:$C$2605,A572,$C$470:$C$2605)</f>
        <v>142.91000000000003</v>
      </c>
    </row>
    <row r="573" spans="1:4" x14ac:dyDescent="0.2">
      <c r="A573" s="666" t="s">
        <v>607</v>
      </c>
      <c r="B573" s="665" t="s">
        <v>13</v>
      </c>
      <c r="C573" s="664">
        <v>5.14</v>
      </c>
      <c r="D573" s="664">
        <f ca="1">SUMIF($A$470:$C$2605,A573,$C$470:$C$2605)</f>
        <v>102.8</v>
      </c>
    </row>
    <row r="574" spans="1:4" x14ac:dyDescent="0.2">
      <c r="A574" s="659" t="s">
        <v>548</v>
      </c>
      <c r="B574" s="658" t="s">
        <v>13</v>
      </c>
      <c r="C574" s="657">
        <v>81.819999999999993</v>
      </c>
      <c r="D574" s="657">
        <f ca="1">SUMIF($A$470:$C$2605,A574,$C$470:$C$2605)</f>
        <v>1636.3999999999992</v>
      </c>
    </row>
    <row r="575" spans="1:4" hidden="1" x14ac:dyDescent="0.2">
      <c r="A575" s="669" t="s">
        <v>675</v>
      </c>
      <c r="B575" s="668"/>
      <c r="C575" s="667"/>
      <c r="D575" s="12"/>
    </row>
    <row r="576" spans="1:4" hidden="1" x14ac:dyDescent="0.2">
      <c r="A576" s="662" t="s">
        <v>208</v>
      </c>
      <c r="B576" s="661"/>
      <c r="C576" s="660"/>
      <c r="D576" s="12"/>
    </row>
    <row r="577" spans="1:4" hidden="1" x14ac:dyDescent="0.2">
      <c r="A577" s="666" t="s">
        <v>656</v>
      </c>
      <c r="B577" s="665" t="s">
        <v>13</v>
      </c>
      <c r="C577" s="664">
        <v>2.63</v>
      </c>
      <c r="D577" s="12"/>
    </row>
    <row r="578" spans="1:4" hidden="1" x14ac:dyDescent="0.2">
      <c r="A578" s="659" t="s">
        <v>562</v>
      </c>
      <c r="B578" s="658" t="s">
        <v>13</v>
      </c>
      <c r="C578" s="657">
        <v>195.56</v>
      </c>
      <c r="D578" s="12"/>
    </row>
    <row r="579" spans="1:4" hidden="1" x14ac:dyDescent="0.2">
      <c r="A579" s="666" t="s">
        <v>581</v>
      </c>
      <c r="B579" s="665" t="s">
        <v>13</v>
      </c>
      <c r="C579" s="664">
        <v>81.08</v>
      </c>
      <c r="D579" s="12"/>
    </row>
    <row r="580" spans="1:4" hidden="1" x14ac:dyDescent="0.2">
      <c r="A580" s="662" t="s">
        <v>376</v>
      </c>
      <c r="B580" s="661"/>
      <c r="C580" s="660"/>
      <c r="D580" s="12"/>
    </row>
    <row r="581" spans="1:4" hidden="1" x14ac:dyDescent="0.2">
      <c r="A581" s="659" t="s">
        <v>655</v>
      </c>
      <c r="B581" s="658" t="s">
        <v>13</v>
      </c>
      <c r="C581" s="657">
        <v>29.07</v>
      </c>
      <c r="D581" s="12"/>
    </row>
    <row r="582" spans="1:4" hidden="1" x14ac:dyDescent="0.2">
      <c r="A582" s="662" t="s">
        <v>605</v>
      </c>
      <c r="B582" s="661"/>
      <c r="C582" s="660"/>
      <c r="D582" s="12"/>
    </row>
    <row r="583" spans="1:4" hidden="1" x14ac:dyDescent="0.2">
      <c r="A583" s="666" t="s">
        <v>604</v>
      </c>
      <c r="B583" s="665" t="s">
        <v>13</v>
      </c>
      <c r="C583" s="664">
        <v>85</v>
      </c>
      <c r="D583" s="12"/>
    </row>
    <row r="584" spans="1:4" hidden="1" x14ac:dyDescent="0.2">
      <c r="A584" s="662" t="s">
        <v>561</v>
      </c>
      <c r="B584" s="661"/>
      <c r="C584" s="660"/>
      <c r="D584" s="12"/>
    </row>
    <row r="585" spans="1:4" hidden="1" x14ac:dyDescent="0.2">
      <c r="A585" s="659" t="s">
        <v>580</v>
      </c>
      <c r="B585" s="658" t="s">
        <v>3</v>
      </c>
      <c r="C585" s="657">
        <v>172.59</v>
      </c>
      <c r="D585" s="12"/>
    </row>
    <row r="586" spans="1:4" hidden="1" x14ac:dyDescent="0.2">
      <c r="A586" s="666" t="s">
        <v>560</v>
      </c>
      <c r="B586" s="665" t="s">
        <v>13</v>
      </c>
      <c r="C586" s="664">
        <v>196.67</v>
      </c>
      <c r="D586" s="12"/>
    </row>
    <row r="587" spans="1:4" hidden="1" x14ac:dyDescent="0.2">
      <c r="A587" s="659" t="s">
        <v>559</v>
      </c>
      <c r="B587" s="658" t="s">
        <v>3</v>
      </c>
      <c r="C587" s="657">
        <v>98</v>
      </c>
      <c r="D587" s="12"/>
    </row>
    <row r="588" spans="1:4" hidden="1" x14ac:dyDescent="0.2">
      <c r="A588" s="662" t="s">
        <v>212</v>
      </c>
      <c r="B588" s="661"/>
      <c r="C588" s="660"/>
      <c r="D588" s="12"/>
    </row>
    <row r="589" spans="1:4" hidden="1" x14ac:dyDescent="0.2">
      <c r="A589" s="666" t="s">
        <v>579</v>
      </c>
      <c r="B589" s="665" t="s">
        <v>13</v>
      </c>
      <c r="C589" s="664">
        <v>43.76</v>
      </c>
      <c r="D589" s="12"/>
    </row>
    <row r="590" spans="1:4" hidden="1" x14ac:dyDescent="0.2">
      <c r="A590" s="662" t="s">
        <v>557</v>
      </c>
      <c r="B590" s="661"/>
      <c r="C590" s="660"/>
      <c r="D590" s="12"/>
    </row>
    <row r="591" spans="1:4" hidden="1" x14ac:dyDescent="0.2">
      <c r="A591" s="659" t="s">
        <v>654</v>
      </c>
      <c r="B591" s="658" t="s">
        <v>13</v>
      </c>
      <c r="C591" s="657">
        <v>12.1</v>
      </c>
      <c r="D591" s="12"/>
    </row>
    <row r="592" spans="1:4" hidden="1" x14ac:dyDescent="0.2">
      <c r="A592" s="666" t="s">
        <v>653</v>
      </c>
      <c r="B592" s="665" t="s">
        <v>13</v>
      </c>
      <c r="C592" s="664">
        <v>6.98</v>
      </c>
      <c r="D592" s="12"/>
    </row>
    <row r="593" spans="1:4" hidden="1" x14ac:dyDescent="0.2">
      <c r="A593" s="659" t="s">
        <v>603</v>
      </c>
      <c r="B593" s="658" t="s">
        <v>13</v>
      </c>
      <c r="C593" s="657">
        <v>3.31</v>
      </c>
      <c r="D593" s="12"/>
    </row>
    <row r="594" spans="1:4" hidden="1" x14ac:dyDescent="0.2">
      <c r="A594" s="666" t="s">
        <v>602</v>
      </c>
      <c r="B594" s="665" t="s">
        <v>13</v>
      </c>
      <c r="C594" s="664">
        <v>6.44</v>
      </c>
      <c r="D594" s="12"/>
    </row>
    <row r="595" spans="1:4" hidden="1" x14ac:dyDescent="0.2">
      <c r="A595" s="659" t="s">
        <v>652</v>
      </c>
      <c r="B595" s="658" t="s">
        <v>13</v>
      </c>
      <c r="C595" s="657">
        <v>36.83</v>
      </c>
      <c r="D595" s="12"/>
    </row>
    <row r="596" spans="1:4" hidden="1" x14ac:dyDescent="0.2">
      <c r="A596" s="666" t="s">
        <v>651</v>
      </c>
      <c r="B596" s="665" t="s">
        <v>13</v>
      </c>
      <c r="C596" s="664">
        <v>17.95</v>
      </c>
      <c r="D596" s="12"/>
    </row>
    <row r="597" spans="1:4" hidden="1" x14ac:dyDescent="0.2">
      <c r="A597" s="659" t="s">
        <v>650</v>
      </c>
      <c r="B597" s="658" t="s">
        <v>13</v>
      </c>
      <c r="C597" s="657">
        <v>22.97</v>
      </c>
      <c r="D597" s="12"/>
    </row>
    <row r="598" spans="1:4" hidden="1" x14ac:dyDescent="0.2">
      <c r="A598" s="666" t="s">
        <v>649</v>
      </c>
      <c r="B598" s="665" t="s">
        <v>13</v>
      </c>
      <c r="C598" s="664">
        <v>5.43</v>
      </c>
      <c r="D598" s="12"/>
    </row>
    <row r="599" spans="1:4" hidden="1" x14ac:dyDescent="0.2">
      <c r="A599" s="659" t="s">
        <v>648</v>
      </c>
      <c r="B599" s="658" t="s">
        <v>13</v>
      </c>
      <c r="C599" s="657">
        <v>10.6</v>
      </c>
      <c r="D599" s="12"/>
    </row>
    <row r="600" spans="1:4" hidden="1" x14ac:dyDescent="0.2">
      <c r="A600" s="666" t="s">
        <v>647</v>
      </c>
      <c r="B600" s="665" t="s">
        <v>13</v>
      </c>
      <c r="C600" s="664">
        <v>6.95</v>
      </c>
      <c r="D600" s="12"/>
    </row>
    <row r="601" spans="1:4" hidden="1" x14ac:dyDescent="0.2">
      <c r="A601" s="659" t="s">
        <v>646</v>
      </c>
      <c r="B601" s="658" t="s">
        <v>13</v>
      </c>
      <c r="C601" s="657">
        <v>9.51</v>
      </c>
      <c r="D601" s="12"/>
    </row>
    <row r="602" spans="1:4" hidden="1" x14ac:dyDescent="0.2">
      <c r="A602" s="666" t="s">
        <v>645</v>
      </c>
      <c r="B602" s="665" t="s">
        <v>13</v>
      </c>
      <c r="C602" s="664">
        <v>2.99</v>
      </c>
      <c r="D602" s="12"/>
    </row>
    <row r="603" spans="1:4" hidden="1" x14ac:dyDescent="0.2">
      <c r="A603" s="662" t="s">
        <v>220</v>
      </c>
      <c r="B603" s="661"/>
      <c r="C603" s="660"/>
      <c r="D603" s="12"/>
    </row>
    <row r="604" spans="1:4" hidden="1" x14ac:dyDescent="0.2">
      <c r="A604" s="659" t="s">
        <v>599</v>
      </c>
      <c r="B604" s="658" t="s">
        <v>13</v>
      </c>
      <c r="C604" s="657">
        <v>197.77</v>
      </c>
      <c r="D604" s="12"/>
    </row>
    <row r="605" spans="1:4" hidden="1" x14ac:dyDescent="0.2">
      <c r="A605" s="666" t="s">
        <v>644</v>
      </c>
      <c r="B605" s="665" t="s">
        <v>13</v>
      </c>
      <c r="C605" s="664">
        <v>7.88</v>
      </c>
      <c r="D605" s="12"/>
    </row>
    <row r="606" spans="1:4" ht="25.5" hidden="1" x14ac:dyDescent="0.2">
      <c r="A606" s="659" t="s">
        <v>643</v>
      </c>
      <c r="B606" s="658" t="s">
        <v>13</v>
      </c>
      <c r="C606" s="657">
        <v>2.82</v>
      </c>
      <c r="D606" s="12"/>
    </row>
    <row r="607" spans="1:4" hidden="1" x14ac:dyDescent="0.2">
      <c r="A607" s="662" t="s">
        <v>598</v>
      </c>
      <c r="B607" s="661"/>
      <c r="C607" s="660"/>
      <c r="D607" s="12"/>
    </row>
    <row r="608" spans="1:4" hidden="1" x14ac:dyDescent="0.2">
      <c r="A608" s="666" t="s">
        <v>642</v>
      </c>
      <c r="B608" s="665" t="s">
        <v>13</v>
      </c>
      <c r="C608" s="664">
        <v>5.27</v>
      </c>
      <c r="D608" s="12"/>
    </row>
    <row r="609" spans="1:4" hidden="1" x14ac:dyDescent="0.2">
      <c r="A609" s="662" t="s">
        <v>576</v>
      </c>
      <c r="B609" s="661"/>
      <c r="C609" s="660"/>
      <c r="D609" s="12"/>
    </row>
    <row r="610" spans="1:4" hidden="1" x14ac:dyDescent="0.2">
      <c r="A610" s="659" t="s">
        <v>575</v>
      </c>
      <c r="B610" s="658" t="s">
        <v>13</v>
      </c>
      <c r="C610" s="657">
        <v>546.5</v>
      </c>
      <c r="D610" s="12"/>
    </row>
    <row r="611" spans="1:4" hidden="1" x14ac:dyDescent="0.2">
      <c r="A611" s="666" t="s">
        <v>574</v>
      </c>
      <c r="B611" s="665" t="s">
        <v>13</v>
      </c>
      <c r="C611" s="664">
        <v>153.68</v>
      </c>
      <c r="D611" s="12"/>
    </row>
    <row r="612" spans="1:4" hidden="1" x14ac:dyDescent="0.2">
      <c r="A612" s="662" t="s">
        <v>573</v>
      </c>
      <c r="B612" s="661"/>
      <c r="C612" s="660"/>
      <c r="D612" s="12"/>
    </row>
    <row r="613" spans="1:4" hidden="1" x14ac:dyDescent="0.2">
      <c r="A613" s="659" t="s">
        <v>572</v>
      </c>
      <c r="B613" s="658" t="s">
        <v>13</v>
      </c>
      <c r="C613" s="657">
        <v>700.18</v>
      </c>
      <c r="D613" s="12"/>
    </row>
    <row r="614" spans="1:4" hidden="1" x14ac:dyDescent="0.2">
      <c r="A614" s="662" t="s">
        <v>224</v>
      </c>
      <c r="B614" s="661"/>
      <c r="C614" s="660"/>
      <c r="D614" s="12"/>
    </row>
    <row r="615" spans="1:4" hidden="1" x14ac:dyDescent="0.2">
      <c r="A615" s="666" t="s">
        <v>571</v>
      </c>
      <c r="B615" s="665" t="s">
        <v>13</v>
      </c>
      <c r="C615" s="664">
        <v>45.24</v>
      </c>
      <c r="D615" s="12"/>
    </row>
    <row r="616" spans="1:4" hidden="1" x14ac:dyDescent="0.2">
      <c r="A616" s="662" t="s">
        <v>218</v>
      </c>
      <c r="B616" s="661"/>
      <c r="C616" s="660"/>
      <c r="D616" s="12"/>
    </row>
    <row r="617" spans="1:4" hidden="1" x14ac:dyDescent="0.2">
      <c r="A617" s="659" t="s">
        <v>570</v>
      </c>
      <c r="B617" s="658" t="s">
        <v>13</v>
      </c>
      <c r="C617" s="657">
        <v>37.35</v>
      </c>
      <c r="D617" s="12"/>
    </row>
    <row r="618" spans="1:4" hidden="1" x14ac:dyDescent="0.2">
      <c r="A618" s="662" t="s">
        <v>219</v>
      </c>
      <c r="B618" s="661"/>
      <c r="C618" s="660"/>
      <c r="D618" s="12"/>
    </row>
    <row r="619" spans="1:4" hidden="1" x14ac:dyDescent="0.2">
      <c r="A619" s="666" t="s">
        <v>641</v>
      </c>
      <c r="B619" s="665" t="s">
        <v>13</v>
      </c>
      <c r="C619" s="664">
        <v>187.88</v>
      </c>
      <c r="D619" s="12"/>
    </row>
    <row r="620" spans="1:4" hidden="1" x14ac:dyDescent="0.2">
      <c r="A620" s="662" t="s">
        <v>222</v>
      </c>
      <c r="B620" s="661"/>
      <c r="C620" s="660"/>
      <c r="D620" s="12"/>
    </row>
    <row r="621" spans="1:4" hidden="1" x14ac:dyDescent="0.2">
      <c r="A621" s="659" t="s">
        <v>640</v>
      </c>
      <c r="B621" s="658" t="s">
        <v>13</v>
      </c>
      <c r="C621" s="657">
        <v>93.11</v>
      </c>
      <c r="D621" s="12"/>
    </row>
    <row r="622" spans="1:4" hidden="1" x14ac:dyDescent="0.2">
      <c r="A622" s="666" t="s">
        <v>639</v>
      </c>
      <c r="B622" s="665" t="s">
        <v>13</v>
      </c>
      <c r="C622" s="664">
        <v>23.38</v>
      </c>
      <c r="D622" s="12"/>
    </row>
    <row r="623" spans="1:4" hidden="1" x14ac:dyDescent="0.2">
      <c r="A623" s="659" t="s">
        <v>638</v>
      </c>
      <c r="B623" s="658" t="s">
        <v>13</v>
      </c>
      <c r="C623" s="657">
        <v>8.48</v>
      </c>
      <c r="D623" s="12"/>
    </row>
    <row r="624" spans="1:4" hidden="1" x14ac:dyDescent="0.2">
      <c r="A624" s="662" t="s">
        <v>637</v>
      </c>
      <c r="B624" s="661"/>
      <c r="C624" s="660"/>
      <c r="D624" s="12"/>
    </row>
    <row r="625" spans="1:4" hidden="1" x14ac:dyDescent="0.2">
      <c r="A625" s="666" t="s">
        <v>636</v>
      </c>
      <c r="B625" s="665" t="s">
        <v>13</v>
      </c>
      <c r="C625" s="664">
        <v>63.69</v>
      </c>
      <c r="D625" s="12"/>
    </row>
    <row r="626" spans="1:4" hidden="1" x14ac:dyDescent="0.2">
      <c r="A626" s="662" t="s">
        <v>635</v>
      </c>
      <c r="B626" s="661"/>
      <c r="C626" s="660"/>
      <c r="D626" s="12"/>
    </row>
    <row r="627" spans="1:4" hidden="1" x14ac:dyDescent="0.2">
      <c r="A627" s="659" t="s">
        <v>634</v>
      </c>
      <c r="B627" s="658" t="s">
        <v>3</v>
      </c>
      <c r="C627" s="657">
        <v>158.85</v>
      </c>
      <c r="D627" s="12"/>
    </row>
    <row r="628" spans="1:4" hidden="1" x14ac:dyDescent="0.2">
      <c r="A628" s="662" t="s">
        <v>346</v>
      </c>
      <c r="B628" s="661"/>
      <c r="C628" s="660"/>
      <c r="D628" s="12"/>
    </row>
    <row r="629" spans="1:4" hidden="1" x14ac:dyDescent="0.2">
      <c r="A629" s="666" t="s">
        <v>633</v>
      </c>
      <c r="B629" s="665" t="s">
        <v>13</v>
      </c>
      <c r="C629" s="664">
        <v>0.85</v>
      </c>
      <c r="D629" s="12"/>
    </row>
    <row r="630" spans="1:4" hidden="1" x14ac:dyDescent="0.2">
      <c r="A630" s="662" t="s">
        <v>217</v>
      </c>
      <c r="B630" s="661"/>
      <c r="C630" s="660"/>
      <c r="D630" s="12"/>
    </row>
    <row r="631" spans="1:4" hidden="1" x14ac:dyDescent="0.2">
      <c r="A631" s="659" t="s">
        <v>632</v>
      </c>
      <c r="B631" s="658" t="s">
        <v>13</v>
      </c>
      <c r="C631" s="657">
        <v>3.2</v>
      </c>
      <c r="D631" s="12"/>
    </row>
    <row r="632" spans="1:4" hidden="1" x14ac:dyDescent="0.2">
      <c r="A632" s="662" t="s">
        <v>215</v>
      </c>
      <c r="B632" s="661"/>
      <c r="C632" s="660"/>
      <c r="D632" s="12"/>
    </row>
    <row r="633" spans="1:4" hidden="1" x14ac:dyDescent="0.2">
      <c r="A633" s="666" t="s">
        <v>631</v>
      </c>
      <c r="B633" s="665" t="s">
        <v>13</v>
      </c>
      <c r="C633" s="664">
        <v>58.23</v>
      </c>
      <c r="D633" s="12"/>
    </row>
    <row r="634" spans="1:4" hidden="1" x14ac:dyDescent="0.2">
      <c r="A634" s="659" t="s">
        <v>630</v>
      </c>
      <c r="B634" s="658" t="s">
        <v>13</v>
      </c>
      <c r="C634" s="657">
        <v>108</v>
      </c>
      <c r="D634" s="12"/>
    </row>
    <row r="635" spans="1:4" hidden="1" x14ac:dyDescent="0.2">
      <c r="A635" s="662" t="s">
        <v>231</v>
      </c>
      <c r="B635" s="661"/>
      <c r="C635" s="660"/>
      <c r="D635" s="12"/>
    </row>
    <row r="636" spans="1:4" hidden="1" x14ac:dyDescent="0.2">
      <c r="A636" s="666" t="s">
        <v>595</v>
      </c>
      <c r="B636" s="665" t="s">
        <v>13</v>
      </c>
      <c r="C636" s="664">
        <v>6.72</v>
      </c>
      <c r="D636" s="12"/>
    </row>
    <row r="637" spans="1:4" hidden="1" x14ac:dyDescent="0.2">
      <c r="A637" s="659" t="s">
        <v>629</v>
      </c>
      <c r="B637" s="658" t="s">
        <v>13</v>
      </c>
      <c r="C637" s="657">
        <v>7.88</v>
      </c>
      <c r="D637" s="12"/>
    </row>
    <row r="638" spans="1:4" hidden="1" x14ac:dyDescent="0.2">
      <c r="A638" s="666" t="s">
        <v>594</v>
      </c>
      <c r="B638" s="665" t="s">
        <v>13</v>
      </c>
      <c r="C638" s="664">
        <v>17.21</v>
      </c>
      <c r="D638" s="12"/>
    </row>
    <row r="639" spans="1:4" hidden="1" x14ac:dyDescent="0.2">
      <c r="A639" s="662" t="s">
        <v>569</v>
      </c>
      <c r="B639" s="661"/>
      <c r="C639" s="660"/>
      <c r="D639" s="12"/>
    </row>
    <row r="640" spans="1:4" hidden="1" x14ac:dyDescent="0.2">
      <c r="A640" s="659" t="s">
        <v>628</v>
      </c>
      <c r="B640" s="658" t="s">
        <v>13</v>
      </c>
      <c r="C640" s="657">
        <v>31.33</v>
      </c>
      <c r="D640" s="12"/>
    </row>
    <row r="641" spans="1:4" hidden="1" x14ac:dyDescent="0.2">
      <c r="A641" s="666" t="s">
        <v>627</v>
      </c>
      <c r="B641" s="665" t="s">
        <v>13</v>
      </c>
      <c r="C641" s="664">
        <v>420.78</v>
      </c>
      <c r="D641" s="12"/>
    </row>
    <row r="642" spans="1:4" hidden="1" x14ac:dyDescent="0.2">
      <c r="A642" s="659" t="s">
        <v>626</v>
      </c>
      <c r="B642" s="658" t="s">
        <v>13</v>
      </c>
      <c r="C642" s="657">
        <v>2.93</v>
      </c>
      <c r="D642" s="12"/>
    </row>
    <row r="643" spans="1:4" hidden="1" x14ac:dyDescent="0.2">
      <c r="A643" s="666" t="s">
        <v>592</v>
      </c>
      <c r="B643" s="665" t="s">
        <v>13</v>
      </c>
      <c r="C643" s="664">
        <v>78.91</v>
      </c>
      <c r="D643" s="12"/>
    </row>
    <row r="644" spans="1:4" hidden="1" x14ac:dyDescent="0.2">
      <c r="A644" s="662" t="s">
        <v>567</v>
      </c>
      <c r="B644" s="661"/>
      <c r="C644" s="660"/>
      <c r="D644" s="12"/>
    </row>
    <row r="645" spans="1:4" hidden="1" x14ac:dyDescent="0.2">
      <c r="A645" s="659" t="s">
        <v>566</v>
      </c>
      <c r="B645" s="658" t="s">
        <v>13</v>
      </c>
      <c r="C645" s="657">
        <v>225.23</v>
      </c>
      <c r="D645" s="12"/>
    </row>
    <row r="646" spans="1:4" hidden="1" x14ac:dyDescent="0.2">
      <c r="A646" s="662" t="s">
        <v>235</v>
      </c>
      <c r="B646" s="661"/>
      <c r="C646" s="660"/>
      <c r="D646" s="12"/>
    </row>
    <row r="647" spans="1:4" hidden="1" x14ac:dyDescent="0.2">
      <c r="A647" s="666" t="s">
        <v>554</v>
      </c>
      <c r="B647" s="665" t="s">
        <v>3</v>
      </c>
      <c r="C647" s="664">
        <v>108.4</v>
      </c>
      <c r="D647" s="12"/>
    </row>
    <row r="648" spans="1:4" hidden="1" x14ac:dyDescent="0.2">
      <c r="A648" s="662" t="s">
        <v>236</v>
      </c>
      <c r="B648" s="661"/>
      <c r="C648" s="660"/>
      <c r="D648" s="12"/>
    </row>
    <row r="649" spans="1:4" hidden="1" x14ac:dyDescent="0.2">
      <c r="A649" s="659" t="s">
        <v>591</v>
      </c>
      <c r="B649" s="658" t="s">
        <v>13</v>
      </c>
      <c r="C649" s="657">
        <v>1.04</v>
      </c>
      <c r="D649" s="12"/>
    </row>
    <row r="650" spans="1:4" hidden="1" x14ac:dyDescent="0.2">
      <c r="A650" s="666" t="s">
        <v>590</v>
      </c>
      <c r="B650" s="665" t="s">
        <v>13</v>
      </c>
      <c r="C650" s="664">
        <v>1.04</v>
      </c>
      <c r="D650" s="12"/>
    </row>
    <row r="651" spans="1:4" hidden="1" x14ac:dyDescent="0.2">
      <c r="A651" s="659" t="s">
        <v>625</v>
      </c>
      <c r="B651" s="658" t="s">
        <v>13</v>
      </c>
      <c r="C651" s="657">
        <v>2.25</v>
      </c>
      <c r="D651" s="12"/>
    </row>
    <row r="652" spans="1:4" hidden="1" x14ac:dyDescent="0.2">
      <c r="A652" s="666" t="s">
        <v>624</v>
      </c>
      <c r="B652" s="665" t="s">
        <v>13</v>
      </c>
      <c r="C652" s="664">
        <v>8.86</v>
      </c>
      <c r="D652" s="12"/>
    </row>
    <row r="653" spans="1:4" hidden="1" x14ac:dyDescent="0.2">
      <c r="A653" s="659" t="s">
        <v>623</v>
      </c>
      <c r="B653" s="658" t="s">
        <v>3</v>
      </c>
      <c r="C653" s="657">
        <v>2.5</v>
      </c>
      <c r="D653" s="12"/>
    </row>
    <row r="654" spans="1:4" hidden="1" x14ac:dyDescent="0.2">
      <c r="A654" s="666" t="s">
        <v>622</v>
      </c>
      <c r="B654" s="665" t="s">
        <v>3</v>
      </c>
      <c r="C654" s="664">
        <v>7.4</v>
      </c>
      <c r="D654" s="12"/>
    </row>
    <row r="655" spans="1:4" hidden="1" x14ac:dyDescent="0.2">
      <c r="A655" s="659" t="s">
        <v>621</v>
      </c>
      <c r="B655" s="658" t="s">
        <v>13</v>
      </c>
      <c r="C655" s="657">
        <v>0.36</v>
      </c>
      <c r="D655" s="12"/>
    </row>
    <row r="656" spans="1:4" hidden="1" x14ac:dyDescent="0.2">
      <c r="A656" s="666" t="s">
        <v>620</v>
      </c>
      <c r="B656" s="665" t="s">
        <v>13</v>
      </c>
      <c r="C656" s="664">
        <v>1.18</v>
      </c>
      <c r="D656" s="12"/>
    </row>
    <row r="657" spans="1:4" hidden="1" x14ac:dyDescent="0.2">
      <c r="A657" s="659" t="s">
        <v>619</v>
      </c>
      <c r="B657" s="658" t="s">
        <v>13</v>
      </c>
      <c r="C657" s="657">
        <v>4.03</v>
      </c>
      <c r="D657" s="12"/>
    </row>
    <row r="658" spans="1:4" hidden="1" x14ac:dyDescent="0.2">
      <c r="A658" s="666" t="s">
        <v>618</v>
      </c>
      <c r="B658" s="665" t="s">
        <v>13</v>
      </c>
      <c r="C658" s="664">
        <v>11.09</v>
      </c>
      <c r="D658" s="12"/>
    </row>
    <row r="659" spans="1:4" hidden="1" x14ac:dyDescent="0.2">
      <c r="A659" s="659" t="s">
        <v>617</v>
      </c>
      <c r="B659" s="658" t="s">
        <v>13</v>
      </c>
      <c r="C659" s="657">
        <v>0.05</v>
      </c>
      <c r="D659" s="12"/>
    </row>
    <row r="660" spans="1:4" hidden="1" x14ac:dyDescent="0.2">
      <c r="A660" s="666" t="s">
        <v>616</v>
      </c>
      <c r="B660" s="665" t="s">
        <v>13</v>
      </c>
      <c r="C660" s="664">
        <v>0.89</v>
      </c>
      <c r="D660" s="12"/>
    </row>
    <row r="661" spans="1:4" hidden="1" x14ac:dyDescent="0.2">
      <c r="A661" s="659" t="s">
        <v>615</v>
      </c>
      <c r="B661" s="658" t="s">
        <v>13</v>
      </c>
      <c r="C661" s="657">
        <v>0.02</v>
      </c>
      <c r="D661" s="12"/>
    </row>
    <row r="662" spans="1:4" hidden="1" x14ac:dyDescent="0.2">
      <c r="A662" s="666" t="s">
        <v>614</v>
      </c>
      <c r="B662" s="665" t="s">
        <v>13</v>
      </c>
      <c r="C662" s="664">
        <v>0.38</v>
      </c>
      <c r="D662" s="12"/>
    </row>
    <row r="663" spans="1:4" hidden="1" x14ac:dyDescent="0.2">
      <c r="A663" s="662" t="s">
        <v>240</v>
      </c>
      <c r="B663" s="661"/>
      <c r="C663" s="660"/>
      <c r="D663" s="12"/>
    </row>
    <row r="664" spans="1:4" hidden="1" x14ac:dyDescent="0.2">
      <c r="A664" s="659" t="s">
        <v>613</v>
      </c>
      <c r="B664" s="658" t="s">
        <v>3</v>
      </c>
      <c r="C664" s="657">
        <v>14.53</v>
      </c>
      <c r="D664" s="12"/>
    </row>
    <row r="665" spans="1:4" hidden="1" x14ac:dyDescent="0.2">
      <c r="A665" s="666" t="s">
        <v>612</v>
      </c>
      <c r="B665" s="665" t="s">
        <v>2</v>
      </c>
      <c r="C665" s="664">
        <v>8</v>
      </c>
      <c r="D665" s="12"/>
    </row>
    <row r="666" spans="1:4" hidden="1" x14ac:dyDescent="0.2">
      <c r="A666" s="659" t="s">
        <v>611</v>
      </c>
      <c r="B666" s="658" t="s">
        <v>2</v>
      </c>
      <c r="C666" s="657">
        <v>6</v>
      </c>
      <c r="D666" s="12"/>
    </row>
    <row r="667" spans="1:4" hidden="1" x14ac:dyDescent="0.2">
      <c r="A667" s="666" t="s">
        <v>610</v>
      </c>
      <c r="B667" s="665" t="s">
        <v>2</v>
      </c>
      <c r="C667" s="664">
        <v>3</v>
      </c>
      <c r="D667" s="12"/>
    </row>
    <row r="668" spans="1:4" hidden="1" x14ac:dyDescent="0.2">
      <c r="A668" s="662" t="s">
        <v>244</v>
      </c>
      <c r="B668" s="661"/>
      <c r="C668" s="660"/>
      <c r="D668" s="12"/>
    </row>
    <row r="669" spans="1:4" hidden="1" x14ac:dyDescent="0.2">
      <c r="A669" s="659" t="s">
        <v>586</v>
      </c>
      <c r="B669" s="658" t="s">
        <v>2</v>
      </c>
      <c r="C669" s="657">
        <v>1</v>
      </c>
      <c r="D669" s="12"/>
    </row>
    <row r="670" spans="1:4" hidden="1" x14ac:dyDescent="0.2">
      <c r="A670" s="666" t="s">
        <v>585</v>
      </c>
      <c r="B670" s="665" t="s">
        <v>2</v>
      </c>
      <c r="C670" s="664">
        <v>1</v>
      </c>
      <c r="D670" s="12"/>
    </row>
    <row r="671" spans="1:4" hidden="1" x14ac:dyDescent="0.2">
      <c r="A671" s="659" t="s">
        <v>609</v>
      </c>
      <c r="B671" s="658" t="s">
        <v>2</v>
      </c>
      <c r="C671" s="657">
        <v>2</v>
      </c>
      <c r="D671" s="12"/>
    </row>
    <row r="672" spans="1:4" hidden="1" x14ac:dyDescent="0.2">
      <c r="A672" s="662" t="s">
        <v>552</v>
      </c>
      <c r="B672" s="661"/>
      <c r="C672" s="660"/>
      <c r="D672" s="12"/>
    </row>
    <row r="673" spans="1:4" hidden="1" x14ac:dyDescent="0.2">
      <c r="A673" s="666" t="s">
        <v>551</v>
      </c>
      <c r="B673" s="665" t="s">
        <v>13</v>
      </c>
      <c r="C673" s="664">
        <v>87.85</v>
      </c>
      <c r="D673" s="12"/>
    </row>
    <row r="674" spans="1:4" hidden="1" x14ac:dyDescent="0.2">
      <c r="A674" s="659" t="s">
        <v>565</v>
      </c>
      <c r="B674" s="658" t="s">
        <v>13</v>
      </c>
      <c r="C674" s="657">
        <v>82.74</v>
      </c>
      <c r="D674" s="12"/>
    </row>
    <row r="675" spans="1:4" hidden="1" x14ac:dyDescent="0.2">
      <c r="A675" s="662" t="s">
        <v>550</v>
      </c>
      <c r="B675" s="661"/>
      <c r="C675" s="660"/>
      <c r="D675" s="12"/>
    </row>
    <row r="676" spans="1:4" hidden="1" x14ac:dyDescent="0.2">
      <c r="A676" s="666" t="s">
        <v>549</v>
      </c>
      <c r="B676" s="665" t="s">
        <v>13</v>
      </c>
      <c r="C676" s="664">
        <v>170.59</v>
      </c>
      <c r="D676" s="12"/>
    </row>
    <row r="677" spans="1:4" hidden="1" x14ac:dyDescent="0.2">
      <c r="A677" s="662" t="s">
        <v>273</v>
      </c>
      <c r="B677" s="661"/>
      <c r="C677" s="660"/>
      <c r="D677" s="12"/>
    </row>
    <row r="678" spans="1:4" hidden="1" x14ac:dyDescent="0.2">
      <c r="A678" s="659" t="s">
        <v>564</v>
      </c>
      <c r="B678" s="658" t="s">
        <v>13</v>
      </c>
      <c r="C678" s="657">
        <v>77.59</v>
      </c>
      <c r="D678" s="12"/>
    </row>
    <row r="679" spans="1:4" hidden="1" x14ac:dyDescent="0.2">
      <c r="A679" s="666" t="s">
        <v>608</v>
      </c>
      <c r="B679" s="665" t="s">
        <v>13</v>
      </c>
      <c r="C679" s="664">
        <v>6.04</v>
      </c>
      <c r="D679" s="12"/>
    </row>
    <row r="680" spans="1:4" hidden="1" x14ac:dyDescent="0.2">
      <c r="A680" s="659" t="s">
        <v>607</v>
      </c>
      <c r="B680" s="658" t="s">
        <v>13</v>
      </c>
      <c r="C680" s="657">
        <v>5.14</v>
      </c>
      <c r="D680" s="12"/>
    </row>
    <row r="681" spans="1:4" hidden="1" x14ac:dyDescent="0.2">
      <c r="A681" s="666" t="s">
        <v>548</v>
      </c>
      <c r="B681" s="665" t="s">
        <v>13</v>
      </c>
      <c r="C681" s="664">
        <v>81.819999999999993</v>
      </c>
      <c r="D681" s="12"/>
    </row>
    <row r="682" spans="1:4" hidden="1" x14ac:dyDescent="0.2">
      <c r="A682" s="669" t="s">
        <v>674</v>
      </c>
      <c r="B682" s="668"/>
      <c r="C682" s="667"/>
      <c r="D682" s="12"/>
    </row>
    <row r="683" spans="1:4" hidden="1" x14ac:dyDescent="0.2">
      <c r="A683" s="662" t="s">
        <v>208</v>
      </c>
      <c r="B683" s="661"/>
      <c r="C683" s="660"/>
      <c r="D683" s="12"/>
    </row>
    <row r="684" spans="1:4" hidden="1" x14ac:dyDescent="0.2">
      <c r="A684" s="659" t="s">
        <v>656</v>
      </c>
      <c r="B684" s="658" t="s">
        <v>13</v>
      </c>
      <c r="C684" s="657">
        <v>3.51</v>
      </c>
      <c r="D684" s="12"/>
    </row>
    <row r="685" spans="1:4" hidden="1" x14ac:dyDescent="0.2">
      <c r="A685" s="666" t="s">
        <v>562</v>
      </c>
      <c r="B685" s="665" t="s">
        <v>13</v>
      </c>
      <c r="C685" s="664">
        <v>195.56</v>
      </c>
      <c r="D685" s="12"/>
    </row>
    <row r="686" spans="1:4" hidden="1" x14ac:dyDescent="0.2">
      <c r="A686" s="659" t="s">
        <v>581</v>
      </c>
      <c r="B686" s="658" t="s">
        <v>13</v>
      </c>
      <c r="C686" s="657">
        <v>81.11</v>
      </c>
      <c r="D686" s="12"/>
    </row>
    <row r="687" spans="1:4" hidden="1" x14ac:dyDescent="0.2">
      <c r="A687" s="662" t="s">
        <v>376</v>
      </c>
      <c r="B687" s="661"/>
      <c r="C687" s="660"/>
      <c r="D687" s="12"/>
    </row>
    <row r="688" spans="1:4" hidden="1" x14ac:dyDescent="0.2">
      <c r="A688" s="666" t="s">
        <v>655</v>
      </c>
      <c r="B688" s="665" t="s">
        <v>13</v>
      </c>
      <c r="C688" s="664">
        <v>29.04</v>
      </c>
      <c r="D688" s="12"/>
    </row>
    <row r="689" spans="1:4" hidden="1" x14ac:dyDescent="0.2">
      <c r="A689" s="662" t="s">
        <v>605</v>
      </c>
      <c r="B689" s="661"/>
      <c r="C689" s="660"/>
      <c r="D689" s="12"/>
    </row>
    <row r="690" spans="1:4" hidden="1" x14ac:dyDescent="0.2">
      <c r="A690" s="659" t="s">
        <v>604</v>
      </c>
      <c r="B690" s="658" t="s">
        <v>13</v>
      </c>
      <c r="C690" s="657">
        <v>85</v>
      </c>
      <c r="D690" s="12"/>
    </row>
    <row r="691" spans="1:4" hidden="1" x14ac:dyDescent="0.2">
      <c r="A691" s="662" t="s">
        <v>561</v>
      </c>
      <c r="B691" s="661"/>
      <c r="C691" s="660"/>
      <c r="D691" s="12"/>
    </row>
    <row r="692" spans="1:4" hidden="1" x14ac:dyDescent="0.2">
      <c r="A692" s="666" t="s">
        <v>580</v>
      </c>
      <c r="B692" s="665" t="s">
        <v>3</v>
      </c>
      <c r="C692" s="664">
        <v>172.9</v>
      </c>
      <c r="D692" s="12"/>
    </row>
    <row r="693" spans="1:4" hidden="1" x14ac:dyDescent="0.2">
      <c r="A693" s="659" t="s">
        <v>560</v>
      </c>
      <c r="B693" s="658" t="s">
        <v>13</v>
      </c>
      <c r="C693" s="657">
        <v>197.11</v>
      </c>
      <c r="D693" s="12"/>
    </row>
    <row r="694" spans="1:4" hidden="1" x14ac:dyDescent="0.2">
      <c r="A694" s="666" t="s">
        <v>559</v>
      </c>
      <c r="B694" s="665" t="s">
        <v>3</v>
      </c>
      <c r="C694" s="664">
        <v>98</v>
      </c>
      <c r="D694" s="12"/>
    </row>
    <row r="695" spans="1:4" hidden="1" x14ac:dyDescent="0.2">
      <c r="A695" s="662" t="s">
        <v>212</v>
      </c>
      <c r="B695" s="661"/>
      <c r="C695" s="660"/>
      <c r="D695" s="12"/>
    </row>
    <row r="696" spans="1:4" hidden="1" x14ac:dyDescent="0.2">
      <c r="A696" s="659" t="s">
        <v>579</v>
      </c>
      <c r="B696" s="658" t="s">
        <v>13</v>
      </c>
      <c r="C696" s="657">
        <v>43.76</v>
      </c>
      <c r="D696" s="12"/>
    </row>
    <row r="697" spans="1:4" hidden="1" x14ac:dyDescent="0.2">
      <c r="A697" s="662" t="s">
        <v>557</v>
      </c>
      <c r="B697" s="661"/>
      <c r="C697" s="660"/>
      <c r="D697" s="12"/>
    </row>
    <row r="698" spans="1:4" hidden="1" x14ac:dyDescent="0.2">
      <c r="A698" s="666" t="s">
        <v>654</v>
      </c>
      <c r="B698" s="665" t="s">
        <v>13</v>
      </c>
      <c r="C698" s="664">
        <v>12.1</v>
      </c>
      <c r="D698" s="12"/>
    </row>
    <row r="699" spans="1:4" hidden="1" x14ac:dyDescent="0.2">
      <c r="A699" s="659" t="s">
        <v>653</v>
      </c>
      <c r="B699" s="658" t="s">
        <v>13</v>
      </c>
      <c r="C699" s="657">
        <v>6.98</v>
      </c>
      <c r="D699" s="12"/>
    </row>
    <row r="700" spans="1:4" hidden="1" x14ac:dyDescent="0.2">
      <c r="A700" s="666" t="s">
        <v>603</v>
      </c>
      <c r="B700" s="665" t="s">
        <v>13</v>
      </c>
      <c r="C700" s="664">
        <v>3.31</v>
      </c>
      <c r="D700" s="12"/>
    </row>
    <row r="701" spans="1:4" hidden="1" x14ac:dyDescent="0.2">
      <c r="A701" s="659" t="s">
        <v>602</v>
      </c>
      <c r="B701" s="658" t="s">
        <v>13</v>
      </c>
      <c r="C701" s="657">
        <v>6.44</v>
      </c>
      <c r="D701" s="12"/>
    </row>
    <row r="702" spans="1:4" hidden="1" x14ac:dyDescent="0.2">
      <c r="A702" s="666" t="s">
        <v>652</v>
      </c>
      <c r="B702" s="665" t="s">
        <v>13</v>
      </c>
      <c r="C702" s="664">
        <v>36.83</v>
      </c>
      <c r="D702" s="12"/>
    </row>
    <row r="703" spans="1:4" hidden="1" x14ac:dyDescent="0.2">
      <c r="A703" s="659" t="s">
        <v>651</v>
      </c>
      <c r="B703" s="658" t="s">
        <v>13</v>
      </c>
      <c r="C703" s="657">
        <v>17.95</v>
      </c>
      <c r="D703" s="12"/>
    </row>
    <row r="704" spans="1:4" hidden="1" x14ac:dyDescent="0.2">
      <c r="A704" s="666" t="s">
        <v>650</v>
      </c>
      <c r="B704" s="665" t="s">
        <v>13</v>
      </c>
      <c r="C704" s="664">
        <v>22.97</v>
      </c>
      <c r="D704" s="12"/>
    </row>
    <row r="705" spans="1:4" hidden="1" x14ac:dyDescent="0.2">
      <c r="A705" s="659" t="s">
        <v>649</v>
      </c>
      <c r="B705" s="658" t="s">
        <v>13</v>
      </c>
      <c r="C705" s="657">
        <v>5.43</v>
      </c>
      <c r="D705" s="12"/>
    </row>
    <row r="706" spans="1:4" hidden="1" x14ac:dyDescent="0.2">
      <c r="A706" s="666" t="s">
        <v>648</v>
      </c>
      <c r="B706" s="665" t="s">
        <v>13</v>
      </c>
      <c r="C706" s="664">
        <v>10.6</v>
      </c>
      <c r="D706" s="12"/>
    </row>
    <row r="707" spans="1:4" hidden="1" x14ac:dyDescent="0.2">
      <c r="A707" s="659" t="s">
        <v>647</v>
      </c>
      <c r="B707" s="658" t="s">
        <v>13</v>
      </c>
      <c r="C707" s="657">
        <v>6.95</v>
      </c>
      <c r="D707" s="12"/>
    </row>
    <row r="708" spans="1:4" hidden="1" x14ac:dyDescent="0.2">
      <c r="A708" s="666" t="s">
        <v>646</v>
      </c>
      <c r="B708" s="665" t="s">
        <v>13</v>
      </c>
      <c r="C708" s="664">
        <v>9.51</v>
      </c>
      <c r="D708" s="12"/>
    </row>
    <row r="709" spans="1:4" hidden="1" x14ac:dyDescent="0.2">
      <c r="A709" s="659" t="s">
        <v>645</v>
      </c>
      <c r="B709" s="658" t="s">
        <v>13</v>
      </c>
      <c r="C709" s="657">
        <v>2.99</v>
      </c>
      <c r="D709" s="12"/>
    </row>
    <row r="710" spans="1:4" hidden="1" x14ac:dyDescent="0.2">
      <c r="A710" s="662" t="s">
        <v>220</v>
      </c>
      <c r="B710" s="661"/>
      <c r="C710" s="660"/>
      <c r="D710" s="12"/>
    </row>
    <row r="711" spans="1:4" hidden="1" x14ac:dyDescent="0.2">
      <c r="A711" s="666" t="s">
        <v>599</v>
      </c>
      <c r="B711" s="665" t="s">
        <v>13</v>
      </c>
      <c r="C711" s="664">
        <v>197.77</v>
      </c>
      <c r="D711" s="12"/>
    </row>
    <row r="712" spans="1:4" hidden="1" x14ac:dyDescent="0.2">
      <c r="A712" s="659" t="s">
        <v>644</v>
      </c>
      <c r="B712" s="658" t="s">
        <v>13</v>
      </c>
      <c r="C712" s="657">
        <v>7.88</v>
      </c>
      <c r="D712" s="12"/>
    </row>
    <row r="713" spans="1:4" ht="25.5" hidden="1" x14ac:dyDescent="0.2">
      <c r="A713" s="666" t="s">
        <v>643</v>
      </c>
      <c r="B713" s="665" t="s">
        <v>13</v>
      </c>
      <c r="C713" s="664">
        <v>2.82</v>
      </c>
      <c r="D713" s="12"/>
    </row>
    <row r="714" spans="1:4" hidden="1" x14ac:dyDescent="0.2">
      <c r="A714" s="662" t="s">
        <v>598</v>
      </c>
      <c r="B714" s="661"/>
      <c r="C714" s="660"/>
      <c r="D714" s="12"/>
    </row>
    <row r="715" spans="1:4" hidden="1" x14ac:dyDescent="0.2">
      <c r="A715" s="659" t="s">
        <v>642</v>
      </c>
      <c r="B715" s="658" t="s">
        <v>13</v>
      </c>
      <c r="C715" s="657">
        <v>5.27</v>
      </c>
      <c r="D715" s="12"/>
    </row>
    <row r="716" spans="1:4" hidden="1" x14ac:dyDescent="0.2">
      <c r="A716" s="662" t="s">
        <v>576</v>
      </c>
      <c r="B716" s="661"/>
      <c r="C716" s="660"/>
      <c r="D716" s="12"/>
    </row>
    <row r="717" spans="1:4" hidden="1" x14ac:dyDescent="0.2">
      <c r="A717" s="666" t="s">
        <v>575</v>
      </c>
      <c r="B717" s="665" t="s">
        <v>13</v>
      </c>
      <c r="C717" s="664">
        <v>546.5</v>
      </c>
      <c r="D717" s="12"/>
    </row>
    <row r="718" spans="1:4" hidden="1" x14ac:dyDescent="0.2">
      <c r="A718" s="659" t="s">
        <v>574</v>
      </c>
      <c r="B718" s="658" t="s">
        <v>13</v>
      </c>
      <c r="C718" s="657">
        <v>153.68</v>
      </c>
      <c r="D718" s="12"/>
    </row>
    <row r="719" spans="1:4" hidden="1" x14ac:dyDescent="0.2">
      <c r="A719" s="662" t="s">
        <v>573</v>
      </c>
      <c r="B719" s="661"/>
      <c r="C719" s="660"/>
      <c r="D719" s="12"/>
    </row>
    <row r="720" spans="1:4" hidden="1" x14ac:dyDescent="0.2">
      <c r="A720" s="666" t="s">
        <v>572</v>
      </c>
      <c r="B720" s="665" t="s">
        <v>13</v>
      </c>
      <c r="C720" s="664">
        <v>700.18</v>
      </c>
      <c r="D720" s="12"/>
    </row>
    <row r="721" spans="1:4" hidden="1" x14ac:dyDescent="0.2">
      <c r="A721" s="662" t="s">
        <v>224</v>
      </c>
      <c r="B721" s="661"/>
      <c r="C721" s="660"/>
      <c r="D721" s="12"/>
    </row>
    <row r="722" spans="1:4" hidden="1" x14ac:dyDescent="0.2">
      <c r="A722" s="659" t="s">
        <v>571</v>
      </c>
      <c r="B722" s="658" t="s">
        <v>13</v>
      </c>
      <c r="C722" s="657">
        <v>45.24</v>
      </c>
      <c r="D722" s="12"/>
    </row>
    <row r="723" spans="1:4" hidden="1" x14ac:dyDescent="0.2">
      <c r="A723" s="662" t="s">
        <v>218</v>
      </c>
      <c r="B723" s="661"/>
      <c r="C723" s="660"/>
      <c r="D723" s="12"/>
    </row>
    <row r="724" spans="1:4" hidden="1" x14ac:dyDescent="0.2">
      <c r="A724" s="666" t="s">
        <v>570</v>
      </c>
      <c r="B724" s="665" t="s">
        <v>13</v>
      </c>
      <c r="C724" s="664">
        <v>37.35</v>
      </c>
      <c r="D724" s="12"/>
    </row>
    <row r="725" spans="1:4" hidden="1" x14ac:dyDescent="0.2">
      <c r="A725" s="662" t="s">
        <v>219</v>
      </c>
      <c r="B725" s="661"/>
      <c r="C725" s="660"/>
      <c r="D725" s="12"/>
    </row>
    <row r="726" spans="1:4" hidden="1" x14ac:dyDescent="0.2">
      <c r="A726" s="659" t="s">
        <v>641</v>
      </c>
      <c r="B726" s="658" t="s">
        <v>13</v>
      </c>
      <c r="C726" s="657">
        <v>187.88</v>
      </c>
      <c r="D726" s="12"/>
    </row>
    <row r="727" spans="1:4" hidden="1" x14ac:dyDescent="0.2">
      <c r="A727" s="662" t="s">
        <v>222</v>
      </c>
      <c r="B727" s="661"/>
      <c r="C727" s="660"/>
      <c r="D727" s="12"/>
    </row>
    <row r="728" spans="1:4" hidden="1" x14ac:dyDescent="0.2">
      <c r="A728" s="666" t="s">
        <v>640</v>
      </c>
      <c r="B728" s="665" t="s">
        <v>13</v>
      </c>
      <c r="C728" s="664">
        <v>93.11</v>
      </c>
      <c r="D728" s="12"/>
    </row>
    <row r="729" spans="1:4" hidden="1" x14ac:dyDescent="0.2">
      <c r="A729" s="659" t="s">
        <v>639</v>
      </c>
      <c r="B729" s="658" t="s">
        <v>13</v>
      </c>
      <c r="C729" s="657">
        <v>23.38</v>
      </c>
      <c r="D729" s="12"/>
    </row>
    <row r="730" spans="1:4" hidden="1" x14ac:dyDescent="0.2">
      <c r="A730" s="666" t="s">
        <v>638</v>
      </c>
      <c r="B730" s="665" t="s">
        <v>13</v>
      </c>
      <c r="C730" s="664">
        <v>8.48</v>
      </c>
      <c r="D730" s="12"/>
    </row>
    <row r="731" spans="1:4" hidden="1" x14ac:dyDescent="0.2">
      <c r="A731" s="662" t="s">
        <v>637</v>
      </c>
      <c r="B731" s="661"/>
      <c r="C731" s="660"/>
      <c r="D731" s="12"/>
    </row>
    <row r="732" spans="1:4" hidden="1" x14ac:dyDescent="0.2">
      <c r="A732" s="659" t="s">
        <v>636</v>
      </c>
      <c r="B732" s="658" t="s">
        <v>13</v>
      </c>
      <c r="C732" s="657">
        <v>63.69</v>
      </c>
      <c r="D732" s="12"/>
    </row>
    <row r="733" spans="1:4" hidden="1" x14ac:dyDescent="0.2">
      <c r="A733" s="662" t="s">
        <v>635</v>
      </c>
      <c r="B733" s="661"/>
      <c r="C733" s="660"/>
      <c r="D733" s="12"/>
    </row>
    <row r="734" spans="1:4" hidden="1" x14ac:dyDescent="0.2">
      <c r="A734" s="666" t="s">
        <v>634</v>
      </c>
      <c r="B734" s="665" t="s">
        <v>3</v>
      </c>
      <c r="C734" s="664">
        <v>158.85</v>
      </c>
      <c r="D734" s="12"/>
    </row>
    <row r="735" spans="1:4" hidden="1" x14ac:dyDescent="0.2">
      <c r="A735" s="662" t="s">
        <v>346</v>
      </c>
      <c r="B735" s="661"/>
      <c r="C735" s="660"/>
      <c r="D735" s="12"/>
    </row>
    <row r="736" spans="1:4" hidden="1" x14ac:dyDescent="0.2">
      <c r="A736" s="659" t="s">
        <v>633</v>
      </c>
      <c r="B736" s="658" t="s">
        <v>13</v>
      </c>
      <c r="C736" s="657">
        <v>0.85</v>
      </c>
      <c r="D736" s="12"/>
    </row>
    <row r="737" spans="1:4" hidden="1" x14ac:dyDescent="0.2">
      <c r="A737" s="662" t="s">
        <v>217</v>
      </c>
      <c r="B737" s="661"/>
      <c r="C737" s="660"/>
      <c r="D737" s="12"/>
    </row>
    <row r="738" spans="1:4" hidden="1" x14ac:dyDescent="0.2">
      <c r="A738" s="666" t="s">
        <v>632</v>
      </c>
      <c r="B738" s="665" t="s">
        <v>13</v>
      </c>
      <c r="C738" s="664">
        <v>3.2</v>
      </c>
      <c r="D738" s="12"/>
    </row>
    <row r="739" spans="1:4" hidden="1" x14ac:dyDescent="0.2">
      <c r="A739" s="662" t="s">
        <v>215</v>
      </c>
      <c r="B739" s="661"/>
      <c r="C739" s="660"/>
      <c r="D739" s="12"/>
    </row>
    <row r="740" spans="1:4" hidden="1" x14ac:dyDescent="0.2">
      <c r="A740" s="659" t="s">
        <v>631</v>
      </c>
      <c r="B740" s="658" t="s">
        <v>13</v>
      </c>
      <c r="C740" s="657">
        <v>58.23</v>
      </c>
      <c r="D740" s="12"/>
    </row>
    <row r="741" spans="1:4" hidden="1" x14ac:dyDescent="0.2">
      <c r="A741" s="666" t="s">
        <v>630</v>
      </c>
      <c r="B741" s="665" t="s">
        <v>13</v>
      </c>
      <c r="C741" s="664">
        <v>108</v>
      </c>
      <c r="D741" s="12"/>
    </row>
    <row r="742" spans="1:4" hidden="1" x14ac:dyDescent="0.2">
      <c r="A742" s="662" t="s">
        <v>231</v>
      </c>
      <c r="B742" s="661"/>
      <c r="C742" s="660"/>
      <c r="D742" s="12"/>
    </row>
    <row r="743" spans="1:4" hidden="1" x14ac:dyDescent="0.2">
      <c r="A743" s="659" t="s">
        <v>595</v>
      </c>
      <c r="B743" s="658" t="s">
        <v>13</v>
      </c>
      <c r="C743" s="657">
        <v>6.72</v>
      </c>
      <c r="D743" s="12"/>
    </row>
    <row r="744" spans="1:4" hidden="1" x14ac:dyDescent="0.2">
      <c r="A744" s="666" t="s">
        <v>629</v>
      </c>
      <c r="B744" s="665" t="s">
        <v>13</v>
      </c>
      <c r="C744" s="664">
        <v>7.88</v>
      </c>
      <c r="D744" s="12"/>
    </row>
    <row r="745" spans="1:4" hidden="1" x14ac:dyDescent="0.2">
      <c r="A745" s="659" t="s">
        <v>594</v>
      </c>
      <c r="B745" s="658" t="s">
        <v>13</v>
      </c>
      <c r="C745" s="657">
        <v>17.21</v>
      </c>
      <c r="D745" s="12"/>
    </row>
    <row r="746" spans="1:4" hidden="1" x14ac:dyDescent="0.2">
      <c r="A746" s="662" t="s">
        <v>569</v>
      </c>
      <c r="B746" s="661"/>
      <c r="C746" s="660"/>
      <c r="D746" s="12"/>
    </row>
    <row r="747" spans="1:4" hidden="1" x14ac:dyDescent="0.2">
      <c r="A747" s="666" t="s">
        <v>628</v>
      </c>
      <c r="B747" s="665" t="s">
        <v>13</v>
      </c>
      <c r="C747" s="664">
        <v>31.33</v>
      </c>
      <c r="D747" s="12"/>
    </row>
    <row r="748" spans="1:4" hidden="1" x14ac:dyDescent="0.2">
      <c r="A748" s="659" t="s">
        <v>627</v>
      </c>
      <c r="B748" s="658" t="s">
        <v>13</v>
      </c>
      <c r="C748" s="657">
        <v>420.78</v>
      </c>
      <c r="D748" s="12"/>
    </row>
    <row r="749" spans="1:4" hidden="1" x14ac:dyDescent="0.2">
      <c r="A749" s="666" t="s">
        <v>626</v>
      </c>
      <c r="B749" s="665" t="s">
        <v>13</v>
      </c>
      <c r="C749" s="664">
        <v>2.93</v>
      </c>
      <c r="D749" s="12"/>
    </row>
    <row r="750" spans="1:4" hidden="1" x14ac:dyDescent="0.2">
      <c r="A750" s="659" t="s">
        <v>592</v>
      </c>
      <c r="B750" s="658" t="s">
        <v>13</v>
      </c>
      <c r="C750" s="657">
        <v>78.91</v>
      </c>
      <c r="D750" s="12"/>
    </row>
    <row r="751" spans="1:4" hidden="1" x14ac:dyDescent="0.2">
      <c r="A751" s="662" t="s">
        <v>567</v>
      </c>
      <c r="B751" s="661"/>
      <c r="C751" s="660"/>
      <c r="D751" s="12"/>
    </row>
    <row r="752" spans="1:4" hidden="1" x14ac:dyDescent="0.2">
      <c r="A752" s="666" t="s">
        <v>566</v>
      </c>
      <c r="B752" s="665" t="s">
        <v>13</v>
      </c>
      <c r="C752" s="664">
        <v>225.23</v>
      </c>
      <c r="D752" s="12"/>
    </row>
    <row r="753" spans="1:4" hidden="1" x14ac:dyDescent="0.2">
      <c r="A753" s="662" t="s">
        <v>235</v>
      </c>
      <c r="B753" s="661"/>
      <c r="C753" s="660"/>
      <c r="D753" s="12"/>
    </row>
    <row r="754" spans="1:4" hidden="1" x14ac:dyDescent="0.2">
      <c r="A754" s="659" t="s">
        <v>554</v>
      </c>
      <c r="B754" s="658" t="s">
        <v>3</v>
      </c>
      <c r="C754" s="657">
        <v>108.4</v>
      </c>
      <c r="D754" s="12"/>
    </row>
    <row r="755" spans="1:4" hidden="1" x14ac:dyDescent="0.2">
      <c r="A755" s="662" t="s">
        <v>236</v>
      </c>
      <c r="B755" s="661"/>
      <c r="C755" s="660"/>
      <c r="D755" s="12"/>
    </row>
    <row r="756" spans="1:4" hidden="1" x14ac:dyDescent="0.2">
      <c r="A756" s="666" t="s">
        <v>591</v>
      </c>
      <c r="B756" s="665" t="s">
        <v>13</v>
      </c>
      <c r="C756" s="664">
        <v>1.04</v>
      </c>
      <c r="D756" s="12"/>
    </row>
    <row r="757" spans="1:4" hidden="1" x14ac:dyDescent="0.2">
      <c r="A757" s="659" t="s">
        <v>590</v>
      </c>
      <c r="B757" s="658" t="s">
        <v>13</v>
      </c>
      <c r="C757" s="657">
        <v>1.04</v>
      </c>
      <c r="D757" s="12"/>
    </row>
    <row r="758" spans="1:4" hidden="1" x14ac:dyDescent="0.2">
      <c r="A758" s="666" t="s">
        <v>625</v>
      </c>
      <c r="B758" s="665" t="s">
        <v>13</v>
      </c>
      <c r="C758" s="664">
        <v>2.25</v>
      </c>
      <c r="D758" s="12"/>
    </row>
    <row r="759" spans="1:4" hidden="1" x14ac:dyDescent="0.2">
      <c r="A759" s="659" t="s">
        <v>624</v>
      </c>
      <c r="B759" s="658" t="s">
        <v>13</v>
      </c>
      <c r="C759" s="657">
        <v>8.86</v>
      </c>
      <c r="D759" s="12"/>
    </row>
    <row r="760" spans="1:4" hidden="1" x14ac:dyDescent="0.2">
      <c r="A760" s="666" t="s">
        <v>623</v>
      </c>
      <c r="B760" s="665" t="s">
        <v>3</v>
      </c>
      <c r="C760" s="664">
        <v>2.5</v>
      </c>
      <c r="D760" s="12"/>
    </row>
    <row r="761" spans="1:4" hidden="1" x14ac:dyDescent="0.2">
      <c r="A761" s="659" t="s">
        <v>622</v>
      </c>
      <c r="B761" s="658" t="s">
        <v>3</v>
      </c>
      <c r="C761" s="657">
        <v>7.4</v>
      </c>
      <c r="D761" s="12"/>
    </row>
    <row r="762" spans="1:4" hidden="1" x14ac:dyDescent="0.2">
      <c r="A762" s="666" t="s">
        <v>621</v>
      </c>
      <c r="B762" s="665" t="s">
        <v>13</v>
      </c>
      <c r="C762" s="664">
        <v>0.36</v>
      </c>
      <c r="D762" s="12"/>
    </row>
    <row r="763" spans="1:4" hidden="1" x14ac:dyDescent="0.2">
      <c r="A763" s="659" t="s">
        <v>620</v>
      </c>
      <c r="B763" s="658" t="s">
        <v>13</v>
      </c>
      <c r="C763" s="657">
        <v>1.18</v>
      </c>
      <c r="D763" s="12"/>
    </row>
    <row r="764" spans="1:4" hidden="1" x14ac:dyDescent="0.2">
      <c r="A764" s="666" t="s">
        <v>619</v>
      </c>
      <c r="B764" s="665" t="s">
        <v>13</v>
      </c>
      <c r="C764" s="664">
        <v>4.03</v>
      </c>
      <c r="D764" s="12"/>
    </row>
    <row r="765" spans="1:4" hidden="1" x14ac:dyDescent="0.2">
      <c r="A765" s="659" t="s">
        <v>618</v>
      </c>
      <c r="B765" s="658" t="s">
        <v>13</v>
      </c>
      <c r="C765" s="657">
        <v>11.09</v>
      </c>
      <c r="D765" s="12"/>
    </row>
    <row r="766" spans="1:4" hidden="1" x14ac:dyDescent="0.2">
      <c r="A766" s="666" t="s">
        <v>617</v>
      </c>
      <c r="B766" s="665" t="s">
        <v>13</v>
      </c>
      <c r="C766" s="664">
        <v>0.05</v>
      </c>
      <c r="D766" s="12"/>
    </row>
    <row r="767" spans="1:4" hidden="1" x14ac:dyDescent="0.2">
      <c r="A767" s="659" t="s">
        <v>616</v>
      </c>
      <c r="B767" s="658" t="s">
        <v>13</v>
      </c>
      <c r="C767" s="657">
        <v>0.89</v>
      </c>
      <c r="D767" s="12"/>
    </row>
    <row r="768" spans="1:4" hidden="1" x14ac:dyDescent="0.2">
      <c r="A768" s="666" t="s">
        <v>615</v>
      </c>
      <c r="B768" s="665" t="s">
        <v>13</v>
      </c>
      <c r="C768" s="664">
        <v>0.02</v>
      </c>
      <c r="D768" s="12"/>
    </row>
    <row r="769" spans="1:4" hidden="1" x14ac:dyDescent="0.2">
      <c r="A769" s="659" t="s">
        <v>614</v>
      </c>
      <c r="B769" s="658" t="s">
        <v>13</v>
      </c>
      <c r="C769" s="657">
        <v>0.38</v>
      </c>
      <c r="D769" s="12"/>
    </row>
    <row r="770" spans="1:4" hidden="1" x14ac:dyDescent="0.2">
      <c r="A770" s="662" t="s">
        <v>240</v>
      </c>
      <c r="B770" s="661"/>
      <c r="C770" s="660"/>
      <c r="D770" s="12"/>
    </row>
    <row r="771" spans="1:4" hidden="1" x14ac:dyDescent="0.2">
      <c r="A771" s="666" t="s">
        <v>613</v>
      </c>
      <c r="B771" s="665" t="s">
        <v>3</v>
      </c>
      <c r="C771" s="664">
        <v>14.53</v>
      </c>
      <c r="D771" s="12"/>
    </row>
    <row r="772" spans="1:4" hidden="1" x14ac:dyDescent="0.2">
      <c r="A772" s="659" t="s">
        <v>612</v>
      </c>
      <c r="B772" s="658" t="s">
        <v>2</v>
      </c>
      <c r="C772" s="657">
        <v>8</v>
      </c>
      <c r="D772" s="12"/>
    </row>
    <row r="773" spans="1:4" hidden="1" x14ac:dyDescent="0.2">
      <c r="A773" s="666" t="s">
        <v>611</v>
      </c>
      <c r="B773" s="665" t="s">
        <v>2</v>
      </c>
      <c r="C773" s="664">
        <v>6</v>
      </c>
      <c r="D773" s="12"/>
    </row>
    <row r="774" spans="1:4" hidden="1" x14ac:dyDescent="0.2">
      <c r="A774" s="659" t="s">
        <v>610</v>
      </c>
      <c r="B774" s="658" t="s">
        <v>2</v>
      </c>
      <c r="C774" s="657">
        <v>3</v>
      </c>
      <c r="D774" s="12"/>
    </row>
    <row r="775" spans="1:4" hidden="1" x14ac:dyDescent="0.2">
      <c r="A775" s="662" t="s">
        <v>244</v>
      </c>
      <c r="B775" s="661"/>
      <c r="C775" s="660"/>
      <c r="D775" s="12"/>
    </row>
    <row r="776" spans="1:4" hidden="1" x14ac:dyDescent="0.2">
      <c r="A776" s="666" t="s">
        <v>586</v>
      </c>
      <c r="B776" s="665" t="s">
        <v>2</v>
      </c>
      <c r="C776" s="664">
        <v>1</v>
      </c>
      <c r="D776" s="12"/>
    </row>
    <row r="777" spans="1:4" hidden="1" x14ac:dyDescent="0.2">
      <c r="A777" s="659" t="s">
        <v>585</v>
      </c>
      <c r="B777" s="658" t="s">
        <v>2</v>
      </c>
      <c r="C777" s="657">
        <v>1</v>
      </c>
      <c r="D777" s="12"/>
    </row>
    <row r="778" spans="1:4" hidden="1" x14ac:dyDescent="0.2">
      <c r="A778" s="666" t="s">
        <v>609</v>
      </c>
      <c r="B778" s="665" t="s">
        <v>2</v>
      </c>
      <c r="C778" s="664">
        <v>2</v>
      </c>
      <c r="D778" s="12"/>
    </row>
    <row r="779" spans="1:4" hidden="1" x14ac:dyDescent="0.2">
      <c r="A779" s="662" t="s">
        <v>552</v>
      </c>
      <c r="B779" s="661"/>
      <c r="C779" s="660"/>
      <c r="D779" s="12"/>
    </row>
    <row r="780" spans="1:4" hidden="1" x14ac:dyDescent="0.2">
      <c r="A780" s="659" t="s">
        <v>551</v>
      </c>
      <c r="B780" s="658" t="s">
        <v>13</v>
      </c>
      <c r="C780" s="657">
        <v>89.87</v>
      </c>
      <c r="D780" s="12"/>
    </row>
    <row r="781" spans="1:4" hidden="1" x14ac:dyDescent="0.2">
      <c r="A781" s="666" t="s">
        <v>565</v>
      </c>
      <c r="B781" s="665" t="s">
        <v>13</v>
      </c>
      <c r="C781" s="664">
        <v>82.74</v>
      </c>
      <c r="D781" s="12"/>
    </row>
    <row r="782" spans="1:4" hidden="1" x14ac:dyDescent="0.2">
      <c r="A782" s="662" t="s">
        <v>550</v>
      </c>
      <c r="B782" s="661"/>
      <c r="C782" s="660"/>
      <c r="D782" s="12"/>
    </row>
    <row r="783" spans="1:4" hidden="1" x14ac:dyDescent="0.2">
      <c r="A783" s="659" t="s">
        <v>549</v>
      </c>
      <c r="B783" s="658" t="s">
        <v>13</v>
      </c>
      <c r="C783" s="657">
        <v>172.6</v>
      </c>
      <c r="D783" s="12"/>
    </row>
    <row r="784" spans="1:4" hidden="1" x14ac:dyDescent="0.2">
      <c r="A784" s="662" t="s">
        <v>273</v>
      </c>
      <c r="B784" s="661"/>
      <c r="C784" s="660"/>
      <c r="D784" s="12"/>
    </row>
    <row r="785" spans="1:4" hidden="1" x14ac:dyDescent="0.2">
      <c r="A785" s="666" t="s">
        <v>564</v>
      </c>
      <c r="B785" s="665" t="s">
        <v>13</v>
      </c>
      <c r="C785" s="664">
        <v>77.59</v>
      </c>
      <c r="D785" s="12"/>
    </row>
    <row r="786" spans="1:4" hidden="1" x14ac:dyDescent="0.2">
      <c r="A786" s="659" t="s">
        <v>608</v>
      </c>
      <c r="B786" s="658" t="s">
        <v>13</v>
      </c>
      <c r="C786" s="657">
        <v>8.0500000000000007</v>
      </c>
      <c r="D786" s="12"/>
    </row>
    <row r="787" spans="1:4" hidden="1" x14ac:dyDescent="0.2">
      <c r="A787" s="666" t="s">
        <v>607</v>
      </c>
      <c r="B787" s="665" t="s">
        <v>13</v>
      </c>
      <c r="C787" s="664">
        <v>5.14</v>
      </c>
      <c r="D787" s="12"/>
    </row>
    <row r="788" spans="1:4" hidden="1" x14ac:dyDescent="0.2">
      <c r="A788" s="659" t="s">
        <v>548</v>
      </c>
      <c r="B788" s="658" t="s">
        <v>13</v>
      </c>
      <c r="C788" s="657">
        <v>81.819999999999993</v>
      </c>
      <c r="D788" s="12"/>
    </row>
    <row r="789" spans="1:4" hidden="1" x14ac:dyDescent="0.2">
      <c r="A789" s="669" t="s">
        <v>673</v>
      </c>
      <c r="B789" s="668"/>
      <c r="C789" s="667"/>
      <c r="D789" s="12"/>
    </row>
    <row r="790" spans="1:4" hidden="1" x14ac:dyDescent="0.2">
      <c r="A790" s="662" t="s">
        <v>208</v>
      </c>
      <c r="B790" s="661"/>
      <c r="C790" s="660"/>
      <c r="D790" s="12"/>
    </row>
    <row r="791" spans="1:4" hidden="1" x14ac:dyDescent="0.2">
      <c r="A791" s="666" t="s">
        <v>656</v>
      </c>
      <c r="B791" s="665" t="s">
        <v>13</v>
      </c>
      <c r="C791" s="664">
        <v>3.58</v>
      </c>
      <c r="D791" s="12"/>
    </row>
    <row r="792" spans="1:4" hidden="1" x14ac:dyDescent="0.2">
      <c r="A792" s="659" t="s">
        <v>562</v>
      </c>
      <c r="B792" s="658" t="s">
        <v>13</v>
      </c>
      <c r="C792" s="657">
        <v>195.56</v>
      </c>
      <c r="D792" s="12"/>
    </row>
    <row r="793" spans="1:4" hidden="1" x14ac:dyDescent="0.2">
      <c r="A793" s="666" t="s">
        <v>581</v>
      </c>
      <c r="B793" s="665" t="s">
        <v>13</v>
      </c>
      <c r="C793" s="664">
        <v>81.11</v>
      </c>
      <c r="D793" s="12"/>
    </row>
    <row r="794" spans="1:4" hidden="1" x14ac:dyDescent="0.2">
      <c r="A794" s="662" t="s">
        <v>376</v>
      </c>
      <c r="B794" s="661"/>
      <c r="C794" s="660"/>
      <c r="D794" s="12"/>
    </row>
    <row r="795" spans="1:4" hidden="1" x14ac:dyDescent="0.2">
      <c r="A795" s="659" t="s">
        <v>655</v>
      </c>
      <c r="B795" s="658" t="s">
        <v>13</v>
      </c>
      <c r="C795" s="657">
        <v>29.04</v>
      </c>
      <c r="D795" s="12"/>
    </row>
    <row r="796" spans="1:4" hidden="1" x14ac:dyDescent="0.2">
      <c r="A796" s="662" t="s">
        <v>605</v>
      </c>
      <c r="B796" s="661"/>
      <c r="C796" s="660"/>
      <c r="D796" s="12"/>
    </row>
    <row r="797" spans="1:4" hidden="1" x14ac:dyDescent="0.2">
      <c r="A797" s="666" t="s">
        <v>604</v>
      </c>
      <c r="B797" s="665" t="s">
        <v>13</v>
      </c>
      <c r="C797" s="664">
        <v>85</v>
      </c>
      <c r="D797" s="12"/>
    </row>
    <row r="798" spans="1:4" hidden="1" x14ac:dyDescent="0.2">
      <c r="A798" s="662" t="s">
        <v>561</v>
      </c>
      <c r="B798" s="661"/>
      <c r="C798" s="660"/>
      <c r="D798" s="12"/>
    </row>
    <row r="799" spans="1:4" hidden="1" x14ac:dyDescent="0.2">
      <c r="A799" s="659" t="s">
        <v>580</v>
      </c>
      <c r="B799" s="658" t="s">
        <v>3</v>
      </c>
      <c r="C799" s="657">
        <v>173.04</v>
      </c>
      <c r="D799" s="12"/>
    </row>
    <row r="800" spans="1:4" hidden="1" x14ac:dyDescent="0.2">
      <c r="A800" s="666" t="s">
        <v>560</v>
      </c>
      <c r="B800" s="665" t="s">
        <v>13</v>
      </c>
      <c r="C800" s="664">
        <v>197.15</v>
      </c>
      <c r="D800" s="12"/>
    </row>
    <row r="801" spans="1:4" hidden="1" x14ac:dyDescent="0.2">
      <c r="A801" s="659" t="s">
        <v>559</v>
      </c>
      <c r="B801" s="658" t="s">
        <v>3</v>
      </c>
      <c r="C801" s="657">
        <v>98</v>
      </c>
      <c r="D801" s="12"/>
    </row>
    <row r="802" spans="1:4" hidden="1" x14ac:dyDescent="0.2">
      <c r="A802" s="662" t="s">
        <v>212</v>
      </c>
      <c r="B802" s="661"/>
      <c r="C802" s="660"/>
      <c r="D802" s="12"/>
    </row>
    <row r="803" spans="1:4" hidden="1" x14ac:dyDescent="0.2">
      <c r="A803" s="666" t="s">
        <v>579</v>
      </c>
      <c r="B803" s="665" t="s">
        <v>13</v>
      </c>
      <c r="C803" s="664">
        <v>43.76</v>
      </c>
      <c r="D803" s="12"/>
    </row>
    <row r="804" spans="1:4" hidden="1" x14ac:dyDescent="0.2">
      <c r="A804" s="662" t="s">
        <v>557</v>
      </c>
      <c r="B804" s="661"/>
      <c r="C804" s="660"/>
      <c r="D804" s="12"/>
    </row>
    <row r="805" spans="1:4" hidden="1" x14ac:dyDescent="0.2">
      <c r="A805" s="659" t="s">
        <v>654</v>
      </c>
      <c r="B805" s="658" t="s">
        <v>13</v>
      </c>
      <c r="C805" s="657">
        <v>12.1</v>
      </c>
      <c r="D805" s="12"/>
    </row>
    <row r="806" spans="1:4" hidden="1" x14ac:dyDescent="0.2">
      <c r="A806" s="666" t="s">
        <v>653</v>
      </c>
      <c r="B806" s="665" t="s">
        <v>13</v>
      </c>
      <c r="C806" s="664">
        <v>6.98</v>
      </c>
      <c r="D806" s="12"/>
    </row>
    <row r="807" spans="1:4" hidden="1" x14ac:dyDescent="0.2">
      <c r="A807" s="659" t="s">
        <v>603</v>
      </c>
      <c r="B807" s="658" t="s">
        <v>13</v>
      </c>
      <c r="C807" s="657">
        <v>3.31</v>
      </c>
      <c r="D807" s="12"/>
    </row>
    <row r="808" spans="1:4" hidden="1" x14ac:dyDescent="0.2">
      <c r="A808" s="666" t="s">
        <v>602</v>
      </c>
      <c r="B808" s="665" t="s">
        <v>13</v>
      </c>
      <c r="C808" s="664">
        <v>6.44</v>
      </c>
      <c r="D808" s="12"/>
    </row>
    <row r="809" spans="1:4" hidden="1" x14ac:dyDescent="0.2">
      <c r="A809" s="659" t="s">
        <v>652</v>
      </c>
      <c r="B809" s="658" t="s">
        <v>13</v>
      </c>
      <c r="C809" s="657">
        <v>36.83</v>
      </c>
      <c r="D809" s="12"/>
    </row>
    <row r="810" spans="1:4" hidden="1" x14ac:dyDescent="0.2">
      <c r="A810" s="666" t="s">
        <v>651</v>
      </c>
      <c r="B810" s="665" t="s">
        <v>13</v>
      </c>
      <c r="C810" s="664">
        <v>17.95</v>
      </c>
      <c r="D810" s="12"/>
    </row>
    <row r="811" spans="1:4" hidden="1" x14ac:dyDescent="0.2">
      <c r="A811" s="659" t="s">
        <v>650</v>
      </c>
      <c r="B811" s="658" t="s">
        <v>13</v>
      </c>
      <c r="C811" s="657">
        <v>22.97</v>
      </c>
      <c r="D811" s="12"/>
    </row>
    <row r="812" spans="1:4" hidden="1" x14ac:dyDescent="0.2">
      <c r="A812" s="666" t="s">
        <v>649</v>
      </c>
      <c r="B812" s="665" t="s">
        <v>13</v>
      </c>
      <c r="C812" s="664">
        <v>5.43</v>
      </c>
      <c r="D812" s="12"/>
    </row>
    <row r="813" spans="1:4" hidden="1" x14ac:dyDescent="0.2">
      <c r="A813" s="659" t="s">
        <v>648</v>
      </c>
      <c r="B813" s="658" t="s">
        <v>13</v>
      </c>
      <c r="C813" s="657">
        <v>10.6</v>
      </c>
      <c r="D813" s="12"/>
    </row>
    <row r="814" spans="1:4" hidden="1" x14ac:dyDescent="0.2">
      <c r="A814" s="666" t="s">
        <v>647</v>
      </c>
      <c r="B814" s="665" t="s">
        <v>13</v>
      </c>
      <c r="C814" s="664">
        <v>6.95</v>
      </c>
      <c r="D814" s="12"/>
    </row>
    <row r="815" spans="1:4" hidden="1" x14ac:dyDescent="0.2">
      <c r="A815" s="659" t="s">
        <v>646</v>
      </c>
      <c r="B815" s="658" t="s">
        <v>13</v>
      </c>
      <c r="C815" s="657">
        <v>9.51</v>
      </c>
      <c r="D815" s="12"/>
    </row>
    <row r="816" spans="1:4" hidden="1" x14ac:dyDescent="0.2">
      <c r="A816" s="666" t="s">
        <v>645</v>
      </c>
      <c r="B816" s="665" t="s">
        <v>13</v>
      </c>
      <c r="C816" s="664">
        <v>2.99</v>
      </c>
      <c r="D816" s="12"/>
    </row>
    <row r="817" spans="1:4" hidden="1" x14ac:dyDescent="0.2">
      <c r="A817" s="662" t="s">
        <v>220</v>
      </c>
      <c r="B817" s="661"/>
      <c r="C817" s="660"/>
      <c r="D817" s="12"/>
    </row>
    <row r="818" spans="1:4" hidden="1" x14ac:dyDescent="0.2">
      <c r="A818" s="659" t="s">
        <v>599</v>
      </c>
      <c r="B818" s="658" t="s">
        <v>13</v>
      </c>
      <c r="C818" s="657">
        <v>197.77</v>
      </c>
      <c r="D818" s="12"/>
    </row>
    <row r="819" spans="1:4" hidden="1" x14ac:dyDescent="0.2">
      <c r="A819" s="666" t="s">
        <v>644</v>
      </c>
      <c r="B819" s="665" t="s">
        <v>13</v>
      </c>
      <c r="C819" s="664">
        <v>7.88</v>
      </c>
      <c r="D819" s="12"/>
    </row>
    <row r="820" spans="1:4" ht="25.5" hidden="1" x14ac:dyDescent="0.2">
      <c r="A820" s="659" t="s">
        <v>643</v>
      </c>
      <c r="B820" s="658" t="s">
        <v>13</v>
      </c>
      <c r="C820" s="657">
        <v>2.82</v>
      </c>
      <c r="D820" s="12"/>
    </row>
    <row r="821" spans="1:4" hidden="1" x14ac:dyDescent="0.2">
      <c r="A821" s="662" t="s">
        <v>598</v>
      </c>
      <c r="B821" s="661"/>
      <c r="C821" s="660"/>
      <c r="D821" s="12"/>
    </row>
    <row r="822" spans="1:4" hidden="1" x14ac:dyDescent="0.2">
      <c r="A822" s="666" t="s">
        <v>642</v>
      </c>
      <c r="B822" s="665" t="s">
        <v>13</v>
      </c>
      <c r="C822" s="664">
        <v>5.27</v>
      </c>
      <c r="D822" s="12"/>
    </row>
    <row r="823" spans="1:4" hidden="1" x14ac:dyDescent="0.2">
      <c r="A823" s="662" t="s">
        <v>576</v>
      </c>
      <c r="B823" s="661"/>
      <c r="C823" s="660"/>
      <c r="D823" s="12"/>
    </row>
    <row r="824" spans="1:4" hidden="1" x14ac:dyDescent="0.2">
      <c r="A824" s="659" t="s">
        <v>575</v>
      </c>
      <c r="B824" s="658" t="s">
        <v>13</v>
      </c>
      <c r="C824" s="657">
        <v>546.5</v>
      </c>
      <c r="D824" s="12"/>
    </row>
    <row r="825" spans="1:4" hidden="1" x14ac:dyDescent="0.2">
      <c r="A825" s="666" t="s">
        <v>574</v>
      </c>
      <c r="B825" s="665" t="s">
        <v>13</v>
      </c>
      <c r="C825" s="664">
        <v>153.68</v>
      </c>
      <c r="D825" s="12"/>
    </row>
    <row r="826" spans="1:4" hidden="1" x14ac:dyDescent="0.2">
      <c r="A826" s="662" t="s">
        <v>573</v>
      </c>
      <c r="B826" s="661"/>
      <c r="C826" s="660"/>
      <c r="D826" s="12"/>
    </row>
    <row r="827" spans="1:4" hidden="1" x14ac:dyDescent="0.2">
      <c r="A827" s="659" t="s">
        <v>572</v>
      </c>
      <c r="B827" s="658" t="s">
        <v>13</v>
      </c>
      <c r="C827" s="657">
        <v>700.18</v>
      </c>
      <c r="D827" s="12"/>
    </row>
    <row r="828" spans="1:4" hidden="1" x14ac:dyDescent="0.2">
      <c r="A828" s="662" t="s">
        <v>224</v>
      </c>
      <c r="B828" s="661"/>
      <c r="C828" s="660"/>
      <c r="D828" s="12"/>
    </row>
    <row r="829" spans="1:4" hidden="1" x14ac:dyDescent="0.2">
      <c r="A829" s="666" t="s">
        <v>571</v>
      </c>
      <c r="B829" s="665" t="s">
        <v>13</v>
      </c>
      <c r="C829" s="664">
        <v>45.24</v>
      </c>
      <c r="D829" s="12"/>
    </row>
    <row r="830" spans="1:4" hidden="1" x14ac:dyDescent="0.2">
      <c r="A830" s="662" t="s">
        <v>218</v>
      </c>
      <c r="B830" s="661"/>
      <c r="C830" s="660"/>
      <c r="D830" s="12"/>
    </row>
    <row r="831" spans="1:4" hidden="1" x14ac:dyDescent="0.2">
      <c r="A831" s="659" t="s">
        <v>570</v>
      </c>
      <c r="B831" s="658" t="s">
        <v>13</v>
      </c>
      <c r="C831" s="657">
        <v>37.35</v>
      </c>
      <c r="D831" s="12"/>
    </row>
    <row r="832" spans="1:4" hidden="1" x14ac:dyDescent="0.2">
      <c r="A832" s="662" t="s">
        <v>219</v>
      </c>
      <c r="B832" s="661"/>
      <c r="C832" s="660"/>
      <c r="D832" s="12"/>
    </row>
    <row r="833" spans="1:4" hidden="1" x14ac:dyDescent="0.2">
      <c r="A833" s="666" t="s">
        <v>641</v>
      </c>
      <c r="B833" s="665" t="s">
        <v>13</v>
      </c>
      <c r="C833" s="664">
        <v>187.88</v>
      </c>
      <c r="D833" s="12"/>
    </row>
    <row r="834" spans="1:4" hidden="1" x14ac:dyDescent="0.2">
      <c r="A834" s="662" t="s">
        <v>222</v>
      </c>
      <c r="B834" s="661"/>
      <c r="C834" s="660"/>
      <c r="D834" s="12"/>
    </row>
    <row r="835" spans="1:4" hidden="1" x14ac:dyDescent="0.2">
      <c r="A835" s="659" t="s">
        <v>640</v>
      </c>
      <c r="B835" s="658" t="s">
        <v>13</v>
      </c>
      <c r="C835" s="657">
        <v>93.11</v>
      </c>
      <c r="D835" s="12"/>
    </row>
    <row r="836" spans="1:4" hidden="1" x14ac:dyDescent="0.2">
      <c r="A836" s="666" t="s">
        <v>639</v>
      </c>
      <c r="B836" s="665" t="s">
        <v>13</v>
      </c>
      <c r="C836" s="664">
        <v>23.38</v>
      </c>
      <c r="D836" s="12"/>
    </row>
    <row r="837" spans="1:4" hidden="1" x14ac:dyDescent="0.2">
      <c r="A837" s="659" t="s">
        <v>638</v>
      </c>
      <c r="B837" s="658" t="s">
        <v>13</v>
      </c>
      <c r="C837" s="657">
        <v>8.48</v>
      </c>
      <c r="D837" s="12"/>
    </row>
    <row r="838" spans="1:4" hidden="1" x14ac:dyDescent="0.2">
      <c r="A838" s="662" t="s">
        <v>637</v>
      </c>
      <c r="B838" s="661"/>
      <c r="C838" s="660"/>
      <c r="D838" s="12"/>
    </row>
    <row r="839" spans="1:4" hidden="1" x14ac:dyDescent="0.2">
      <c r="A839" s="666" t="s">
        <v>636</v>
      </c>
      <c r="B839" s="665" t="s">
        <v>13</v>
      </c>
      <c r="C839" s="664">
        <v>63.69</v>
      </c>
      <c r="D839" s="12"/>
    </row>
    <row r="840" spans="1:4" hidden="1" x14ac:dyDescent="0.2">
      <c r="A840" s="662" t="s">
        <v>635</v>
      </c>
      <c r="B840" s="661"/>
      <c r="C840" s="660"/>
      <c r="D840" s="12"/>
    </row>
    <row r="841" spans="1:4" hidden="1" x14ac:dyDescent="0.2">
      <c r="A841" s="659" t="s">
        <v>634</v>
      </c>
      <c r="B841" s="658" t="s">
        <v>3</v>
      </c>
      <c r="C841" s="657">
        <v>158.85</v>
      </c>
      <c r="D841" s="12"/>
    </row>
    <row r="842" spans="1:4" hidden="1" x14ac:dyDescent="0.2">
      <c r="A842" s="662" t="s">
        <v>346</v>
      </c>
      <c r="B842" s="661"/>
      <c r="C842" s="660"/>
      <c r="D842" s="12"/>
    </row>
    <row r="843" spans="1:4" hidden="1" x14ac:dyDescent="0.2">
      <c r="A843" s="666" t="s">
        <v>633</v>
      </c>
      <c r="B843" s="665" t="s">
        <v>13</v>
      </c>
      <c r="C843" s="664">
        <v>0.85</v>
      </c>
      <c r="D843" s="12"/>
    </row>
    <row r="844" spans="1:4" hidden="1" x14ac:dyDescent="0.2">
      <c r="A844" s="662" t="s">
        <v>217</v>
      </c>
      <c r="B844" s="661"/>
      <c r="C844" s="660"/>
      <c r="D844" s="12"/>
    </row>
    <row r="845" spans="1:4" hidden="1" x14ac:dyDescent="0.2">
      <c r="A845" s="659" t="s">
        <v>632</v>
      </c>
      <c r="B845" s="658" t="s">
        <v>13</v>
      </c>
      <c r="C845" s="657">
        <v>3.2</v>
      </c>
      <c r="D845" s="12"/>
    </row>
    <row r="846" spans="1:4" hidden="1" x14ac:dyDescent="0.2">
      <c r="A846" s="662" t="s">
        <v>215</v>
      </c>
      <c r="B846" s="661"/>
      <c r="C846" s="660"/>
      <c r="D846" s="12"/>
    </row>
    <row r="847" spans="1:4" hidden="1" x14ac:dyDescent="0.2">
      <c r="A847" s="666" t="s">
        <v>631</v>
      </c>
      <c r="B847" s="665" t="s">
        <v>13</v>
      </c>
      <c r="C847" s="664">
        <v>58.23</v>
      </c>
      <c r="D847" s="12"/>
    </row>
    <row r="848" spans="1:4" hidden="1" x14ac:dyDescent="0.2">
      <c r="A848" s="659" t="s">
        <v>630</v>
      </c>
      <c r="B848" s="658" t="s">
        <v>13</v>
      </c>
      <c r="C848" s="657">
        <v>108</v>
      </c>
      <c r="D848" s="12"/>
    </row>
    <row r="849" spans="1:4" hidden="1" x14ac:dyDescent="0.2">
      <c r="A849" s="662" t="s">
        <v>231</v>
      </c>
      <c r="B849" s="661"/>
      <c r="C849" s="660"/>
      <c r="D849" s="12"/>
    </row>
    <row r="850" spans="1:4" hidden="1" x14ac:dyDescent="0.2">
      <c r="A850" s="666" t="s">
        <v>595</v>
      </c>
      <c r="B850" s="665" t="s">
        <v>13</v>
      </c>
      <c r="C850" s="664">
        <v>6.72</v>
      </c>
      <c r="D850" s="12"/>
    </row>
    <row r="851" spans="1:4" hidden="1" x14ac:dyDescent="0.2">
      <c r="A851" s="659" t="s">
        <v>629</v>
      </c>
      <c r="B851" s="658" t="s">
        <v>13</v>
      </c>
      <c r="C851" s="657">
        <v>7.88</v>
      </c>
      <c r="D851" s="12"/>
    </row>
    <row r="852" spans="1:4" hidden="1" x14ac:dyDescent="0.2">
      <c r="A852" s="666" t="s">
        <v>594</v>
      </c>
      <c r="B852" s="665" t="s">
        <v>13</v>
      </c>
      <c r="C852" s="664">
        <v>17.21</v>
      </c>
      <c r="D852" s="12"/>
    </row>
    <row r="853" spans="1:4" hidden="1" x14ac:dyDescent="0.2">
      <c r="A853" s="662" t="s">
        <v>569</v>
      </c>
      <c r="B853" s="661"/>
      <c r="C853" s="660"/>
      <c r="D853" s="12"/>
    </row>
    <row r="854" spans="1:4" hidden="1" x14ac:dyDescent="0.2">
      <c r="A854" s="659" t="s">
        <v>628</v>
      </c>
      <c r="B854" s="658" t="s">
        <v>13</v>
      </c>
      <c r="C854" s="657">
        <v>31.33</v>
      </c>
      <c r="D854" s="12"/>
    </row>
    <row r="855" spans="1:4" hidden="1" x14ac:dyDescent="0.2">
      <c r="A855" s="666" t="s">
        <v>627</v>
      </c>
      <c r="B855" s="665" t="s">
        <v>13</v>
      </c>
      <c r="C855" s="664">
        <v>420.78</v>
      </c>
      <c r="D855" s="12"/>
    </row>
    <row r="856" spans="1:4" hidden="1" x14ac:dyDescent="0.2">
      <c r="A856" s="659" t="s">
        <v>626</v>
      </c>
      <c r="B856" s="658" t="s">
        <v>13</v>
      </c>
      <c r="C856" s="657">
        <v>2.93</v>
      </c>
      <c r="D856" s="12"/>
    </row>
    <row r="857" spans="1:4" hidden="1" x14ac:dyDescent="0.2">
      <c r="A857" s="666" t="s">
        <v>592</v>
      </c>
      <c r="B857" s="665" t="s">
        <v>13</v>
      </c>
      <c r="C857" s="664">
        <v>78.91</v>
      </c>
      <c r="D857" s="12"/>
    </row>
    <row r="858" spans="1:4" hidden="1" x14ac:dyDescent="0.2">
      <c r="A858" s="662" t="s">
        <v>567</v>
      </c>
      <c r="B858" s="661"/>
      <c r="C858" s="660"/>
      <c r="D858" s="12"/>
    </row>
    <row r="859" spans="1:4" hidden="1" x14ac:dyDescent="0.2">
      <c r="A859" s="659" t="s">
        <v>566</v>
      </c>
      <c r="B859" s="658" t="s">
        <v>13</v>
      </c>
      <c r="C859" s="657">
        <v>225.23</v>
      </c>
      <c r="D859" s="12"/>
    </row>
    <row r="860" spans="1:4" hidden="1" x14ac:dyDescent="0.2">
      <c r="A860" s="662" t="s">
        <v>235</v>
      </c>
      <c r="B860" s="661"/>
      <c r="C860" s="660"/>
      <c r="D860" s="12"/>
    </row>
    <row r="861" spans="1:4" hidden="1" x14ac:dyDescent="0.2">
      <c r="A861" s="666" t="s">
        <v>554</v>
      </c>
      <c r="B861" s="665" t="s">
        <v>3</v>
      </c>
      <c r="C861" s="664">
        <v>108.4</v>
      </c>
      <c r="D861" s="12"/>
    </row>
    <row r="862" spans="1:4" hidden="1" x14ac:dyDescent="0.2">
      <c r="A862" s="662" t="s">
        <v>236</v>
      </c>
      <c r="B862" s="661"/>
      <c r="C862" s="660"/>
      <c r="D862" s="12"/>
    </row>
    <row r="863" spans="1:4" hidden="1" x14ac:dyDescent="0.2">
      <c r="A863" s="659" t="s">
        <v>591</v>
      </c>
      <c r="B863" s="658" t="s">
        <v>13</v>
      </c>
      <c r="C863" s="657">
        <v>1.04</v>
      </c>
      <c r="D863" s="12"/>
    </row>
    <row r="864" spans="1:4" hidden="1" x14ac:dyDescent="0.2">
      <c r="A864" s="666" t="s">
        <v>590</v>
      </c>
      <c r="B864" s="665" t="s">
        <v>13</v>
      </c>
      <c r="C864" s="664">
        <v>1.04</v>
      </c>
      <c r="D864" s="12"/>
    </row>
    <row r="865" spans="1:4" hidden="1" x14ac:dyDescent="0.2">
      <c r="A865" s="659" t="s">
        <v>625</v>
      </c>
      <c r="B865" s="658" t="s">
        <v>13</v>
      </c>
      <c r="C865" s="657">
        <v>2.25</v>
      </c>
      <c r="D865" s="12"/>
    </row>
    <row r="866" spans="1:4" hidden="1" x14ac:dyDescent="0.2">
      <c r="A866" s="666" t="s">
        <v>624</v>
      </c>
      <c r="B866" s="665" t="s">
        <v>13</v>
      </c>
      <c r="C866" s="664">
        <v>8.86</v>
      </c>
      <c r="D866" s="12"/>
    </row>
    <row r="867" spans="1:4" hidden="1" x14ac:dyDescent="0.2">
      <c r="A867" s="659" t="s">
        <v>623</v>
      </c>
      <c r="B867" s="658" t="s">
        <v>3</v>
      </c>
      <c r="C867" s="657">
        <v>2.5</v>
      </c>
      <c r="D867" s="12"/>
    </row>
    <row r="868" spans="1:4" hidden="1" x14ac:dyDescent="0.2">
      <c r="A868" s="666" t="s">
        <v>622</v>
      </c>
      <c r="B868" s="665" t="s">
        <v>3</v>
      </c>
      <c r="C868" s="664">
        <v>7.4</v>
      </c>
      <c r="D868" s="12"/>
    </row>
    <row r="869" spans="1:4" hidden="1" x14ac:dyDescent="0.2">
      <c r="A869" s="659" t="s">
        <v>621</v>
      </c>
      <c r="B869" s="658" t="s">
        <v>13</v>
      </c>
      <c r="C869" s="657">
        <v>0.36</v>
      </c>
      <c r="D869" s="12"/>
    </row>
    <row r="870" spans="1:4" hidden="1" x14ac:dyDescent="0.2">
      <c r="A870" s="666" t="s">
        <v>620</v>
      </c>
      <c r="B870" s="665" t="s">
        <v>13</v>
      </c>
      <c r="C870" s="664">
        <v>1.18</v>
      </c>
      <c r="D870" s="12"/>
    </row>
    <row r="871" spans="1:4" hidden="1" x14ac:dyDescent="0.2">
      <c r="A871" s="659" t="s">
        <v>619</v>
      </c>
      <c r="B871" s="658" t="s">
        <v>13</v>
      </c>
      <c r="C871" s="657">
        <v>4.03</v>
      </c>
      <c r="D871" s="12"/>
    </row>
    <row r="872" spans="1:4" hidden="1" x14ac:dyDescent="0.2">
      <c r="A872" s="666" t="s">
        <v>618</v>
      </c>
      <c r="B872" s="665" t="s">
        <v>13</v>
      </c>
      <c r="C872" s="664">
        <v>11.09</v>
      </c>
      <c r="D872" s="12"/>
    </row>
    <row r="873" spans="1:4" hidden="1" x14ac:dyDescent="0.2">
      <c r="A873" s="659" t="s">
        <v>617</v>
      </c>
      <c r="B873" s="658" t="s">
        <v>13</v>
      </c>
      <c r="C873" s="657">
        <v>0.05</v>
      </c>
      <c r="D873" s="12"/>
    </row>
    <row r="874" spans="1:4" hidden="1" x14ac:dyDescent="0.2">
      <c r="A874" s="666" t="s">
        <v>616</v>
      </c>
      <c r="B874" s="665" t="s">
        <v>13</v>
      </c>
      <c r="C874" s="664">
        <v>0.89</v>
      </c>
      <c r="D874" s="12"/>
    </row>
    <row r="875" spans="1:4" hidden="1" x14ac:dyDescent="0.2">
      <c r="A875" s="659" t="s">
        <v>615</v>
      </c>
      <c r="B875" s="658" t="s">
        <v>13</v>
      </c>
      <c r="C875" s="657">
        <v>0.02</v>
      </c>
      <c r="D875" s="12"/>
    </row>
    <row r="876" spans="1:4" hidden="1" x14ac:dyDescent="0.2">
      <c r="A876" s="666" t="s">
        <v>614</v>
      </c>
      <c r="B876" s="665" t="s">
        <v>13</v>
      </c>
      <c r="C876" s="664">
        <v>0.38</v>
      </c>
      <c r="D876" s="12"/>
    </row>
    <row r="877" spans="1:4" hidden="1" x14ac:dyDescent="0.2">
      <c r="A877" s="662" t="s">
        <v>240</v>
      </c>
      <c r="B877" s="661"/>
      <c r="C877" s="660"/>
      <c r="D877" s="12"/>
    </row>
    <row r="878" spans="1:4" hidden="1" x14ac:dyDescent="0.2">
      <c r="A878" s="659" t="s">
        <v>613</v>
      </c>
      <c r="B878" s="658" t="s">
        <v>3</v>
      </c>
      <c r="C878" s="657">
        <v>14.53</v>
      </c>
      <c r="D878" s="12"/>
    </row>
    <row r="879" spans="1:4" hidden="1" x14ac:dyDescent="0.2">
      <c r="A879" s="666" t="s">
        <v>612</v>
      </c>
      <c r="B879" s="665" t="s">
        <v>2</v>
      </c>
      <c r="C879" s="664">
        <v>8</v>
      </c>
      <c r="D879" s="12"/>
    </row>
    <row r="880" spans="1:4" hidden="1" x14ac:dyDescent="0.2">
      <c r="A880" s="659" t="s">
        <v>611</v>
      </c>
      <c r="B880" s="658" t="s">
        <v>2</v>
      </c>
      <c r="C880" s="657">
        <v>6</v>
      </c>
      <c r="D880" s="12"/>
    </row>
    <row r="881" spans="1:4" hidden="1" x14ac:dyDescent="0.2">
      <c r="A881" s="666" t="s">
        <v>610</v>
      </c>
      <c r="B881" s="665" t="s">
        <v>2</v>
      </c>
      <c r="C881" s="664">
        <v>3</v>
      </c>
      <c r="D881" s="12"/>
    </row>
    <row r="882" spans="1:4" hidden="1" x14ac:dyDescent="0.2">
      <c r="A882" s="662" t="s">
        <v>244</v>
      </c>
      <c r="B882" s="661"/>
      <c r="C882" s="660"/>
      <c r="D882" s="12"/>
    </row>
    <row r="883" spans="1:4" hidden="1" x14ac:dyDescent="0.2">
      <c r="A883" s="659" t="s">
        <v>586</v>
      </c>
      <c r="B883" s="658" t="s">
        <v>2</v>
      </c>
      <c r="C883" s="657">
        <v>1</v>
      </c>
      <c r="D883" s="12"/>
    </row>
    <row r="884" spans="1:4" hidden="1" x14ac:dyDescent="0.2">
      <c r="A884" s="666" t="s">
        <v>585</v>
      </c>
      <c r="B884" s="665" t="s">
        <v>2</v>
      </c>
      <c r="C884" s="664">
        <v>1</v>
      </c>
      <c r="D884" s="12"/>
    </row>
    <row r="885" spans="1:4" hidden="1" x14ac:dyDescent="0.2">
      <c r="A885" s="659" t="s">
        <v>609</v>
      </c>
      <c r="B885" s="658" t="s">
        <v>2</v>
      </c>
      <c r="C885" s="657">
        <v>2</v>
      </c>
      <c r="D885" s="12"/>
    </row>
    <row r="886" spans="1:4" hidden="1" x14ac:dyDescent="0.2">
      <c r="A886" s="662" t="s">
        <v>552</v>
      </c>
      <c r="B886" s="661"/>
      <c r="C886" s="660"/>
      <c r="D886" s="12"/>
    </row>
    <row r="887" spans="1:4" hidden="1" x14ac:dyDescent="0.2">
      <c r="A887" s="666" t="s">
        <v>551</v>
      </c>
      <c r="B887" s="665" t="s">
        <v>13</v>
      </c>
      <c r="C887" s="664">
        <v>89.87</v>
      </c>
      <c r="D887" s="12"/>
    </row>
    <row r="888" spans="1:4" hidden="1" x14ac:dyDescent="0.2">
      <c r="A888" s="659" t="s">
        <v>565</v>
      </c>
      <c r="B888" s="658" t="s">
        <v>13</v>
      </c>
      <c r="C888" s="657">
        <v>82.74</v>
      </c>
      <c r="D888" s="12"/>
    </row>
    <row r="889" spans="1:4" hidden="1" x14ac:dyDescent="0.2">
      <c r="A889" s="662" t="s">
        <v>550</v>
      </c>
      <c r="B889" s="661"/>
      <c r="C889" s="660"/>
      <c r="D889" s="12"/>
    </row>
    <row r="890" spans="1:4" hidden="1" x14ac:dyDescent="0.2">
      <c r="A890" s="666" t="s">
        <v>549</v>
      </c>
      <c r="B890" s="665" t="s">
        <v>13</v>
      </c>
      <c r="C890" s="664">
        <v>172.6</v>
      </c>
      <c r="D890" s="12"/>
    </row>
    <row r="891" spans="1:4" hidden="1" x14ac:dyDescent="0.2">
      <c r="A891" s="662" t="s">
        <v>273</v>
      </c>
      <c r="B891" s="661"/>
      <c r="C891" s="660"/>
      <c r="D891" s="12"/>
    </row>
    <row r="892" spans="1:4" hidden="1" x14ac:dyDescent="0.2">
      <c r="A892" s="659" t="s">
        <v>564</v>
      </c>
      <c r="B892" s="658" t="s">
        <v>13</v>
      </c>
      <c r="C892" s="657">
        <v>77.59</v>
      </c>
      <c r="D892" s="12"/>
    </row>
    <row r="893" spans="1:4" hidden="1" x14ac:dyDescent="0.2">
      <c r="A893" s="666" t="s">
        <v>608</v>
      </c>
      <c r="B893" s="665" t="s">
        <v>13</v>
      </c>
      <c r="C893" s="664">
        <v>8.0500000000000007</v>
      </c>
      <c r="D893" s="12"/>
    </row>
    <row r="894" spans="1:4" hidden="1" x14ac:dyDescent="0.2">
      <c r="A894" s="659" t="s">
        <v>607</v>
      </c>
      <c r="B894" s="658" t="s">
        <v>13</v>
      </c>
      <c r="C894" s="657">
        <v>5.14</v>
      </c>
      <c r="D894" s="12"/>
    </row>
    <row r="895" spans="1:4" hidden="1" x14ac:dyDescent="0.2">
      <c r="A895" s="666" t="s">
        <v>548</v>
      </c>
      <c r="B895" s="665" t="s">
        <v>13</v>
      </c>
      <c r="C895" s="664">
        <v>81.819999999999993</v>
      </c>
      <c r="D895" s="12"/>
    </row>
    <row r="896" spans="1:4" hidden="1" x14ac:dyDescent="0.2">
      <c r="A896" s="669" t="s">
        <v>672</v>
      </c>
      <c r="B896" s="668"/>
      <c r="C896" s="667"/>
      <c r="D896" s="12"/>
    </row>
    <row r="897" spans="1:4" hidden="1" x14ac:dyDescent="0.2">
      <c r="A897" s="662" t="s">
        <v>208</v>
      </c>
      <c r="B897" s="661"/>
      <c r="C897" s="660"/>
      <c r="D897" s="12"/>
    </row>
    <row r="898" spans="1:4" hidden="1" x14ac:dyDescent="0.2">
      <c r="A898" s="659" t="s">
        <v>656</v>
      </c>
      <c r="B898" s="658" t="s">
        <v>13</v>
      </c>
      <c r="C898" s="657">
        <v>2.7</v>
      </c>
      <c r="D898" s="12"/>
    </row>
    <row r="899" spans="1:4" hidden="1" x14ac:dyDescent="0.2">
      <c r="A899" s="666" t="s">
        <v>562</v>
      </c>
      <c r="B899" s="665" t="s">
        <v>13</v>
      </c>
      <c r="C899" s="664">
        <v>197.84</v>
      </c>
      <c r="D899" s="12"/>
    </row>
    <row r="900" spans="1:4" hidden="1" x14ac:dyDescent="0.2">
      <c r="A900" s="659" t="s">
        <v>581</v>
      </c>
      <c r="B900" s="658" t="s">
        <v>13</v>
      </c>
      <c r="C900" s="657">
        <v>107.86</v>
      </c>
      <c r="D900" s="12"/>
    </row>
    <row r="901" spans="1:4" hidden="1" x14ac:dyDescent="0.2">
      <c r="A901" s="662" t="s">
        <v>605</v>
      </c>
      <c r="B901" s="661"/>
      <c r="C901" s="660"/>
      <c r="D901" s="12"/>
    </row>
    <row r="902" spans="1:4" hidden="1" x14ac:dyDescent="0.2">
      <c r="A902" s="666" t="s">
        <v>604</v>
      </c>
      <c r="B902" s="665" t="s">
        <v>13</v>
      </c>
      <c r="C902" s="664">
        <v>85</v>
      </c>
      <c r="D902" s="12"/>
    </row>
    <row r="903" spans="1:4" hidden="1" x14ac:dyDescent="0.2">
      <c r="A903" s="662" t="s">
        <v>561</v>
      </c>
      <c r="B903" s="661"/>
      <c r="C903" s="660"/>
      <c r="D903" s="12"/>
    </row>
    <row r="904" spans="1:4" hidden="1" x14ac:dyDescent="0.2">
      <c r="A904" s="659" t="s">
        <v>580</v>
      </c>
      <c r="B904" s="658" t="s">
        <v>3</v>
      </c>
      <c r="C904" s="657">
        <v>172.74</v>
      </c>
      <c r="D904" s="12"/>
    </row>
    <row r="905" spans="1:4" hidden="1" x14ac:dyDescent="0.2">
      <c r="A905" s="666" t="s">
        <v>560</v>
      </c>
      <c r="B905" s="665" t="s">
        <v>13</v>
      </c>
      <c r="C905" s="664">
        <v>196.7</v>
      </c>
      <c r="D905" s="12"/>
    </row>
    <row r="906" spans="1:4" hidden="1" x14ac:dyDescent="0.2">
      <c r="A906" s="659" t="s">
        <v>559</v>
      </c>
      <c r="B906" s="658" t="s">
        <v>3</v>
      </c>
      <c r="C906" s="657">
        <v>98</v>
      </c>
      <c r="D906" s="12"/>
    </row>
    <row r="907" spans="1:4" hidden="1" x14ac:dyDescent="0.2">
      <c r="A907" s="662" t="s">
        <v>212</v>
      </c>
      <c r="B907" s="661"/>
      <c r="C907" s="660"/>
      <c r="D907" s="12"/>
    </row>
    <row r="908" spans="1:4" hidden="1" x14ac:dyDescent="0.2">
      <c r="A908" s="666" t="s">
        <v>579</v>
      </c>
      <c r="B908" s="665" t="s">
        <v>13</v>
      </c>
      <c r="C908" s="664">
        <v>43.76</v>
      </c>
      <c r="D908" s="12"/>
    </row>
    <row r="909" spans="1:4" hidden="1" x14ac:dyDescent="0.2">
      <c r="A909" s="662" t="s">
        <v>557</v>
      </c>
      <c r="B909" s="661"/>
      <c r="C909" s="660"/>
      <c r="D909" s="12"/>
    </row>
    <row r="910" spans="1:4" hidden="1" x14ac:dyDescent="0.2">
      <c r="A910" s="659" t="s">
        <v>654</v>
      </c>
      <c r="B910" s="658" t="s">
        <v>13</v>
      </c>
      <c r="C910" s="657">
        <v>12.1</v>
      </c>
      <c r="D910" s="12"/>
    </row>
    <row r="911" spans="1:4" hidden="1" x14ac:dyDescent="0.2">
      <c r="A911" s="666" t="s">
        <v>653</v>
      </c>
      <c r="B911" s="665" t="s">
        <v>13</v>
      </c>
      <c r="C911" s="664">
        <v>6.98</v>
      </c>
      <c r="D911" s="12"/>
    </row>
    <row r="912" spans="1:4" hidden="1" x14ac:dyDescent="0.2">
      <c r="A912" s="659" t="s">
        <v>603</v>
      </c>
      <c r="B912" s="658" t="s">
        <v>13</v>
      </c>
      <c r="C912" s="657">
        <v>3.31</v>
      </c>
      <c r="D912" s="12"/>
    </row>
    <row r="913" spans="1:4" hidden="1" x14ac:dyDescent="0.2">
      <c r="A913" s="666" t="s">
        <v>602</v>
      </c>
      <c r="B913" s="665" t="s">
        <v>13</v>
      </c>
      <c r="C913" s="664">
        <v>6.44</v>
      </c>
      <c r="D913" s="12"/>
    </row>
    <row r="914" spans="1:4" hidden="1" x14ac:dyDescent="0.2">
      <c r="A914" s="659" t="s">
        <v>652</v>
      </c>
      <c r="B914" s="658" t="s">
        <v>13</v>
      </c>
      <c r="C914" s="657">
        <v>36.83</v>
      </c>
      <c r="D914" s="12"/>
    </row>
    <row r="915" spans="1:4" hidden="1" x14ac:dyDescent="0.2">
      <c r="A915" s="666" t="s">
        <v>651</v>
      </c>
      <c r="B915" s="665" t="s">
        <v>13</v>
      </c>
      <c r="C915" s="664">
        <v>17.95</v>
      </c>
      <c r="D915" s="12"/>
    </row>
    <row r="916" spans="1:4" hidden="1" x14ac:dyDescent="0.2">
      <c r="A916" s="659" t="s">
        <v>650</v>
      </c>
      <c r="B916" s="658" t="s">
        <v>13</v>
      </c>
      <c r="C916" s="657">
        <v>22.97</v>
      </c>
      <c r="D916" s="12"/>
    </row>
    <row r="917" spans="1:4" hidden="1" x14ac:dyDescent="0.2">
      <c r="A917" s="666" t="s">
        <v>649</v>
      </c>
      <c r="B917" s="665" t="s">
        <v>13</v>
      </c>
      <c r="C917" s="664">
        <v>5.43</v>
      </c>
      <c r="D917" s="12"/>
    </row>
    <row r="918" spans="1:4" hidden="1" x14ac:dyDescent="0.2">
      <c r="A918" s="659" t="s">
        <v>648</v>
      </c>
      <c r="B918" s="658" t="s">
        <v>13</v>
      </c>
      <c r="C918" s="657">
        <v>10.6</v>
      </c>
      <c r="D918" s="12"/>
    </row>
    <row r="919" spans="1:4" hidden="1" x14ac:dyDescent="0.2">
      <c r="A919" s="666" t="s">
        <v>647</v>
      </c>
      <c r="B919" s="665" t="s">
        <v>13</v>
      </c>
      <c r="C919" s="664">
        <v>6.95</v>
      </c>
      <c r="D919" s="12"/>
    </row>
    <row r="920" spans="1:4" hidden="1" x14ac:dyDescent="0.2">
      <c r="A920" s="659" t="s">
        <v>646</v>
      </c>
      <c r="B920" s="658" t="s">
        <v>13</v>
      </c>
      <c r="C920" s="657">
        <v>9.51</v>
      </c>
      <c r="D920" s="12"/>
    </row>
    <row r="921" spans="1:4" hidden="1" x14ac:dyDescent="0.2">
      <c r="A921" s="666" t="s">
        <v>645</v>
      </c>
      <c r="B921" s="665" t="s">
        <v>13</v>
      </c>
      <c r="C921" s="664">
        <v>2.99</v>
      </c>
      <c r="D921" s="12"/>
    </row>
    <row r="922" spans="1:4" hidden="1" x14ac:dyDescent="0.2">
      <c r="A922" s="662" t="s">
        <v>220</v>
      </c>
      <c r="B922" s="661"/>
      <c r="C922" s="660"/>
      <c r="D922" s="12"/>
    </row>
    <row r="923" spans="1:4" hidden="1" x14ac:dyDescent="0.2">
      <c r="A923" s="659" t="s">
        <v>599</v>
      </c>
      <c r="B923" s="658" t="s">
        <v>13</v>
      </c>
      <c r="C923" s="657">
        <v>197.8</v>
      </c>
      <c r="D923" s="12"/>
    </row>
    <row r="924" spans="1:4" hidden="1" x14ac:dyDescent="0.2">
      <c r="A924" s="666" t="s">
        <v>644</v>
      </c>
      <c r="B924" s="665" t="s">
        <v>13</v>
      </c>
      <c r="C924" s="664">
        <v>7.88</v>
      </c>
      <c r="D924" s="12"/>
    </row>
    <row r="925" spans="1:4" ht="25.5" hidden="1" x14ac:dyDescent="0.2">
      <c r="A925" s="659" t="s">
        <v>643</v>
      </c>
      <c r="B925" s="658" t="s">
        <v>13</v>
      </c>
      <c r="C925" s="657">
        <v>2.82</v>
      </c>
      <c r="D925" s="12"/>
    </row>
    <row r="926" spans="1:4" hidden="1" x14ac:dyDescent="0.2">
      <c r="A926" s="662" t="s">
        <v>598</v>
      </c>
      <c r="B926" s="661"/>
      <c r="C926" s="660"/>
      <c r="D926" s="12"/>
    </row>
    <row r="927" spans="1:4" hidden="1" x14ac:dyDescent="0.2">
      <c r="A927" s="666" t="s">
        <v>642</v>
      </c>
      <c r="B927" s="665" t="s">
        <v>13</v>
      </c>
      <c r="C927" s="664">
        <v>5.27</v>
      </c>
      <c r="D927" s="12"/>
    </row>
    <row r="928" spans="1:4" hidden="1" x14ac:dyDescent="0.2">
      <c r="A928" s="662" t="s">
        <v>576</v>
      </c>
      <c r="B928" s="661"/>
      <c r="C928" s="660"/>
      <c r="D928" s="12"/>
    </row>
    <row r="929" spans="1:4" hidden="1" x14ac:dyDescent="0.2">
      <c r="A929" s="659" t="s">
        <v>575</v>
      </c>
      <c r="B929" s="658" t="s">
        <v>13</v>
      </c>
      <c r="C929" s="657">
        <v>546.57000000000005</v>
      </c>
      <c r="D929" s="12"/>
    </row>
    <row r="930" spans="1:4" hidden="1" x14ac:dyDescent="0.2">
      <c r="A930" s="666" t="s">
        <v>574</v>
      </c>
      <c r="B930" s="665" t="s">
        <v>13</v>
      </c>
      <c r="C930" s="664">
        <v>153.74</v>
      </c>
      <c r="D930" s="12"/>
    </row>
    <row r="931" spans="1:4" hidden="1" x14ac:dyDescent="0.2">
      <c r="A931" s="662" t="s">
        <v>573</v>
      </c>
      <c r="B931" s="661"/>
      <c r="C931" s="660"/>
      <c r="D931" s="12"/>
    </row>
    <row r="932" spans="1:4" hidden="1" x14ac:dyDescent="0.2">
      <c r="A932" s="659" t="s">
        <v>572</v>
      </c>
      <c r="B932" s="658" t="s">
        <v>13</v>
      </c>
      <c r="C932" s="657">
        <v>700.3</v>
      </c>
      <c r="D932" s="12"/>
    </row>
    <row r="933" spans="1:4" hidden="1" x14ac:dyDescent="0.2">
      <c r="A933" s="662" t="s">
        <v>224</v>
      </c>
      <c r="B933" s="661"/>
      <c r="C933" s="660"/>
      <c r="D933" s="12"/>
    </row>
    <row r="934" spans="1:4" hidden="1" x14ac:dyDescent="0.2">
      <c r="A934" s="666" t="s">
        <v>571</v>
      </c>
      <c r="B934" s="665" t="s">
        <v>13</v>
      </c>
      <c r="C934" s="664">
        <v>45.24</v>
      </c>
      <c r="D934" s="12"/>
    </row>
    <row r="935" spans="1:4" hidden="1" x14ac:dyDescent="0.2">
      <c r="A935" s="662" t="s">
        <v>218</v>
      </c>
      <c r="B935" s="661"/>
      <c r="C935" s="660"/>
      <c r="D935" s="12"/>
    </row>
    <row r="936" spans="1:4" hidden="1" x14ac:dyDescent="0.2">
      <c r="A936" s="659" t="s">
        <v>570</v>
      </c>
      <c r="B936" s="658" t="s">
        <v>13</v>
      </c>
      <c r="C936" s="657">
        <v>37.35</v>
      </c>
      <c r="D936" s="12"/>
    </row>
    <row r="937" spans="1:4" hidden="1" x14ac:dyDescent="0.2">
      <c r="A937" s="662" t="s">
        <v>219</v>
      </c>
      <c r="B937" s="661"/>
      <c r="C937" s="660"/>
      <c r="D937" s="12"/>
    </row>
    <row r="938" spans="1:4" hidden="1" x14ac:dyDescent="0.2">
      <c r="A938" s="666" t="s">
        <v>641</v>
      </c>
      <c r="B938" s="665" t="s">
        <v>13</v>
      </c>
      <c r="C938" s="664">
        <v>187.88</v>
      </c>
      <c r="D938" s="12"/>
    </row>
    <row r="939" spans="1:4" hidden="1" x14ac:dyDescent="0.2">
      <c r="A939" s="662" t="s">
        <v>222</v>
      </c>
      <c r="B939" s="661"/>
      <c r="C939" s="660"/>
      <c r="D939" s="12"/>
    </row>
    <row r="940" spans="1:4" hidden="1" x14ac:dyDescent="0.2">
      <c r="A940" s="659" t="s">
        <v>640</v>
      </c>
      <c r="B940" s="658" t="s">
        <v>13</v>
      </c>
      <c r="C940" s="657">
        <v>93.13</v>
      </c>
      <c r="D940" s="12"/>
    </row>
    <row r="941" spans="1:4" hidden="1" x14ac:dyDescent="0.2">
      <c r="A941" s="666" t="s">
        <v>639</v>
      </c>
      <c r="B941" s="665" t="s">
        <v>13</v>
      </c>
      <c r="C941" s="664">
        <v>23.38</v>
      </c>
      <c r="D941" s="12"/>
    </row>
    <row r="942" spans="1:4" hidden="1" x14ac:dyDescent="0.2">
      <c r="A942" s="659" t="s">
        <v>638</v>
      </c>
      <c r="B942" s="658" t="s">
        <v>13</v>
      </c>
      <c r="C942" s="657">
        <v>8.48</v>
      </c>
      <c r="D942" s="12"/>
    </row>
    <row r="943" spans="1:4" hidden="1" x14ac:dyDescent="0.2">
      <c r="A943" s="662" t="s">
        <v>637</v>
      </c>
      <c r="B943" s="661"/>
      <c r="C943" s="660"/>
      <c r="D943" s="12"/>
    </row>
    <row r="944" spans="1:4" hidden="1" x14ac:dyDescent="0.2">
      <c r="A944" s="666" t="s">
        <v>636</v>
      </c>
      <c r="B944" s="665" t="s">
        <v>13</v>
      </c>
      <c r="C944" s="664">
        <v>63.69</v>
      </c>
      <c r="D944" s="12"/>
    </row>
    <row r="945" spans="1:4" hidden="1" x14ac:dyDescent="0.2">
      <c r="A945" s="662" t="s">
        <v>635</v>
      </c>
      <c r="B945" s="661"/>
      <c r="C945" s="660"/>
      <c r="D945" s="12"/>
    </row>
    <row r="946" spans="1:4" hidden="1" x14ac:dyDescent="0.2">
      <c r="A946" s="659" t="s">
        <v>634</v>
      </c>
      <c r="B946" s="658" t="s">
        <v>3</v>
      </c>
      <c r="C946" s="657">
        <v>158.85</v>
      </c>
      <c r="D946" s="12"/>
    </row>
    <row r="947" spans="1:4" hidden="1" x14ac:dyDescent="0.2">
      <c r="A947" s="662" t="s">
        <v>346</v>
      </c>
      <c r="B947" s="661"/>
      <c r="C947" s="660"/>
      <c r="D947" s="12"/>
    </row>
    <row r="948" spans="1:4" hidden="1" x14ac:dyDescent="0.2">
      <c r="A948" s="666" t="s">
        <v>633</v>
      </c>
      <c r="B948" s="665" t="s">
        <v>13</v>
      </c>
      <c r="C948" s="664">
        <v>0.85</v>
      </c>
      <c r="D948" s="12"/>
    </row>
    <row r="949" spans="1:4" hidden="1" x14ac:dyDescent="0.2">
      <c r="A949" s="662" t="s">
        <v>217</v>
      </c>
      <c r="B949" s="661"/>
      <c r="C949" s="660"/>
      <c r="D949" s="12"/>
    </row>
    <row r="950" spans="1:4" hidden="1" x14ac:dyDescent="0.2">
      <c r="A950" s="659" t="s">
        <v>632</v>
      </c>
      <c r="B950" s="658" t="s">
        <v>13</v>
      </c>
      <c r="C950" s="657">
        <v>3.2</v>
      </c>
      <c r="D950" s="12"/>
    </row>
    <row r="951" spans="1:4" hidden="1" x14ac:dyDescent="0.2">
      <c r="A951" s="662" t="s">
        <v>215</v>
      </c>
      <c r="B951" s="661"/>
      <c r="C951" s="660"/>
      <c r="D951" s="12"/>
    </row>
    <row r="952" spans="1:4" hidden="1" x14ac:dyDescent="0.2">
      <c r="A952" s="666" t="s">
        <v>631</v>
      </c>
      <c r="B952" s="665" t="s">
        <v>13</v>
      </c>
      <c r="C952" s="664">
        <v>58.35</v>
      </c>
      <c r="D952" s="12"/>
    </row>
    <row r="953" spans="1:4" hidden="1" x14ac:dyDescent="0.2">
      <c r="A953" s="659" t="s">
        <v>630</v>
      </c>
      <c r="B953" s="658" t="s">
        <v>13</v>
      </c>
      <c r="C953" s="657">
        <v>108</v>
      </c>
      <c r="D953" s="12"/>
    </row>
    <row r="954" spans="1:4" hidden="1" x14ac:dyDescent="0.2">
      <c r="A954" s="662" t="s">
        <v>231</v>
      </c>
      <c r="B954" s="661"/>
      <c r="C954" s="660"/>
      <c r="D954" s="12"/>
    </row>
    <row r="955" spans="1:4" hidden="1" x14ac:dyDescent="0.2">
      <c r="A955" s="666" t="s">
        <v>595</v>
      </c>
      <c r="B955" s="665" t="s">
        <v>13</v>
      </c>
      <c r="C955" s="664">
        <v>6.72</v>
      </c>
      <c r="D955" s="12"/>
    </row>
    <row r="956" spans="1:4" hidden="1" x14ac:dyDescent="0.2">
      <c r="A956" s="659" t="s">
        <v>629</v>
      </c>
      <c r="B956" s="658" t="s">
        <v>13</v>
      </c>
      <c r="C956" s="657">
        <v>7.88</v>
      </c>
      <c r="D956" s="12"/>
    </row>
    <row r="957" spans="1:4" hidden="1" x14ac:dyDescent="0.2">
      <c r="A957" s="666" t="s">
        <v>594</v>
      </c>
      <c r="B957" s="665" t="s">
        <v>13</v>
      </c>
      <c r="C957" s="664">
        <v>17.21</v>
      </c>
      <c r="D957" s="12"/>
    </row>
    <row r="958" spans="1:4" hidden="1" x14ac:dyDescent="0.2">
      <c r="A958" s="662" t="s">
        <v>569</v>
      </c>
      <c r="B958" s="661"/>
      <c r="C958" s="660"/>
      <c r="D958" s="12"/>
    </row>
    <row r="959" spans="1:4" hidden="1" x14ac:dyDescent="0.2">
      <c r="A959" s="659" t="s">
        <v>628</v>
      </c>
      <c r="B959" s="658" t="s">
        <v>13</v>
      </c>
      <c r="C959" s="657">
        <v>31.33</v>
      </c>
      <c r="D959" s="12"/>
    </row>
    <row r="960" spans="1:4" hidden="1" x14ac:dyDescent="0.2">
      <c r="A960" s="666" t="s">
        <v>627</v>
      </c>
      <c r="B960" s="665" t="s">
        <v>13</v>
      </c>
      <c r="C960" s="664">
        <v>420.78</v>
      </c>
      <c r="D960" s="12"/>
    </row>
    <row r="961" spans="1:4" hidden="1" x14ac:dyDescent="0.2">
      <c r="A961" s="659" t="s">
        <v>626</v>
      </c>
      <c r="B961" s="658" t="s">
        <v>13</v>
      </c>
      <c r="C961" s="657">
        <v>2.93</v>
      </c>
      <c r="D961" s="12"/>
    </row>
    <row r="962" spans="1:4" hidden="1" x14ac:dyDescent="0.2">
      <c r="A962" s="666" t="s">
        <v>592</v>
      </c>
      <c r="B962" s="665" t="s">
        <v>13</v>
      </c>
      <c r="C962" s="664">
        <v>78.91</v>
      </c>
      <c r="D962" s="12"/>
    </row>
    <row r="963" spans="1:4" hidden="1" x14ac:dyDescent="0.2">
      <c r="A963" s="662" t="s">
        <v>567</v>
      </c>
      <c r="B963" s="661"/>
      <c r="C963" s="660"/>
      <c r="D963" s="12"/>
    </row>
    <row r="964" spans="1:4" hidden="1" x14ac:dyDescent="0.2">
      <c r="A964" s="659" t="s">
        <v>566</v>
      </c>
      <c r="B964" s="658" t="s">
        <v>13</v>
      </c>
      <c r="C964" s="657">
        <v>225.23</v>
      </c>
      <c r="D964" s="12"/>
    </row>
    <row r="965" spans="1:4" hidden="1" x14ac:dyDescent="0.2">
      <c r="A965" s="662" t="s">
        <v>235</v>
      </c>
      <c r="B965" s="661"/>
      <c r="C965" s="660"/>
      <c r="D965" s="12"/>
    </row>
    <row r="966" spans="1:4" hidden="1" x14ac:dyDescent="0.2">
      <c r="A966" s="666" t="s">
        <v>554</v>
      </c>
      <c r="B966" s="665" t="s">
        <v>3</v>
      </c>
      <c r="C966" s="664">
        <v>108.4</v>
      </c>
      <c r="D966" s="12"/>
    </row>
    <row r="967" spans="1:4" hidden="1" x14ac:dyDescent="0.2">
      <c r="A967" s="662" t="s">
        <v>236</v>
      </c>
      <c r="B967" s="661"/>
      <c r="C967" s="660"/>
      <c r="D967" s="12"/>
    </row>
    <row r="968" spans="1:4" hidden="1" x14ac:dyDescent="0.2">
      <c r="A968" s="659" t="s">
        <v>591</v>
      </c>
      <c r="B968" s="658" t="s">
        <v>13</v>
      </c>
      <c r="C968" s="657">
        <v>1.04</v>
      </c>
      <c r="D968" s="12"/>
    </row>
    <row r="969" spans="1:4" hidden="1" x14ac:dyDescent="0.2">
      <c r="A969" s="666" t="s">
        <v>590</v>
      </c>
      <c r="B969" s="665" t="s">
        <v>13</v>
      </c>
      <c r="C969" s="664">
        <v>1.04</v>
      </c>
      <c r="D969" s="12"/>
    </row>
    <row r="970" spans="1:4" hidden="1" x14ac:dyDescent="0.2">
      <c r="A970" s="659" t="s">
        <v>625</v>
      </c>
      <c r="B970" s="658" t="s">
        <v>13</v>
      </c>
      <c r="C970" s="657">
        <v>2.25</v>
      </c>
      <c r="D970" s="12"/>
    </row>
    <row r="971" spans="1:4" hidden="1" x14ac:dyDescent="0.2">
      <c r="A971" s="666" t="s">
        <v>624</v>
      </c>
      <c r="B971" s="665" t="s">
        <v>13</v>
      </c>
      <c r="C971" s="664">
        <v>8.86</v>
      </c>
      <c r="D971" s="12"/>
    </row>
    <row r="972" spans="1:4" hidden="1" x14ac:dyDescent="0.2">
      <c r="A972" s="659" t="s">
        <v>623</v>
      </c>
      <c r="B972" s="658" t="s">
        <v>3</v>
      </c>
      <c r="C972" s="657">
        <v>2.5</v>
      </c>
      <c r="D972" s="12"/>
    </row>
    <row r="973" spans="1:4" hidden="1" x14ac:dyDescent="0.2">
      <c r="A973" s="666" t="s">
        <v>622</v>
      </c>
      <c r="B973" s="665" t="s">
        <v>3</v>
      </c>
      <c r="C973" s="664">
        <v>7.4</v>
      </c>
      <c r="D973" s="12"/>
    </row>
    <row r="974" spans="1:4" hidden="1" x14ac:dyDescent="0.2">
      <c r="A974" s="659" t="s">
        <v>621</v>
      </c>
      <c r="B974" s="658" t="s">
        <v>13</v>
      </c>
      <c r="C974" s="657">
        <v>0.36</v>
      </c>
      <c r="D974" s="12"/>
    </row>
    <row r="975" spans="1:4" hidden="1" x14ac:dyDescent="0.2">
      <c r="A975" s="666" t="s">
        <v>620</v>
      </c>
      <c r="B975" s="665" t="s">
        <v>13</v>
      </c>
      <c r="C975" s="664">
        <v>1.18</v>
      </c>
      <c r="D975" s="12"/>
    </row>
    <row r="976" spans="1:4" hidden="1" x14ac:dyDescent="0.2">
      <c r="A976" s="659" t="s">
        <v>619</v>
      </c>
      <c r="B976" s="658" t="s">
        <v>13</v>
      </c>
      <c r="C976" s="657">
        <v>4.03</v>
      </c>
      <c r="D976" s="12"/>
    </row>
    <row r="977" spans="1:4" hidden="1" x14ac:dyDescent="0.2">
      <c r="A977" s="666" t="s">
        <v>618</v>
      </c>
      <c r="B977" s="665" t="s">
        <v>13</v>
      </c>
      <c r="C977" s="664">
        <v>11.09</v>
      </c>
      <c r="D977" s="12"/>
    </row>
    <row r="978" spans="1:4" hidden="1" x14ac:dyDescent="0.2">
      <c r="A978" s="659" t="s">
        <v>617</v>
      </c>
      <c r="B978" s="658" t="s">
        <v>13</v>
      </c>
      <c r="C978" s="657">
        <v>0.05</v>
      </c>
      <c r="D978" s="12"/>
    </row>
    <row r="979" spans="1:4" hidden="1" x14ac:dyDescent="0.2">
      <c r="A979" s="666" t="s">
        <v>616</v>
      </c>
      <c r="B979" s="665" t="s">
        <v>13</v>
      </c>
      <c r="C979" s="664">
        <v>0.89</v>
      </c>
      <c r="D979" s="12"/>
    </row>
    <row r="980" spans="1:4" hidden="1" x14ac:dyDescent="0.2">
      <c r="A980" s="659" t="s">
        <v>615</v>
      </c>
      <c r="B980" s="658" t="s">
        <v>13</v>
      </c>
      <c r="C980" s="657">
        <v>0.02</v>
      </c>
      <c r="D980" s="12"/>
    </row>
    <row r="981" spans="1:4" hidden="1" x14ac:dyDescent="0.2">
      <c r="A981" s="666" t="s">
        <v>614</v>
      </c>
      <c r="B981" s="665" t="s">
        <v>13</v>
      </c>
      <c r="C981" s="664">
        <v>0.38</v>
      </c>
      <c r="D981" s="12"/>
    </row>
    <row r="982" spans="1:4" hidden="1" x14ac:dyDescent="0.2">
      <c r="A982" s="662" t="s">
        <v>240</v>
      </c>
      <c r="B982" s="661"/>
      <c r="C982" s="660"/>
      <c r="D982" s="12"/>
    </row>
    <row r="983" spans="1:4" hidden="1" x14ac:dyDescent="0.2">
      <c r="A983" s="659" t="s">
        <v>613</v>
      </c>
      <c r="B983" s="658" t="s">
        <v>3</v>
      </c>
      <c r="C983" s="657">
        <v>14.53</v>
      </c>
      <c r="D983" s="12"/>
    </row>
    <row r="984" spans="1:4" hidden="1" x14ac:dyDescent="0.2">
      <c r="A984" s="666" t="s">
        <v>612</v>
      </c>
      <c r="B984" s="665" t="s">
        <v>2</v>
      </c>
      <c r="C984" s="664">
        <v>8</v>
      </c>
      <c r="D984" s="12"/>
    </row>
    <row r="985" spans="1:4" hidden="1" x14ac:dyDescent="0.2">
      <c r="A985" s="659" t="s">
        <v>611</v>
      </c>
      <c r="B985" s="658" t="s">
        <v>2</v>
      </c>
      <c r="C985" s="657">
        <v>6</v>
      </c>
      <c r="D985" s="12"/>
    </row>
    <row r="986" spans="1:4" hidden="1" x14ac:dyDescent="0.2">
      <c r="A986" s="666" t="s">
        <v>610</v>
      </c>
      <c r="B986" s="665" t="s">
        <v>2</v>
      </c>
      <c r="C986" s="664">
        <v>3</v>
      </c>
      <c r="D986" s="12"/>
    </row>
    <row r="987" spans="1:4" hidden="1" x14ac:dyDescent="0.2">
      <c r="A987" s="662" t="s">
        <v>244</v>
      </c>
      <c r="B987" s="661"/>
      <c r="C987" s="660"/>
      <c r="D987" s="12"/>
    </row>
    <row r="988" spans="1:4" hidden="1" x14ac:dyDescent="0.2">
      <c r="A988" s="659" t="s">
        <v>586</v>
      </c>
      <c r="B988" s="658" t="s">
        <v>2</v>
      </c>
      <c r="C988" s="657">
        <v>1</v>
      </c>
      <c r="D988" s="12"/>
    </row>
    <row r="989" spans="1:4" hidden="1" x14ac:dyDescent="0.2">
      <c r="A989" s="666" t="s">
        <v>585</v>
      </c>
      <c r="B989" s="665" t="s">
        <v>2</v>
      </c>
      <c r="C989" s="664">
        <v>1</v>
      </c>
      <c r="D989" s="12"/>
    </row>
    <row r="990" spans="1:4" hidden="1" x14ac:dyDescent="0.2">
      <c r="A990" s="659" t="s">
        <v>609</v>
      </c>
      <c r="B990" s="658" t="s">
        <v>2</v>
      </c>
      <c r="C990" s="657">
        <v>2</v>
      </c>
      <c r="D990" s="12"/>
    </row>
    <row r="991" spans="1:4" hidden="1" x14ac:dyDescent="0.2">
      <c r="A991" s="662" t="s">
        <v>552</v>
      </c>
      <c r="B991" s="661"/>
      <c r="C991" s="660"/>
      <c r="D991" s="12"/>
    </row>
    <row r="992" spans="1:4" hidden="1" x14ac:dyDescent="0.2">
      <c r="A992" s="666" t="s">
        <v>551</v>
      </c>
      <c r="B992" s="665" t="s">
        <v>13</v>
      </c>
      <c r="C992" s="664">
        <v>87.85</v>
      </c>
      <c r="D992" s="12"/>
    </row>
    <row r="993" spans="1:4" hidden="1" x14ac:dyDescent="0.2">
      <c r="A993" s="659" t="s">
        <v>565</v>
      </c>
      <c r="B993" s="658" t="s">
        <v>13</v>
      </c>
      <c r="C993" s="657">
        <v>82.74</v>
      </c>
      <c r="D993" s="12"/>
    </row>
    <row r="994" spans="1:4" hidden="1" x14ac:dyDescent="0.2">
      <c r="A994" s="662" t="s">
        <v>550</v>
      </c>
      <c r="B994" s="661"/>
      <c r="C994" s="660"/>
      <c r="D994" s="12"/>
    </row>
    <row r="995" spans="1:4" hidden="1" x14ac:dyDescent="0.2">
      <c r="A995" s="666" t="s">
        <v>549</v>
      </c>
      <c r="B995" s="665" t="s">
        <v>13</v>
      </c>
      <c r="C995" s="664">
        <v>170.59</v>
      </c>
      <c r="D995" s="12"/>
    </row>
    <row r="996" spans="1:4" hidden="1" x14ac:dyDescent="0.2">
      <c r="A996" s="662" t="s">
        <v>273</v>
      </c>
      <c r="B996" s="661"/>
      <c r="C996" s="660"/>
      <c r="D996" s="12"/>
    </row>
    <row r="997" spans="1:4" hidden="1" x14ac:dyDescent="0.2">
      <c r="A997" s="659" t="s">
        <v>564</v>
      </c>
      <c r="B997" s="658" t="s">
        <v>13</v>
      </c>
      <c r="C997" s="657">
        <v>77.59</v>
      </c>
      <c r="D997" s="12"/>
    </row>
    <row r="998" spans="1:4" hidden="1" x14ac:dyDescent="0.2">
      <c r="A998" s="666" t="s">
        <v>608</v>
      </c>
      <c r="B998" s="665" t="s">
        <v>13</v>
      </c>
      <c r="C998" s="664">
        <v>6.04</v>
      </c>
      <c r="D998" s="12"/>
    </row>
    <row r="999" spans="1:4" hidden="1" x14ac:dyDescent="0.2">
      <c r="A999" s="659" t="s">
        <v>607</v>
      </c>
      <c r="B999" s="658" t="s">
        <v>13</v>
      </c>
      <c r="C999" s="657">
        <v>5.14</v>
      </c>
      <c r="D999" s="12"/>
    </row>
    <row r="1000" spans="1:4" hidden="1" x14ac:dyDescent="0.2">
      <c r="A1000" s="666" t="s">
        <v>548</v>
      </c>
      <c r="B1000" s="665" t="s">
        <v>13</v>
      </c>
      <c r="C1000" s="664">
        <v>81.819999999999993</v>
      </c>
      <c r="D1000" s="12"/>
    </row>
    <row r="1001" spans="1:4" hidden="1" x14ac:dyDescent="0.2">
      <c r="A1001" s="669" t="s">
        <v>671</v>
      </c>
      <c r="B1001" s="668"/>
      <c r="C1001" s="667"/>
      <c r="D1001" s="12"/>
    </row>
    <row r="1002" spans="1:4" hidden="1" x14ac:dyDescent="0.2">
      <c r="A1002" s="662" t="s">
        <v>208</v>
      </c>
      <c r="B1002" s="661"/>
      <c r="C1002" s="660"/>
      <c r="D1002" s="12"/>
    </row>
    <row r="1003" spans="1:4" hidden="1" x14ac:dyDescent="0.2">
      <c r="A1003" s="659" t="s">
        <v>656</v>
      </c>
      <c r="B1003" s="658" t="s">
        <v>13</v>
      </c>
      <c r="C1003" s="657">
        <v>3.51</v>
      </c>
      <c r="D1003" s="12"/>
    </row>
    <row r="1004" spans="1:4" hidden="1" x14ac:dyDescent="0.2">
      <c r="A1004" s="666" t="s">
        <v>562</v>
      </c>
      <c r="B1004" s="665" t="s">
        <v>13</v>
      </c>
      <c r="C1004" s="664">
        <v>195.56</v>
      </c>
      <c r="D1004" s="12"/>
    </row>
    <row r="1005" spans="1:4" hidden="1" x14ac:dyDescent="0.2">
      <c r="A1005" s="659" t="s">
        <v>581</v>
      </c>
      <c r="B1005" s="658" t="s">
        <v>13</v>
      </c>
      <c r="C1005" s="657">
        <v>81.11</v>
      </c>
      <c r="D1005" s="12"/>
    </row>
    <row r="1006" spans="1:4" hidden="1" x14ac:dyDescent="0.2">
      <c r="A1006" s="662" t="s">
        <v>376</v>
      </c>
      <c r="B1006" s="661"/>
      <c r="C1006" s="660"/>
      <c r="D1006" s="12"/>
    </row>
    <row r="1007" spans="1:4" hidden="1" x14ac:dyDescent="0.2">
      <c r="A1007" s="666" t="s">
        <v>655</v>
      </c>
      <c r="B1007" s="665" t="s">
        <v>13</v>
      </c>
      <c r="C1007" s="664">
        <v>29.04</v>
      </c>
      <c r="D1007" s="12"/>
    </row>
    <row r="1008" spans="1:4" hidden="1" x14ac:dyDescent="0.2">
      <c r="A1008" s="662" t="s">
        <v>605</v>
      </c>
      <c r="B1008" s="661"/>
      <c r="C1008" s="660"/>
      <c r="D1008" s="12"/>
    </row>
    <row r="1009" spans="1:4" hidden="1" x14ac:dyDescent="0.2">
      <c r="A1009" s="659" t="s">
        <v>604</v>
      </c>
      <c r="B1009" s="658" t="s">
        <v>13</v>
      </c>
      <c r="C1009" s="657">
        <v>85</v>
      </c>
      <c r="D1009" s="12"/>
    </row>
    <row r="1010" spans="1:4" hidden="1" x14ac:dyDescent="0.2">
      <c r="A1010" s="662" t="s">
        <v>561</v>
      </c>
      <c r="B1010" s="661"/>
      <c r="C1010" s="660"/>
      <c r="D1010" s="12"/>
    </row>
    <row r="1011" spans="1:4" hidden="1" x14ac:dyDescent="0.2">
      <c r="A1011" s="666" t="s">
        <v>580</v>
      </c>
      <c r="B1011" s="665" t="s">
        <v>3</v>
      </c>
      <c r="C1011" s="664">
        <v>172.9</v>
      </c>
      <c r="D1011" s="12"/>
    </row>
    <row r="1012" spans="1:4" hidden="1" x14ac:dyDescent="0.2">
      <c r="A1012" s="659" t="s">
        <v>560</v>
      </c>
      <c r="B1012" s="658" t="s">
        <v>13</v>
      </c>
      <c r="C1012" s="657">
        <v>197.11</v>
      </c>
      <c r="D1012" s="12"/>
    </row>
    <row r="1013" spans="1:4" hidden="1" x14ac:dyDescent="0.2">
      <c r="A1013" s="666" t="s">
        <v>559</v>
      </c>
      <c r="B1013" s="665" t="s">
        <v>3</v>
      </c>
      <c r="C1013" s="664">
        <v>98</v>
      </c>
      <c r="D1013" s="12"/>
    </row>
    <row r="1014" spans="1:4" hidden="1" x14ac:dyDescent="0.2">
      <c r="A1014" s="662" t="s">
        <v>212</v>
      </c>
      <c r="B1014" s="661"/>
      <c r="C1014" s="660"/>
      <c r="D1014" s="12"/>
    </row>
    <row r="1015" spans="1:4" hidden="1" x14ac:dyDescent="0.2">
      <c r="A1015" s="659" t="s">
        <v>579</v>
      </c>
      <c r="B1015" s="658" t="s">
        <v>13</v>
      </c>
      <c r="C1015" s="657">
        <v>43.76</v>
      </c>
      <c r="D1015" s="12"/>
    </row>
    <row r="1016" spans="1:4" hidden="1" x14ac:dyDescent="0.2">
      <c r="A1016" s="662" t="s">
        <v>557</v>
      </c>
      <c r="B1016" s="661"/>
      <c r="C1016" s="660"/>
      <c r="D1016" s="12"/>
    </row>
    <row r="1017" spans="1:4" hidden="1" x14ac:dyDescent="0.2">
      <c r="A1017" s="666" t="s">
        <v>654</v>
      </c>
      <c r="B1017" s="665" t="s">
        <v>13</v>
      </c>
      <c r="C1017" s="664">
        <v>12.1</v>
      </c>
      <c r="D1017" s="12"/>
    </row>
    <row r="1018" spans="1:4" hidden="1" x14ac:dyDescent="0.2">
      <c r="A1018" s="659" t="s">
        <v>653</v>
      </c>
      <c r="B1018" s="658" t="s">
        <v>13</v>
      </c>
      <c r="C1018" s="657">
        <v>6.98</v>
      </c>
      <c r="D1018" s="12"/>
    </row>
    <row r="1019" spans="1:4" hidden="1" x14ac:dyDescent="0.2">
      <c r="A1019" s="666" t="s">
        <v>603</v>
      </c>
      <c r="B1019" s="665" t="s">
        <v>13</v>
      </c>
      <c r="C1019" s="664">
        <v>3.31</v>
      </c>
      <c r="D1019" s="12"/>
    </row>
    <row r="1020" spans="1:4" hidden="1" x14ac:dyDescent="0.2">
      <c r="A1020" s="659" t="s">
        <v>602</v>
      </c>
      <c r="B1020" s="658" t="s">
        <v>13</v>
      </c>
      <c r="C1020" s="657">
        <v>6.44</v>
      </c>
      <c r="D1020" s="12"/>
    </row>
    <row r="1021" spans="1:4" hidden="1" x14ac:dyDescent="0.2">
      <c r="A1021" s="666" t="s">
        <v>652</v>
      </c>
      <c r="B1021" s="665" t="s">
        <v>13</v>
      </c>
      <c r="C1021" s="664">
        <v>36.83</v>
      </c>
      <c r="D1021" s="12"/>
    </row>
    <row r="1022" spans="1:4" hidden="1" x14ac:dyDescent="0.2">
      <c r="A1022" s="659" t="s">
        <v>651</v>
      </c>
      <c r="B1022" s="658" t="s">
        <v>13</v>
      </c>
      <c r="C1022" s="657">
        <v>17.95</v>
      </c>
      <c r="D1022" s="12"/>
    </row>
    <row r="1023" spans="1:4" hidden="1" x14ac:dyDescent="0.2">
      <c r="A1023" s="666" t="s">
        <v>650</v>
      </c>
      <c r="B1023" s="665" t="s">
        <v>13</v>
      </c>
      <c r="C1023" s="664">
        <v>22.97</v>
      </c>
      <c r="D1023" s="12"/>
    </row>
    <row r="1024" spans="1:4" hidden="1" x14ac:dyDescent="0.2">
      <c r="A1024" s="659" t="s">
        <v>649</v>
      </c>
      <c r="B1024" s="658" t="s">
        <v>13</v>
      </c>
      <c r="C1024" s="657">
        <v>5.43</v>
      </c>
      <c r="D1024" s="12"/>
    </row>
    <row r="1025" spans="1:4" hidden="1" x14ac:dyDescent="0.2">
      <c r="A1025" s="666" t="s">
        <v>648</v>
      </c>
      <c r="B1025" s="665" t="s">
        <v>13</v>
      </c>
      <c r="C1025" s="664">
        <v>10.6</v>
      </c>
      <c r="D1025" s="12"/>
    </row>
    <row r="1026" spans="1:4" hidden="1" x14ac:dyDescent="0.2">
      <c r="A1026" s="659" t="s">
        <v>647</v>
      </c>
      <c r="B1026" s="658" t="s">
        <v>13</v>
      </c>
      <c r="C1026" s="657">
        <v>6.95</v>
      </c>
      <c r="D1026" s="12"/>
    </row>
    <row r="1027" spans="1:4" hidden="1" x14ac:dyDescent="0.2">
      <c r="A1027" s="666" t="s">
        <v>646</v>
      </c>
      <c r="B1027" s="665" t="s">
        <v>13</v>
      </c>
      <c r="C1027" s="664">
        <v>9.51</v>
      </c>
      <c r="D1027" s="12"/>
    </row>
    <row r="1028" spans="1:4" hidden="1" x14ac:dyDescent="0.2">
      <c r="A1028" s="659" t="s">
        <v>645</v>
      </c>
      <c r="B1028" s="658" t="s">
        <v>13</v>
      </c>
      <c r="C1028" s="657">
        <v>2.99</v>
      </c>
      <c r="D1028" s="12"/>
    </row>
    <row r="1029" spans="1:4" hidden="1" x14ac:dyDescent="0.2">
      <c r="A1029" s="662" t="s">
        <v>220</v>
      </c>
      <c r="B1029" s="661"/>
      <c r="C1029" s="660"/>
      <c r="D1029" s="12"/>
    </row>
    <row r="1030" spans="1:4" hidden="1" x14ac:dyDescent="0.2">
      <c r="A1030" s="666" t="s">
        <v>599</v>
      </c>
      <c r="B1030" s="665" t="s">
        <v>13</v>
      </c>
      <c r="C1030" s="664">
        <v>197.77</v>
      </c>
      <c r="D1030" s="12"/>
    </row>
    <row r="1031" spans="1:4" hidden="1" x14ac:dyDescent="0.2">
      <c r="A1031" s="659" t="s">
        <v>644</v>
      </c>
      <c r="B1031" s="658" t="s">
        <v>13</v>
      </c>
      <c r="C1031" s="657">
        <v>7.88</v>
      </c>
      <c r="D1031" s="12"/>
    </row>
    <row r="1032" spans="1:4" ht="25.5" hidden="1" x14ac:dyDescent="0.2">
      <c r="A1032" s="666" t="s">
        <v>643</v>
      </c>
      <c r="B1032" s="665" t="s">
        <v>13</v>
      </c>
      <c r="C1032" s="664">
        <v>2.82</v>
      </c>
      <c r="D1032" s="12"/>
    </row>
    <row r="1033" spans="1:4" hidden="1" x14ac:dyDescent="0.2">
      <c r="A1033" s="662" t="s">
        <v>598</v>
      </c>
      <c r="B1033" s="661"/>
      <c r="C1033" s="660"/>
      <c r="D1033" s="12"/>
    </row>
    <row r="1034" spans="1:4" hidden="1" x14ac:dyDescent="0.2">
      <c r="A1034" s="659" t="s">
        <v>642</v>
      </c>
      <c r="B1034" s="658" t="s">
        <v>13</v>
      </c>
      <c r="C1034" s="657">
        <v>5.27</v>
      </c>
      <c r="D1034" s="12"/>
    </row>
    <row r="1035" spans="1:4" hidden="1" x14ac:dyDescent="0.2">
      <c r="A1035" s="662" t="s">
        <v>576</v>
      </c>
      <c r="B1035" s="661"/>
      <c r="C1035" s="660"/>
      <c r="D1035" s="12"/>
    </row>
    <row r="1036" spans="1:4" hidden="1" x14ac:dyDescent="0.2">
      <c r="A1036" s="666" t="s">
        <v>575</v>
      </c>
      <c r="B1036" s="665" t="s">
        <v>13</v>
      </c>
      <c r="C1036" s="664">
        <v>546.5</v>
      </c>
      <c r="D1036" s="12"/>
    </row>
    <row r="1037" spans="1:4" hidden="1" x14ac:dyDescent="0.2">
      <c r="A1037" s="659" t="s">
        <v>574</v>
      </c>
      <c r="B1037" s="658" t="s">
        <v>13</v>
      </c>
      <c r="C1037" s="657">
        <v>153.68</v>
      </c>
      <c r="D1037" s="12"/>
    </row>
    <row r="1038" spans="1:4" hidden="1" x14ac:dyDescent="0.2">
      <c r="A1038" s="662" t="s">
        <v>573</v>
      </c>
      <c r="B1038" s="661"/>
      <c r="C1038" s="660"/>
      <c r="D1038" s="12"/>
    </row>
    <row r="1039" spans="1:4" hidden="1" x14ac:dyDescent="0.2">
      <c r="A1039" s="666" t="s">
        <v>572</v>
      </c>
      <c r="B1039" s="665" t="s">
        <v>13</v>
      </c>
      <c r="C1039" s="664">
        <v>700.18</v>
      </c>
      <c r="D1039" s="12"/>
    </row>
    <row r="1040" spans="1:4" hidden="1" x14ac:dyDescent="0.2">
      <c r="A1040" s="662" t="s">
        <v>224</v>
      </c>
      <c r="B1040" s="661"/>
      <c r="C1040" s="660"/>
      <c r="D1040" s="12"/>
    </row>
    <row r="1041" spans="1:4" hidden="1" x14ac:dyDescent="0.2">
      <c r="A1041" s="659" t="s">
        <v>571</v>
      </c>
      <c r="B1041" s="658" t="s">
        <v>13</v>
      </c>
      <c r="C1041" s="657">
        <v>45.24</v>
      </c>
      <c r="D1041" s="12"/>
    </row>
    <row r="1042" spans="1:4" hidden="1" x14ac:dyDescent="0.2">
      <c r="A1042" s="662" t="s">
        <v>218</v>
      </c>
      <c r="B1042" s="661"/>
      <c r="C1042" s="660"/>
      <c r="D1042" s="12"/>
    </row>
    <row r="1043" spans="1:4" hidden="1" x14ac:dyDescent="0.2">
      <c r="A1043" s="666" t="s">
        <v>570</v>
      </c>
      <c r="B1043" s="665" t="s">
        <v>13</v>
      </c>
      <c r="C1043" s="664">
        <v>37.35</v>
      </c>
      <c r="D1043" s="12"/>
    </row>
    <row r="1044" spans="1:4" hidden="1" x14ac:dyDescent="0.2">
      <c r="A1044" s="662" t="s">
        <v>219</v>
      </c>
      <c r="B1044" s="661"/>
      <c r="C1044" s="660"/>
      <c r="D1044" s="12"/>
    </row>
    <row r="1045" spans="1:4" hidden="1" x14ac:dyDescent="0.2">
      <c r="A1045" s="659" t="s">
        <v>641</v>
      </c>
      <c r="B1045" s="658" t="s">
        <v>13</v>
      </c>
      <c r="C1045" s="657">
        <v>187.88</v>
      </c>
      <c r="D1045" s="12"/>
    </row>
    <row r="1046" spans="1:4" hidden="1" x14ac:dyDescent="0.2">
      <c r="A1046" s="662" t="s">
        <v>222</v>
      </c>
      <c r="B1046" s="661"/>
      <c r="C1046" s="660"/>
      <c r="D1046" s="12"/>
    </row>
    <row r="1047" spans="1:4" hidden="1" x14ac:dyDescent="0.2">
      <c r="A1047" s="666" t="s">
        <v>640</v>
      </c>
      <c r="B1047" s="665" t="s">
        <v>13</v>
      </c>
      <c r="C1047" s="664">
        <v>93.11</v>
      </c>
      <c r="D1047" s="12"/>
    </row>
    <row r="1048" spans="1:4" hidden="1" x14ac:dyDescent="0.2">
      <c r="A1048" s="659" t="s">
        <v>639</v>
      </c>
      <c r="B1048" s="658" t="s">
        <v>13</v>
      </c>
      <c r="C1048" s="657">
        <v>23.38</v>
      </c>
      <c r="D1048" s="12"/>
    </row>
    <row r="1049" spans="1:4" hidden="1" x14ac:dyDescent="0.2">
      <c r="A1049" s="666" t="s">
        <v>638</v>
      </c>
      <c r="B1049" s="665" t="s">
        <v>13</v>
      </c>
      <c r="C1049" s="664">
        <v>8.48</v>
      </c>
      <c r="D1049" s="12"/>
    </row>
    <row r="1050" spans="1:4" hidden="1" x14ac:dyDescent="0.2">
      <c r="A1050" s="662" t="s">
        <v>637</v>
      </c>
      <c r="B1050" s="661"/>
      <c r="C1050" s="660"/>
      <c r="D1050" s="12"/>
    </row>
    <row r="1051" spans="1:4" hidden="1" x14ac:dyDescent="0.2">
      <c r="A1051" s="659" t="s">
        <v>636</v>
      </c>
      <c r="B1051" s="658" t="s">
        <v>13</v>
      </c>
      <c r="C1051" s="657">
        <v>63.69</v>
      </c>
      <c r="D1051" s="12"/>
    </row>
    <row r="1052" spans="1:4" hidden="1" x14ac:dyDescent="0.2">
      <c r="A1052" s="662" t="s">
        <v>635</v>
      </c>
      <c r="B1052" s="661"/>
      <c r="C1052" s="660"/>
      <c r="D1052" s="12"/>
    </row>
    <row r="1053" spans="1:4" hidden="1" x14ac:dyDescent="0.2">
      <c r="A1053" s="666" t="s">
        <v>634</v>
      </c>
      <c r="B1053" s="665" t="s">
        <v>3</v>
      </c>
      <c r="C1053" s="664">
        <v>158.85</v>
      </c>
      <c r="D1053" s="12"/>
    </row>
    <row r="1054" spans="1:4" hidden="1" x14ac:dyDescent="0.2">
      <c r="A1054" s="662" t="s">
        <v>346</v>
      </c>
      <c r="B1054" s="661"/>
      <c r="C1054" s="660"/>
      <c r="D1054" s="12"/>
    </row>
    <row r="1055" spans="1:4" hidden="1" x14ac:dyDescent="0.2">
      <c r="A1055" s="659" t="s">
        <v>633</v>
      </c>
      <c r="B1055" s="658" t="s">
        <v>13</v>
      </c>
      <c r="C1055" s="657">
        <v>0.85</v>
      </c>
      <c r="D1055" s="12"/>
    </row>
    <row r="1056" spans="1:4" hidden="1" x14ac:dyDescent="0.2">
      <c r="A1056" s="662" t="s">
        <v>217</v>
      </c>
      <c r="B1056" s="661"/>
      <c r="C1056" s="660"/>
      <c r="D1056" s="12"/>
    </row>
    <row r="1057" spans="1:4" hidden="1" x14ac:dyDescent="0.2">
      <c r="A1057" s="666" t="s">
        <v>632</v>
      </c>
      <c r="B1057" s="665" t="s">
        <v>13</v>
      </c>
      <c r="C1057" s="664">
        <v>3.2</v>
      </c>
      <c r="D1057" s="12"/>
    </row>
    <row r="1058" spans="1:4" hidden="1" x14ac:dyDescent="0.2">
      <c r="A1058" s="662" t="s">
        <v>215</v>
      </c>
      <c r="B1058" s="661"/>
      <c r="C1058" s="660"/>
      <c r="D1058" s="12"/>
    </row>
    <row r="1059" spans="1:4" hidden="1" x14ac:dyDescent="0.2">
      <c r="A1059" s="659" t="s">
        <v>631</v>
      </c>
      <c r="B1059" s="658" t="s">
        <v>13</v>
      </c>
      <c r="C1059" s="657">
        <v>58.23</v>
      </c>
      <c r="D1059" s="12"/>
    </row>
    <row r="1060" spans="1:4" hidden="1" x14ac:dyDescent="0.2">
      <c r="A1060" s="666" t="s">
        <v>630</v>
      </c>
      <c r="B1060" s="665" t="s">
        <v>13</v>
      </c>
      <c r="C1060" s="664">
        <v>108</v>
      </c>
      <c r="D1060" s="12"/>
    </row>
    <row r="1061" spans="1:4" hidden="1" x14ac:dyDescent="0.2">
      <c r="A1061" s="662" t="s">
        <v>231</v>
      </c>
      <c r="B1061" s="661"/>
      <c r="C1061" s="660"/>
      <c r="D1061" s="12"/>
    </row>
    <row r="1062" spans="1:4" hidden="1" x14ac:dyDescent="0.2">
      <c r="A1062" s="659" t="s">
        <v>595</v>
      </c>
      <c r="B1062" s="658" t="s">
        <v>13</v>
      </c>
      <c r="C1062" s="657">
        <v>6.72</v>
      </c>
      <c r="D1062" s="12"/>
    </row>
    <row r="1063" spans="1:4" hidden="1" x14ac:dyDescent="0.2">
      <c r="A1063" s="666" t="s">
        <v>629</v>
      </c>
      <c r="B1063" s="665" t="s">
        <v>13</v>
      </c>
      <c r="C1063" s="664">
        <v>7.88</v>
      </c>
      <c r="D1063" s="12"/>
    </row>
    <row r="1064" spans="1:4" hidden="1" x14ac:dyDescent="0.2">
      <c r="A1064" s="659" t="s">
        <v>594</v>
      </c>
      <c r="B1064" s="658" t="s">
        <v>13</v>
      </c>
      <c r="C1064" s="657">
        <v>17.21</v>
      </c>
      <c r="D1064" s="12"/>
    </row>
    <row r="1065" spans="1:4" hidden="1" x14ac:dyDescent="0.2">
      <c r="A1065" s="662" t="s">
        <v>569</v>
      </c>
      <c r="B1065" s="661"/>
      <c r="C1065" s="660"/>
      <c r="D1065" s="12"/>
    </row>
    <row r="1066" spans="1:4" hidden="1" x14ac:dyDescent="0.2">
      <c r="A1066" s="666" t="s">
        <v>628</v>
      </c>
      <c r="B1066" s="665" t="s">
        <v>13</v>
      </c>
      <c r="C1066" s="664">
        <v>31.33</v>
      </c>
      <c r="D1066" s="12"/>
    </row>
    <row r="1067" spans="1:4" hidden="1" x14ac:dyDescent="0.2">
      <c r="A1067" s="659" t="s">
        <v>627</v>
      </c>
      <c r="B1067" s="658" t="s">
        <v>13</v>
      </c>
      <c r="C1067" s="657">
        <v>420.78</v>
      </c>
      <c r="D1067" s="12"/>
    </row>
    <row r="1068" spans="1:4" hidden="1" x14ac:dyDescent="0.2">
      <c r="A1068" s="666" t="s">
        <v>626</v>
      </c>
      <c r="B1068" s="665" t="s">
        <v>13</v>
      </c>
      <c r="C1068" s="664">
        <v>2.93</v>
      </c>
      <c r="D1068" s="12"/>
    </row>
    <row r="1069" spans="1:4" hidden="1" x14ac:dyDescent="0.2">
      <c r="A1069" s="659" t="s">
        <v>592</v>
      </c>
      <c r="B1069" s="658" t="s">
        <v>13</v>
      </c>
      <c r="C1069" s="657">
        <v>78.91</v>
      </c>
      <c r="D1069" s="12"/>
    </row>
    <row r="1070" spans="1:4" hidden="1" x14ac:dyDescent="0.2">
      <c r="A1070" s="662" t="s">
        <v>567</v>
      </c>
      <c r="B1070" s="661"/>
      <c r="C1070" s="660"/>
      <c r="D1070" s="12"/>
    </row>
    <row r="1071" spans="1:4" hidden="1" x14ac:dyDescent="0.2">
      <c r="A1071" s="666" t="s">
        <v>566</v>
      </c>
      <c r="B1071" s="665" t="s">
        <v>13</v>
      </c>
      <c r="C1071" s="664">
        <v>225.23</v>
      </c>
      <c r="D1071" s="12"/>
    </row>
    <row r="1072" spans="1:4" hidden="1" x14ac:dyDescent="0.2">
      <c r="A1072" s="662" t="s">
        <v>235</v>
      </c>
      <c r="B1072" s="661"/>
      <c r="C1072" s="660"/>
      <c r="D1072" s="12"/>
    </row>
    <row r="1073" spans="1:4" hidden="1" x14ac:dyDescent="0.2">
      <c r="A1073" s="659" t="s">
        <v>554</v>
      </c>
      <c r="B1073" s="658" t="s">
        <v>3</v>
      </c>
      <c r="C1073" s="657">
        <v>108.4</v>
      </c>
      <c r="D1073" s="12"/>
    </row>
    <row r="1074" spans="1:4" hidden="1" x14ac:dyDescent="0.2">
      <c r="A1074" s="662" t="s">
        <v>236</v>
      </c>
      <c r="B1074" s="661"/>
      <c r="C1074" s="660"/>
      <c r="D1074" s="12"/>
    </row>
    <row r="1075" spans="1:4" hidden="1" x14ac:dyDescent="0.2">
      <c r="A1075" s="666" t="s">
        <v>591</v>
      </c>
      <c r="B1075" s="665" t="s">
        <v>13</v>
      </c>
      <c r="C1075" s="664">
        <v>1.04</v>
      </c>
      <c r="D1075" s="12"/>
    </row>
    <row r="1076" spans="1:4" hidden="1" x14ac:dyDescent="0.2">
      <c r="A1076" s="659" t="s">
        <v>590</v>
      </c>
      <c r="B1076" s="658" t="s">
        <v>13</v>
      </c>
      <c r="C1076" s="657">
        <v>1.04</v>
      </c>
      <c r="D1076" s="12"/>
    </row>
    <row r="1077" spans="1:4" hidden="1" x14ac:dyDescent="0.2">
      <c r="A1077" s="666" t="s">
        <v>625</v>
      </c>
      <c r="B1077" s="665" t="s">
        <v>13</v>
      </c>
      <c r="C1077" s="664">
        <v>2.25</v>
      </c>
      <c r="D1077" s="12"/>
    </row>
    <row r="1078" spans="1:4" hidden="1" x14ac:dyDescent="0.2">
      <c r="A1078" s="659" t="s">
        <v>624</v>
      </c>
      <c r="B1078" s="658" t="s">
        <v>13</v>
      </c>
      <c r="C1078" s="657">
        <v>8.86</v>
      </c>
      <c r="D1078" s="12"/>
    </row>
    <row r="1079" spans="1:4" hidden="1" x14ac:dyDescent="0.2">
      <c r="A1079" s="666" t="s">
        <v>623</v>
      </c>
      <c r="B1079" s="665" t="s">
        <v>3</v>
      </c>
      <c r="C1079" s="664">
        <v>2.5</v>
      </c>
      <c r="D1079" s="12"/>
    </row>
    <row r="1080" spans="1:4" hidden="1" x14ac:dyDescent="0.2">
      <c r="A1080" s="659" t="s">
        <v>622</v>
      </c>
      <c r="B1080" s="658" t="s">
        <v>3</v>
      </c>
      <c r="C1080" s="657">
        <v>7.4</v>
      </c>
      <c r="D1080" s="12"/>
    </row>
    <row r="1081" spans="1:4" hidden="1" x14ac:dyDescent="0.2">
      <c r="A1081" s="666" t="s">
        <v>621</v>
      </c>
      <c r="B1081" s="665" t="s">
        <v>13</v>
      </c>
      <c r="C1081" s="664">
        <v>0.36</v>
      </c>
      <c r="D1081" s="12"/>
    </row>
    <row r="1082" spans="1:4" hidden="1" x14ac:dyDescent="0.2">
      <c r="A1082" s="659" t="s">
        <v>620</v>
      </c>
      <c r="B1082" s="658" t="s">
        <v>13</v>
      </c>
      <c r="C1082" s="657">
        <v>1.18</v>
      </c>
      <c r="D1082" s="12"/>
    </row>
    <row r="1083" spans="1:4" hidden="1" x14ac:dyDescent="0.2">
      <c r="A1083" s="666" t="s">
        <v>619</v>
      </c>
      <c r="B1083" s="665" t="s">
        <v>13</v>
      </c>
      <c r="C1083" s="664">
        <v>4.03</v>
      </c>
      <c r="D1083" s="12"/>
    </row>
    <row r="1084" spans="1:4" hidden="1" x14ac:dyDescent="0.2">
      <c r="A1084" s="659" t="s">
        <v>618</v>
      </c>
      <c r="B1084" s="658" t="s">
        <v>13</v>
      </c>
      <c r="C1084" s="657">
        <v>11.09</v>
      </c>
      <c r="D1084" s="12"/>
    </row>
    <row r="1085" spans="1:4" hidden="1" x14ac:dyDescent="0.2">
      <c r="A1085" s="666" t="s">
        <v>617</v>
      </c>
      <c r="B1085" s="665" t="s">
        <v>13</v>
      </c>
      <c r="C1085" s="664">
        <v>0.05</v>
      </c>
      <c r="D1085" s="12"/>
    </row>
    <row r="1086" spans="1:4" hidden="1" x14ac:dyDescent="0.2">
      <c r="A1086" s="659" t="s">
        <v>616</v>
      </c>
      <c r="B1086" s="658" t="s">
        <v>13</v>
      </c>
      <c r="C1086" s="657">
        <v>0.89</v>
      </c>
      <c r="D1086" s="12"/>
    </row>
    <row r="1087" spans="1:4" hidden="1" x14ac:dyDescent="0.2">
      <c r="A1087" s="666" t="s">
        <v>615</v>
      </c>
      <c r="B1087" s="665" t="s">
        <v>13</v>
      </c>
      <c r="C1087" s="664">
        <v>0.02</v>
      </c>
      <c r="D1087" s="12"/>
    </row>
    <row r="1088" spans="1:4" hidden="1" x14ac:dyDescent="0.2">
      <c r="A1088" s="659" t="s">
        <v>614</v>
      </c>
      <c r="B1088" s="658" t="s">
        <v>13</v>
      </c>
      <c r="C1088" s="657">
        <v>0.38</v>
      </c>
      <c r="D1088" s="12"/>
    </row>
    <row r="1089" spans="1:4" hidden="1" x14ac:dyDescent="0.2">
      <c r="A1089" s="662" t="s">
        <v>240</v>
      </c>
      <c r="B1089" s="661"/>
      <c r="C1089" s="660"/>
      <c r="D1089" s="12"/>
    </row>
    <row r="1090" spans="1:4" hidden="1" x14ac:dyDescent="0.2">
      <c r="A1090" s="666" t="s">
        <v>613</v>
      </c>
      <c r="B1090" s="665" t="s">
        <v>3</v>
      </c>
      <c r="C1090" s="664">
        <v>14.53</v>
      </c>
      <c r="D1090" s="12"/>
    </row>
    <row r="1091" spans="1:4" hidden="1" x14ac:dyDescent="0.2">
      <c r="A1091" s="659" t="s">
        <v>612</v>
      </c>
      <c r="B1091" s="658" t="s">
        <v>2</v>
      </c>
      <c r="C1091" s="657">
        <v>8</v>
      </c>
      <c r="D1091" s="12"/>
    </row>
    <row r="1092" spans="1:4" hidden="1" x14ac:dyDescent="0.2">
      <c r="A1092" s="666" t="s">
        <v>611</v>
      </c>
      <c r="B1092" s="665" t="s">
        <v>2</v>
      </c>
      <c r="C1092" s="664">
        <v>6</v>
      </c>
      <c r="D1092" s="12"/>
    </row>
    <row r="1093" spans="1:4" hidden="1" x14ac:dyDescent="0.2">
      <c r="A1093" s="659" t="s">
        <v>610</v>
      </c>
      <c r="B1093" s="658" t="s">
        <v>2</v>
      </c>
      <c r="C1093" s="657">
        <v>3</v>
      </c>
      <c r="D1093" s="12"/>
    </row>
    <row r="1094" spans="1:4" hidden="1" x14ac:dyDescent="0.2">
      <c r="A1094" s="662" t="s">
        <v>244</v>
      </c>
      <c r="B1094" s="661"/>
      <c r="C1094" s="660"/>
      <c r="D1094" s="12"/>
    </row>
    <row r="1095" spans="1:4" hidden="1" x14ac:dyDescent="0.2">
      <c r="A1095" s="666" t="s">
        <v>586</v>
      </c>
      <c r="B1095" s="665" t="s">
        <v>2</v>
      </c>
      <c r="C1095" s="664">
        <v>1</v>
      </c>
      <c r="D1095" s="12"/>
    </row>
    <row r="1096" spans="1:4" hidden="1" x14ac:dyDescent="0.2">
      <c r="A1096" s="659" t="s">
        <v>585</v>
      </c>
      <c r="B1096" s="658" t="s">
        <v>2</v>
      </c>
      <c r="C1096" s="657">
        <v>1</v>
      </c>
      <c r="D1096" s="12"/>
    </row>
    <row r="1097" spans="1:4" hidden="1" x14ac:dyDescent="0.2">
      <c r="A1097" s="666" t="s">
        <v>609</v>
      </c>
      <c r="B1097" s="665" t="s">
        <v>2</v>
      </c>
      <c r="C1097" s="664">
        <v>2</v>
      </c>
      <c r="D1097" s="12"/>
    </row>
    <row r="1098" spans="1:4" hidden="1" x14ac:dyDescent="0.2">
      <c r="A1098" s="662" t="s">
        <v>552</v>
      </c>
      <c r="B1098" s="661"/>
      <c r="C1098" s="660"/>
      <c r="D1098" s="12"/>
    </row>
    <row r="1099" spans="1:4" hidden="1" x14ac:dyDescent="0.2">
      <c r="A1099" s="659" t="s">
        <v>551</v>
      </c>
      <c r="B1099" s="658" t="s">
        <v>13</v>
      </c>
      <c r="C1099" s="657">
        <v>89.87</v>
      </c>
      <c r="D1099" s="12"/>
    </row>
    <row r="1100" spans="1:4" hidden="1" x14ac:dyDescent="0.2">
      <c r="A1100" s="666" t="s">
        <v>565</v>
      </c>
      <c r="B1100" s="665" t="s">
        <v>13</v>
      </c>
      <c r="C1100" s="664">
        <v>82.74</v>
      </c>
      <c r="D1100" s="12"/>
    </row>
    <row r="1101" spans="1:4" hidden="1" x14ac:dyDescent="0.2">
      <c r="A1101" s="662" t="s">
        <v>550</v>
      </c>
      <c r="B1101" s="661"/>
      <c r="C1101" s="660"/>
      <c r="D1101" s="12"/>
    </row>
    <row r="1102" spans="1:4" hidden="1" x14ac:dyDescent="0.2">
      <c r="A1102" s="659" t="s">
        <v>549</v>
      </c>
      <c r="B1102" s="658" t="s">
        <v>13</v>
      </c>
      <c r="C1102" s="657">
        <v>172.6</v>
      </c>
      <c r="D1102" s="12"/>
    </row>
    <row r="1103" spans="1:4" hidden="1" x14ac:dyDescent="0.2">
      <c r="A1103" s="662" t="s">
        <v>273</v>
      </c>
      <c r="B1103" s="661"/>
      <c r="C1103" s="660"/>
      <c r="D1103" s="12"/>
    </row>
    <row r="1104" spans="1:4" hidden="1" x14ac:dyDescent="0.2">
      <c r="A1104" s="666" t="s">
        <v>564</v>
      </c>
      <c r="B1104" s="665" t="s">
        <v>13</v>
      </c>
      <c r="C1104" s="664">
        <v>77.59</v>
      </c>
      <c r="D1104" s="12"/>
    </row>
    <row r="1105" spans="1:4" hidden="1" x14ac:dyDescent="0.2">
      <c r="A1105" s="659" t="s">
        <v>608</v>
      </c>
      <c r="B1105" s="658" t="s">
        <v>13</v>
      </c>
      <c r="C1105" s="657">
        <v>8.0500000000000007</v>
      </c>
      <c r="D1105" s="12"/>
    </row>
    <row r="1106" spans="1:4" hidden="1" x14ac:dyDescent="0.2">
      <c r="A1106" s="666" t="s">
        <v>607</v>
      </c>
      <c r="B1106" s="665" t="s">
        <v>13</v>
      </c>
      <c r="C1106" s="664">
        <v>5.14</v>
      </c>
      <c r="D1106" s="12"/>
    </row>
    <row r="1107" spans="1:4" hidden="1" x14ac:dyDescent="0.2">
      <c r="A1107" s="659" t="s">
        <v>548</v>
      </c>
      <c r="B1107" s="658" t="s">
        <v>13</v>
      </c>
      <c r="C1107" s="657">
        <v>81.819999999999993</v>
      </c>
      <c r="D1107" s="12"/>
    </row>
    <row r="1108" spans="1:4" hidden="1" x14ac:dyDescent="0.2">
      <c r="A1108" s="669" t="s">
        <v>670</v>
      </c>
      <c r="B1108" s="668"/>
      <c r="C1108" s="667"/>
      <c r="D1108" s="12"/>
    </row>
    <row r="1109" spans="1:4" hidden="1" x14ac:dyDescent="0.2">
      <c r="A1109" s="662" t="s">
        <v>208</v>
      </c>
      <c r="B1109" s="661"/>
      <c r="C1109" s="660"/>
      <c r="D1109" s="12"/>
    </row>
    <row r="1110" spans="1:4" hidden="1" x14ac:dyDescent="0.2">
      <c r="A1110" s="666" t="s">
        <v>656</v>
      </c>
      <c r="B1110" s="665" t="s">
        <v>13</v>
      </c>
      <c r="C1110" s="664">
        <v>4.42</v>
      </c>
      <c r="D1110" s="12"/>
    </row>
    <row r="1111" spans="1:4" hidden="1" x14ac:dyDescent="0.2">
      <c r="A1111" s="659" t="s">
        <v>562</v>
      </c>
      <c r="B1111" s="658" t="s">
        <v>13</v>
      </c>
      <c r="C1111" s="657">
        <v>195.56</v>
      </c>
      <c r="D1111" s="12"/>
    </row>
    <row r="1112" spans="1:4" hidden="1" x14ac:dyDescent="0.2">
      <c r="A1112" s="666" t="s">
        <v>581</v>
      </c>
      <c r="B1112" s="665" t="s">
        <v>13</v>
      </c>
      <c r="C1112" s="664">
        <v>81.11</v>
      </c>
      <c r="D1112" s="12"/>
    </row>
    <row r="1113" spans="1:4" hidden="1" x14ac:dyDescent="0.2">
      <c r="A1113" s="662" t="s">
        <v>376</v>
      </c>
      <c r="B1113" s="661"/>
      <c r="C1113" s="660"/>
      <c r="D1113" s="12"/>
    </row>
    <row r="1114" spans="1:4" hidden="1" x14ac:dyDescent="0.2">
      <c r="A1114" s="659" t="s">
        <v>655</v>
      </c>
      <c r="B1114" s="658" t="s">
        <v>13</v>
      </c>
      <c r="C1114" s="657">
        <v>29.04</v>
      </c>
      <c r="D1114" s="12"/>
    </row>
    <row r="1115" spans="1:4" hidden="1" x14ac:dyDescent="0.2">
      <c r="A1115" s="662" t="s">
        <v>605</v>
      </c>
      <c r="B1115" s="661"/>
      <c r="C1115" s="660"/>
      <c r="D1115" s="12"/>
    </row>
    <row r="1116" spans="1:4" hidden="1" x14ac:dyDescent="0.2">
      <c r="A1116" s="666" t="s">
        <v>604</v>
      </c>
      <c r="B1116" s="665" t="s">
        <v>13</v>
      </c>
      <c r="C1116" s="664">
        <v>85</v>
      </c>
      <c r="D1116" s="12"/>
    </row>
    <row r="1117" spans="1:4" hidden="1" x14ac:dyDescent="0.2">
      <c r="A1117" s="662" t="s">
        <v>561</v>
      </c>
      <c r="B1117" s="661"/>
      <c r="C1117" s="660"/>
      <c r="D1117" s="12"/>
    </row>
    <row r="1118" spans="1:4" hidden="1" x14ac:dyDescent="0.2">
      <c r="A1118" s="659" t="s">
        <v>580</v>
      </c>
      <c r="B1118" s="658" t="s">
        <v>3</v>
      </c>
      <c r="C1118" s="657">
        <v>173.26</v>
      </c>
      <c r="D1118" s="12"/>
    </row>
    <row r="1119" spans="1:4" hidden="1" x14ac:dyDescent="0.2">
      <c r="A1119" s="666" t="s">
        <v>560</v>
      </c>
      <c r="B1119" s="665" t="s">
        <v>13</v>
      </c>
      <c r="C1119" s="664">
        <v>197.57</v>
      </c>
      <c r="D1119" s="12"/>
    </row>
    <row r="1120" spans="1:4" hidden="1" x14ac:dyDescent="0.2">
      <c r="A1120" s="659" t="s">
        <v>559</v>
      </c>
      <c r="B1120" s="658" t="s">
        <v>3</v>
      </c>
      <c r="C1120" s="657">
        <v>98</v>
      </c>
      <c r="D1120" s="12"/>
    </row>
    <row r="1121" spans="1:4" hidden="1" x14ac:dyDescent="0.2">
      <c r="A1121" s="662" t="s">
        <v>212</v>
      </c>
      <c r="B1121" s="661"/>
      <c r="C1121" s="660"/>
      <c r="D1121" s="12"/>
    </row>
    <row r="1122" spans="1:4" hidden="1" x14ac:dyDescent="0.2">
      <c r="A1122" s="666" t="s">
        <v>579</v>
      </c>
      <c r="B1122" s="665" t="s">
        <v>13</v>
      </c>
      <c r="C1122" s="664">
        <v>43.76</v>
      </c>
      <c r="D1122" s="12"/>
    </row>
    <row r="1123" spans="1:4" hidden="1" x14ac:dyDescent="0.2">
      <c r="A1123" s="662" t="s">
        <v>557</v>
      </c>
      <c r="B1123" s="661"/>
      <c r="C1123" s="660"/>
      <c r="D1123" s="12"/>
    </row>
    <row r="1124" spans="1:4" hidden="1" x14ac:dyDescent="0.2">
      <c r="A1124" s="659" t="s">
        <v>654</v>
      </c>
      <c r="B1124" s="658" t="s">
        <v>13</v>
      </c>
      <c r="C1124" s="657">
        <v>12.1</v>
      </c>
      <c r="D1124" s="12"/>
    </row>
    <row r="1125" spans="1:4" hidden="1" x14ac:dyDescent="0.2">
      <c r="A1125" s="666" t="s">
        <v>653</v>
      </c>
      <c r="B1125" s="665" t="s">
        <v>13</v>
      </c>
      <c r="C1125" s="664">
        <v>6.98</v>
      </c>
      <c r="D1125" s="12"/>
    </row>
    <row r="1126" spans="1:4" hidden="1" x14ac:dyDescent="0.2">
      <c r="A1126" s="659" t="s">
        <v>603</v>
      </c>
      <c r="B1126" s="658" t="s">
        <v>13</v>
      </c>
      <c r="C1126" s="657">
        <v>3.31</v>
      </c>
      <c r="D1126" s="12"/>
    </row>
    <row r="1127" spans="1:4" hidden="1" x14ac:dyDescent="0.2">
      <c r="A1127" s="666" t="s">
        <v>602</v>
      </c>
      <c r="B1127" s="665" t="s">
        <v>13</v>
      </c>
      <c r="C1127" s="664">
        <v>6.44</v>
      </c>
      <c r="D1127" s="12"/>
    </row>
    <row r="1128" spans="1:4" hidden="1" x14ac:dyDescent="0.2">
      <c r="A1128" s="659" t="s">
        <v>652</v>
      </c>
      <c r="B1128" s="658" t="s">
        <v>13</v>
      </c>
      <c r="C1128" s="657">
        <v>36.83</v>
      </c>
      <c r="D1128" s="12"/>
    </row>
    <row r="1129" spans="1:4" hidden="1" x14ac:dyDescent="0.2">
      <c r="A1129" s="666" t="s">
        <v>651</v>
      </c>
      <c r="B1129" s="665" t="s">
        <v>13</v>
      </c>
      <c r="C1129" s="664">
        <v>17.95</v>
      </c>
      <c r="D1129" s="12"/>
    </row>
    <row r="1130" spans="1:4" hidden="1" x14ac:dyDescent="0.2">
      <c r="A1130" s="659" t="s">
        <v>650</v>
      </c>
      <c r="B1130" s="658" t="s">
        <v>13</v>
      </c>
      <c r="C1130" s="657">
        <v>22.97</v>
      </c>
      <c r="D1130" s="12"/>
    </row>
    <row r="1131" spans="1:4" hidden="1" x14ac:dyDescent="0.2">
      <c r="A1131" s="666" t="s">
        <v>649</v>
      </c>
      <c r="B1131" s="665" t="s">
        <v>13</v>
      </c>
      <c r="C1131" s="664">
        <v>5.43</v>
      </c>
      <c r="D1131" s="12"/>
    </row>
    <row r="1132" spans="1:4" hidden="1" x14ac:dyDescent="0.2">
      <c r="A1132" s="659" t="s">
        <v>648</v>
      </c>
      <c r="B1132" s="658" t="s">
        <v>13</v>
      </c>
      <c r="C1132" s="657">
        <v>10.6</v>
      </c>
      <c r="D1132" s="12"/>
    </row>
    <row r="1133" spans="1:4" hidden="1" x14ac:dyDescent="0.2">
      <c r="A1133" s="666" t="s">
        <v>647</v>
      </c>
      <c r="B1133" s="665" t="s">
        <v>13</v>
      </c>
      <c r="C1133" s="664">
        <v>6.95</v>
      </c>
      <c r="D1133" s="12"/>
    </row>
    <row r="1134" spans="1:4" hidden="1" x14ac:dyDescent="0.2">
      <c r="A1134" s="659" t="s">
        <v>646</v>
      </c>
      <c r="B1134" s="658" t="s">
        <v>13</v>
      </c>
      <c r="C1134" s="657">
        <v>9.51</v>
      </c>
      <c r="D1134" s="12"/>
    </row>
    <row r="1135" spans="1:4" hidden="1" x14ac:dyDescent="0.2">
      <c r="A1135" s="666" t="s">
        <v>645</v>
      </c>
      <c r="B1135" s="665" t="s">
        <v>13</v>
      </c>
      <c r="C1135" s="664">
        <v>2.99</v>
      </c>
      <c r="D1135" s="12"/>
    </row>
    <row r="1136" spans="1:4" hidden="1" x14ac:dyDescent="0.2">
      <c r="A1136" s="662" t="s">
        <v>220</v>
      </c>
      <c r="B1136" s="661"/>
      <c r="C1136" s="660"/>
      <c r="D1136" s="12"/>
    </row>
    <row r="1137" spans="1:4" hidden="1" x14ac:dyDescent="0.2">
      <c r="A1137" s="659" t="s">
        <v>599</v>
      </c>
      <c r="B1137" s="658" t="s">
        <v>13</v>
      </c>
      <c r="C1137" s="657">
        <v>197.77</v>
      </c>
      <c r="D1137" s="12"/>
    </row>
    <row r="1138" spans="1:4" hidden="1" x14ac:dyDescent="0.2">
      <c r="A1138" s="666" t="s">
        <v>644</v>
      </c>
      <c r="B1138" s="665" t="s">
        <v>13</v>
      </c>
      <c r="C1138" s="664">
        <v>7.88</v>
      </c>
      <c r="D1138" s="12"/>
    </row>
    <row r="1139" spans="1:4" ht="25.5" hidden="1" x14ac:dyDescent="0.2">
      <c r="A1139" s="659" t="s">
        <v>643</v>
      </c>
      <c r="B1139" s="658" t="s">
        <v>13</v>
      </c>
      <c r="C1139" s="657">
        <v>2.82</v>
      </c>
      <c r="D1139" s="12"/>
    </row>
    <row r="1140" spans="1:4" hidden="1" x14ac:dyDescent="0.2">
      <c r="A1140" s="662" t="s">
        <v>598</v>
      </c>
      <c r="B1140" s="661"/>
      <c r="C1140" s="660"/>
      <c r="D1140" s="12"/>
    </row>
    <row r="1141" spans="1:4" hidden="1" x14ac:dyDescent="0.2">
      <c r="A1141" s="666" t="s">
        <v>642</v>
      </c>
      <c r="B1141" s="665" t="s">
        <v>13</v>
      </c>
      <c r="C1141" s="664">
        <v>5.27</v>
      </c>
      <c r="D1141" s="12"/>
    </row>
    <row r="1142" spans="1:4" hidden="1" x14ac:dyDescent="0.2">
      <c r="A1142" s="662" t="s">
        <v>576</v>
      </c>
      <c r="B1142" s="661"/>
      <c r="C1142" s="660"/>
      <c r="D1142" s="12"/>
    </row>
    <row r="1143" spans="1:4" hidden="1" x14ac:dyDescent="0.2">
      <c r="A1143" s="659" t="s">
        <v>575</v>
      </c>
      <c r="B1143" s="658" t="s">
        <v>13</v>
      </c>
      <c r="C1143" s="657">
        <v>546.5</v>
      </c>
      <c r="D1143" s="12"/>
    </row>
    <row r="1144" spans="1:4" hidden="1" x14ac:dyDescent="0.2">
      <c r="A1144" s="666" t="s">
        <v>574</v>
      </c>
      <c r="B1144" s="665" t="s">
        <v>13</v>
      </c>
      <c r="C1144" s="664">
        <v>153.68</v>
      </c>
      <c r="D1144" s="12"/>
    </row>
    <row r="1145" spans="1:4" hidden="1" x14ac:dyDescent="0.2">
      <c r="A1145" s="662" t="s">
        <v>573</v>
      </c>
      <c r="B1145" s="661"/>
      <c r="C1145" s="660"/>
      <c r="D1145" s="12"/>
    </row>
    <row r="1146" spans="1:4" hidden="1" x14ac:dyDescent="0.2">
      <c r="A1146" s="659" t="s">
        <v>572</v>
      </c>
      <c r="B1146" s="658" t="s">
        <v>13</v>
      </c>
      <c r="C1146" s="657">
        <v>700.18</v>
      </c>
      <c r="D1146" s="12"/>
    </row>
    <row r="1147" spans="1:4" hidden="1" x14ac:dyDescent="0.2">
      <c r="A1147" s="662" t="s">
        <v>224</v>
      </c>
      <c r="B1147" s="661"/>
      <c r="C1147" s="660"/>
      <c r="D1147" s="12"/>
    </row>
    <row r="1148" spans="1:4" hidden="1" x14ac:dyDescent="0.2">
      <c r="A1148" s="666" t="s">
        <v>571</v>
      </c>
      <c r="B1148" s="665" t="s">
        <v>13</v>
      </c>
      <c r="C1148" s="664">
        <v>45.24</v>
      </c>
      <c r="D1148" s="12"/>
    </row>
    <row r="1149" spans="1:4" hidden="1" x14ac:dyDescent="0.2">
      <c r="A1149" s="662" t="s">
        <v>218</v>
      </c>
      <c r="B1149" s="661"/>
      <c r="C1149" s="660"/>
      <c r="D1149" s="12"/>
    </row>
    <row r="1150" spans="1:4" hidden="1" x14ac:dyDescent="0.2">
      <c r="A1150" s="659" t="s">
        <v>570</v>
      </c>
      <c r="B1150" s="658" t="s">
        <v>13</v>
      </c>
      <c r="C1150" s="657">
        <v>37.35</v>
      </c>
      <c r="D1150" s="12"/>
    </row>
    <row r="1151" spans="1:4" hidden="1" x14ac:dyDescent="0.2">
      <c r="A1151" s="662" t="s">
        <v>219</v>
      </c>
      <c r="B1151" s="661"/>
      <c r="C1151" s="660"/>
      <c r="D1151" s="12"/>
    </row>
    <row r="1152" spans="1:4" hidden="1" x14ac:dyDescent="0.2">
      <c r="A1152" s="666" t="s">
        <v>641</v>
      </c>
      <c r="B1152" s="665" t="s">
        <v>13</v>
      </c>
      <c r="C1152" s="664">
        <v>187.88</v>
      </c>
      <c r="D1152" s="12"/>
    </row>
    <row r="1153" spans="1:4" hidden="1" x14ac:dyDescent="0.2">
      <c r="A1153" s="662" t="s">
        <v>222</v>
      </c>
      <c r="B1153" s="661"/>
      <c r="C1153" s="660"/>
      <c r="D1153" s="12"/>
    </row>
    <row r="1154" spans="1:4" hidden="1" x14ac:dyDescent="0.2">
      <c r="A1154" s="659" t="s">
        <v>640</v>
      </c>
      <c r="B1154" s="658" t="s">
        <v>13</v>
      </c>
      <c r="C1154" s="657">
        <v>93.11</v>
      </c>
      <c r="D1154" s="12"/>
    </row>
    <row r="1155" spans="1:4" hidden="1" x14ac:dyDescent="0.2">
      <c r="A1155" s="666" t="s">
        <v>639</v>
      </c>
      <c r="B1155" s="665" t="s">
        <v>13</v>
      </c>
      <c r="C1155" s="664">
        <v>23.38</v>
      </c>
      <c r="D1155" s="12"/>
    </row>
    <row r="1156" spans="1:4" hidden="1" x14ac:dyDescent="0.2">
      <c r="A1156" s="659" t="s">
        <v>638</v>
      </c>
      <c r="B1156" s="658" t="s">
        <v>13</v>
      </c>
      <c r="C1156" s="657">
        <v>8.48</v>
      </c>
      <c r="D1156" s="12"/>
    </row>
    <row r="1157" spans="1:4" hidden="1" x14ac:dyDescent="0.2">
      <c r="A1157" s="662" t="s">
        <v>637</v>
      </c>
      <c r="B1157" s="661"/>
      <c r="C1157" s="660"/>
      <c r="D1157" s="12"/>
    </row>
    <row r="1158" spans="1:4" hidden="1" x14ac:dyDescent="0.2">
      <c r="A1158" s="666" t="s">
        <v>636</v>
      </c>
      <c r="B1158" s="665" t="s">
        <v>13</v>
      </c>
      <c r="C1158" s="664">
        <v>63.69</v>
      </c>
      <c r="D1158" s="12"/>
    </row>
    <row r="1159" spans="1:4" hidden="1" x14ac:dyDescent="0.2">
      <c r="A1159" s="662" t="s">
        <v>635</v>
      </c>
      <c r="B1159" s="661"/>
      <c r="C1159" s="660"/>
      <c r="D1159" s="12"/>
    </row>
    <row r="1160" spans="1:4" hidden="1" x14ac:dyDescent="0.2">
      <c r="A1160" s="659" t="s">
        <v>634</v>
      </c>
      <c r="B1160" s="658" t="s">
        <v>3</v>
      </c>
      <c r="C1160" s="657">
        <v>158.85</v>
      </c>
      <c r="D1160" s="12"/>
    </row>
    <row r="1161" spans="1:4" hidden="1" x14ac:dyDescent="0.2">
      <c r="A1161" s="662" t="s">
        <v>346</v>
      </c>
      <c r="B1161" s="661"/>
      <c r="C1161" s="660"/>
      <c r="D1161" s="12"/>
    </row>
    <row r="1162" spans="1:4" hidden="1" x14ac:dyDescent="0.2">
      <c r="A1162" s="666" t="s">
        <v>633</v>
      </c>
      <c r="B1162" s="665" t="s">
        <v>13</v>
      </c>
      <c r="C1162" s="664">
        <v>0.85</v>
      </c>
      <c r="D1162" s="12"/>
    </row>
    <row r="1163" spans="1:4" hidden="1" x14ac:dyDescent="0.2">
      <c r="A1163" s="662" t="s">
        <v>217</v>
      </c>
      <c r="B1163" s="661"/>
      <c r="C1163" s="660"/>
      <c r="D1163" s="12"/>
    </row>
    <row r="1164" spans="1:4" hidden="1" x14ac:dyDescent="0.2">
      <c r="A1164" s="659" t="s">
        <v>632</v>
      </c>
      <c r="B1164" s="658" t="s">
        <v>13</v>
      </c>
      <c r="C1164" s="657">
        <v>3.2</v>
      </c>
      <c r="D1164" s="12"/>
    </row>
    <row r="1165" spans="1:4" hidden="1" x14ac:dyDescent="0.2">
      <c r="A1165" s="662" t="s">
        <v>215</v>
      </c>
      <c r="B1165" s="661"/>
      <c r="C1165" s="660"/>
      <c r="D1165" s="12"/>
    </row>
    <row r="1166" spans="1:4" hidden="1" x14ac:dyDescent="0.2">
      <c r="A1166" s="666" t="s">
        <v>631</v>
      </c>
      <c r="B1166" s="665" t="s">
        <v>13</v>
      </c>
      <c r="C1166" s="664">
        <v>58.23</v>
      </c>
      <c r="D1166" s="12"/>
    </row>
    <row r="1167" spans="1:4" hidden="1" x14ac:dyDescent="0.2">
      <c r="A1167" s="659" t="s">
        <v>630</v>
      </c>
      <c r="B1167" s="658" t="s">
        <v>13</v>
      </c>
      <c r="C1167" s="657">
        <v>108</v>
      </c>
      <c r="D1167" s="12"/>
    </row>
    <row r="1168" spans="1:4" hidden="1" x14ac:dyDescent="0.2">
      <c r="A1168" s="662" t="s">
        <v>231</v>
      </c>
      <c r="B1168" s="661"/>
      <c r="C1168" s="660"/>
      <c r="D1168" s="12"/>
    </row>
    <row r="1169" spans="1:4" hidden="1" x14ac:dyDescent="0.2">
      <c r="A1169" s="666" t="s">
        <v>595</v>
      </c>
      <c r="B1169" s="665" t="s">
        <v>13</v>
      </c>
      <c r="C1169" s="664">
        <v>6.72</v>
      </c>
      <c r="D1169" s="12"/>
    </row>
    <row r="1170" spans="1:4" hidden="1" x14ac:dyDescent="0.2">
      <c r="A1170" s="659" t="s">
        <v>629</v>
      </c>
      <c r="B1170" s="658" t="s">
        <v>13</v>
      </c>
      <c r="C1170" s="657">
        <v>7.88</v>
      </c>
      <c r="D1170" s="12"/>
    </row>
    <row r="1171" spans="1:4" hidden="1" x14ac:dyDescent="0.2">
      <c r="A1171" s="666" t="s">
        <v>594</v>
      </c>
      <c r="B1171" s="665" t="s">
        <v>13</v>
      </c>
      <c r="C1171" s="664">
        <v>17.21</v>
      </c>
      <c r="D1171" s="12"/>
    </row>
    <row r="1172" spans="1:4" hidden="1" x14ac:dyDescent="0.2">
      <c r="A1172" s="662" t="s">
        <v>569</v>
      </c>
      <c r="B1172" s="661"/>
      <c r="C1172" s="660"/>
      <c r="D1172" s="12"/>
    </row>
    <row r="1173" spans="1:4" hidden="1" x14ac:dyDescent="0.2">
      <c r="A1173" s="659" t="s">
        <v>628</v>
      </c>
      <c r="B1173" s="658" t="s">
        <v>13</v>
      </c>
      <c r="C1173" s="657">
        <v>31.33</v>
      </c>
      <c r="D1173" s="12"/>
    </row>
    <row r="1174" spans="1:4" hidden="1" x14ac:dyDescent="0.2">
      <c r="A1174" s="666" t="s">
        <v>627</v>
      </c>
      <c r="B1174" s="665" t="s">
        <v>13</v>
      </c>
      <c r="C1174" s="664">
        <v>420.78</v>
      </c>
      <c r="D1174" s="12"/>
    </row>
    <row r="1175" spans="1:4" hidden="1" x14ac:dyDescent="0.2">
      <c r="A1175" s="659" t="s">
        <v>626</v>
      </c>
      <c r="B1175" s="658" t="s">
        <v>13</v>
      </c>
      <c r="C1175" s="657">
        <v>2.93</v>
      </c>
      <c r="D1175" s="12"/>
    </row>
    <row r="1176" spans="1:4" hidden="1" x14ac:dyDescent="0.2">
      <c r="A1176" s="666" t="s">
        <v>592</v>
      </c>
      <c r="B1176" s="665" t="s">
        <v>13</v>
      </c>
      <c r="C1176" s="664">
        <v>78.91</v>
      </c>
      <c r="D1176" s="12"/>
    </row>
    <row r="1177" spans="1:4" hidden="1" x14ac:dyDescent="0.2">
      <c r="A1177" s="662" t="s">
        <v>567</v>
      </c>
      <c r="B1177" s="661"/>
      <c r="C1177" s="660"/>
      <c r="D1177" s="12"/>
    </row>
    <row r="1178" spans="1:4" hidden="1" x14ac:dyDescent="0.2">
      <c r="A1178" s="659" t="s">
        <v>566</v>
      </c>
      <c r="B1178" s="658" t="s">
        <v>13</v>
      </c>
      <c r="C1178" s="657">
        <v>225.23</v>
      </c>
      <c r="D1178" s="12"/>
    </row>
    <row r="1179" spans="1:4" hidden="1" x14ac:dyDescent="0.2">
      <c r="A1179" s="662" t="s">
        <v>235</v>
      </c>
      <c r="B1179" s="661"/>
      <c r="C1179" s="660"/>
      <c r="D1179" s="12"/>
    </row>
    <row r="1180" spans="1:4" hidden="1" x14ac:dyDescent="0.2">
      <c r="A1180" s="666" t="s">
        <v>554</v>
      </c>
      <c r="B1180" s="665" t="s">
        <v>3</v>
      </c>
      <c r="C1180" s="664">
        <v>108.4</v>
      </c>
      <c r="D1180" s="12"/>
    </row>
    <row r="1181" spans="1:4" hidden="1" x14ac:dyDescent="0.2">
      <c r="A1181" s="662" t="s">
        <v>236</v>
      </c>
      <c r="B1181" s="661"/>
      <c r="C1181" s="660"/>
      <c r="D1181" s="12"/>
    </row>
    <row r="1182" spans="1:4" hidden="1" x14ac:dyDescent="0.2">
      <c r="A1182" s="659" t="s">
        <v>591</v>
      </c>
      <c r="B1182" s="658" t="s">
        <v>13</v>
      </c>
      <c r="C1182" s="657">
        <v>1.04</v>
      </c>
      <c r="D1182" s="12"/>
    </row>
    <row r="1183" spans="1:4" hidden="1" x14ac:dyDescent="0.2">
      <c r="A1183" s="666" t="s">
        <v>590</v>
      </c>
      <c r="B1183" s="665" t="s">
        <v>13</v>
      </c>
      <c r="C1183" s="664">
        <v>1.04</v>
      </c>
      <c r="D1183" s="12"/>
    </row>
    <row r="1184" spans="1:4" hidden="1" x14ac:dyDescent="0.2">
      <c r="A1184" s="659" t="s">
        <v>625</v>
      </c>
      <c r="B1184" s="658" t="s">
        <v>13</v>
      </c>
      <c r="C1184" s="657">
        <v>2.25</v>
      </c>
      <c r="D1184" s="12"/>
    </row>
    <row r="1185" spans="1:4" hidden="1" x14ac:dyDescent="0.2">
      <c r="A1185" s="666" t="s">
        <v>624</v>
      </c>
      <c r="B1185" s="665" t="s">
        <v>13</v>
      </c>
      <c r="C1185" s="664">
        <v>8.86</v>
      </c>
      <c r="D1185" s="12"/>
    </row>
    <row r="1186" spans="1:4" hidden="1" x14ac:dyDescent="0.2">
      <c r="A1186" s="659" t="s">
        <v>623</v>
      </c>
      <c r="B1186" s="658" t="s">
        <v>3</v>
      </c>
      <c r="C1186" s="657">
        <v>2.5</v>
      </c>
      <c r="D1186" s="12"/>
    </row>
    <row r="1187" spans="1:4" hidden="1" x14ac:dyDescent="0.2">
      <c r="A1187" s="666" t="s">
        <v>622</v>
      </c>
      <c r="B1187" s="665" t="s">
        <v>3</v>
      </c>
      <c r="C1187" s="664">
        <v>7.4</v>
      </c>
      <c r="D1187" s="12"/>
    </row>
    <row r="1188" spans="1:4" hidden="1" x14ac:dyDescent="0.2">
      <c r="A1188" s="659" t="s">
        <v>621</v>
      </c>
      <c r="B1188" s="658" t="s">
        <v>13</v>
      </c>
      <c r="C1188" s="657">
        <v>0.36</v>
      </c>
      <c r="D1188" s="12"/>
    </row>
    <row r="1189" spans="1:4" hidden="1" x14ac:dyDescent="0.2">
      <c r="A1189" s="666" t="s">
        <v>620</v>
      </c>
      <c r="B1189" s="665" t="s">
        <v>13</v>
      </c>
      <c r="C1189" s="664">
        <v>1.18</v>
      </c>
      <c r="D1189" s="12"/>
    </row>
    <row r="1190" spans="1:4" hidden="1" x14ac:dyDescent="0.2">
      <c r="A1190" s="659" t="s">
        <v>619</v>
      </c>
      <c r="B1190" s="658" t="s">
        <v>13</v>
      </c>
      <c r="C1190" s="657">
        <v>4.03</v>
      </c>
      <c r="D1190" s="12"/>
    </row>
    <row r="1191" spans="1:4" hidden="1" x14ac:dyDescent="0.2">
      <c r="A1191" s="666" t="s">
        <v>618</v>
      </c>
      <c r="B1191" s="665" t="s">
        <v>13</v>
      </c>
      <c r="C1191" s="664">
        <v>11.09</v>
      </c>
      <c r="D1191" s="12"/>
    </row>
    <row r="1192" spans="1:4" hidden="1" x14ac:dyDescent="0.2">
      <c r="A1192" s="659" t="s">
        <v>617</v>
      </c>
      <c r="B1192" s="658" t="s">
        <v>13</v>
      </c>
      <c r="C1192" s="657">
        <v>0.05</v>
      </c>
      <c r="D1192" s="12"/>
    </row>
    <row r="1193" spans="1:4" hidden="1" x14ac:dyDescent="0.2">
      <c r="A1193" s="666" t="s">
        <v>616</v>
      </c>
      <c r="B1193" s="665" t="s">
        <v>13</v>
      </c>
      <c r="C1193" s="664">
        <v>0.89</v>
      </c>
      <c r="D1193" s="12"/>
    </row>
    <row r="1194" spans="1:4" hidden="1" x14ac:dyDescent="0.2">
      <c r="A1194" s="659" t="s">
        <v>615</v>
      </c>
      <c r="B1194" s="658" t="s">
        <v>13</v>
      </c>
      <c r="C1194" s="657">
        <v>0.02</v>
      </c>
      <c r="D1194" s="12"/>
    </row>
    <row r="1195" spans="1:4" hidden="1" x14ac:dyDescent="0.2">
      <c r="A1195" s="666" t="s">
        <v>614</v>
      </c>
      <c r="B1195" s="665" t="s">
        <v>13</v>
      </c>
      <c r="C1195" s="664">
        <v>0.38</v>
      </c>
      <c r="D1195" s="12"/>
    </row>
    <row r="1196" spans="1:4" hidden="1" x14ac:dyDescent="0.2">
      <c r="A1196" s="662" t="s">
        <v>240</v>
      </c>
      <c r="B1196" s="661"/>
      <c r="C1196" s="660"/>
      <c r="D1196" s="12"/>
    </row>
    <row r="1197" spans="1:4" hidden="1" x14ac:dyDescent="0.2">
      <c r="A1197" s="659" t="s">
        <v>613</v>
      </c>
      <c r="B1197" s="658" t="s">
        <v>3</v>
      </c>
      <c r="C1197" s="657">
        <v>14.53</v>
      </c>
      <c r="D1197" s="12"/>
    </row>
    <row r="1198" spans="1:4" hidden="1" x14ac:dyDescent="0.2">
      <c r="A1198" s="666" t="s">
        <v>612</v>
      </c>
      <c r="B1198" s="665" t="s">
        <v>2</v>
      </c>
      <c r="C1198" s="664">
        <v>8</v>
      </c>
      <c r="D1198" s="12"/>
    </row>
    <row r="1199" spans="1:4" hidden="1" x14ac:dyDescent="0.2">
      <c r="A1199" s="659" t="s">
        <v>611</v>
      </c>
      <c r="B1199" s="658" t="s">
        <v>2</v>
      </c>
      <c r="C1199" s="657">
        <v>6</v>
      </c>
      <c r="D1199" s="12"/>
    </row>
    <row r="1200" spans="1:4" hidden="1" x14ac:dyDescent="0.2">
      <c r="A1200" s="666" t="s">
        <v>610</v>
      </c>
      <c r="B1200" s="665" t="s">
        <v>2</v>
      </c>
      <c r="C1200" s="664">
        <v>3</v>
      </c>
      <c r="D1200" s="12"/>
    </row>
    <row r="1201" spans="1:4" hidden="1" x14ac:dyDescent="0.2">
      <c r="A1201" s="662" t="s">
        <v>244</v>
      </c>
      <c r="B1201" s="661"/>
      <c r="C1201" s="660"/>
      <c r="D1201" s="12"/>
    </row>
    <row r="1202" spans="1:4" hidden="1" x14ac:dyDescent="0.2">
      <c r="A1202" s="659" t="s">
        <v>586</v>
      </c>
      <c r="B1202" s="658" t="s">
        <v>2</v>
      </c>
      <c r="C1202" s="657">
        <v>1</v>
      </c>
      <c r="D1202" s="12"/>
    </row>
    <row r="1203" spans="1:4" hidden="1" x14ac:dyDescent="0.2">
      <c r="A1203" s="666" t="s">
        <v>585</v>
      </c>
      <c r="B1203" s="665" t="s">
        <v>2</v>
      </c>
      <c r="C1203" s="664">
        <v>1</v>
      </c>
      <c r="D1203" s="12"/>
    </row>
    <row r="1204" spans="1:4" hidden="1" x14ac:dyDescent="0.2">
      <c r="A1204" s="659" t="s">
        <v>609</v>
      </c>
      <c r="B1204" s="658" t="s">
        <v>2</v>
      </c>
      <c r="C1204" s="657">
        <v>2</v>
      </c>
      <c r="D1204" s="12"/>
    </row>
    <row r="1205" spans="1:4" hidden="1" x14ac:dyDescent="0.2">
      <c r="A1205" s="662" t="s">
        <v>552</v>
      </c>
      <c r="B1205" s="661"/>
      <c r="C1205" s="660"/>
      <c r="D1205" s="12"/>
    </row>
    <row r="1206" spans="1:4" hidden="1" x14ac:dyDescent="0.2">
      <c r="A1206" s="666" t="s">
        <v>551</v>
      </c>
      <c r="B1206" s="665" t="s">
        <v>13</v>
      </c>
      <c r="C1206" s="664">
        <v>91.88</v>
      </c>
      <c r="D1206" s="12"/>
    </row>
    <row r="1207" spans="1:4" hidden="1" x14ac:dyDescent="0.2">
      <c r="A1207" s="659" t="s">
        <v>565</v>
      </c>
      <c r="B1207" s="658" t="s">
        <v>13</v>
      </c>
      <c r="C1207" s="657">
        <v>82.74</v>
      </c>
      <c r="D1207" s="12"/>
    </row>
    <row r="1208" spans="1:4" hidden="1" x14ac:dyDescent="0.2">
      <c r="A1208" s="662" t="s">
        <v>550</v>
      </c>
      <c r="B1208" s="661"/>
      <c r="C1208" s="660"/>
      <c r="D1208" s="12"/>
    </row>
    <row r="1209" spans="1:4" hidden="1" x14ac:dyDescent="0.2">
      <c r="A1209" s="666" t="s">
        <v>549</v>
      </c>
      <c r="B1209" s="665" t="s">
        <v>13</v>
      </c>
      <c r="C1209" s="664">
        <v>174.62</v>
      </c>
      <c r="D1209" s="12"/>
    </row>
    <row r="1210" spans="1:4" hidden="1" x14ac:dyDescent="0.2">
      <c r="A1210" s="662" t="s">
        <v>273</v>
      </c>
      <c r="B1210" s="661"/>
      <c r="C1210" s="660"/>
      <c r="D1210" s="12"/>
    </row>
    <row r="1211" spans="1:4" hidden="1" x14ac:dyDescent="0.2">
      <c r="A1211" s="659" t="s">
        <v>564</v>
      </c>
      <c r="B1211" s="658" t="s">
        <v>13</v>
      </c>
      <c r="C1211" s="657">
        <v>77.59</v>
      </c>
      <c r="D1211" s="12"/>
    </row>
    <row r="1212" spans="1:4" hidden="1" x14ac:dyDescent="0.2">
      <c r="A1212" s="666" t="s">
        <v>608</v>
      </c>
      <c r="B1212" s="665" t="s">
        <v>13</v>
      </c>
      <c r="C1212" s="664">
        <v>10.06</v>
      </c>
      <c r="D1212" s="12"/>
    </row>
    <row r="1213" spans="1:4" hidden="1" x14ac:dyDescent="0.2">
      <c r="A1213" s="659" t="s">
        <v>607</v>
      </c>
      <c r="B1213" s="658" t="s">
        <v>13</v>
      </c>
      <c r="C1213" s="657">
        <v>5.14</v>
      </c>
      <c r="D1213" s="12"/>
    </row>
    <row r="1214" spans="1:4" hidden="1" x14ac:dyDescent="0.2">
      <c r="A1214" s="666" t="s">
        <v>548</v>
      </c>
      <c r="B1214" s="665" t="s">
        <v>13</v>
      </c>
      <c r="C1214" s="664">
        <v>81.819999999999993</v>
      </c>
      <c r="D1214" s="12"/>
    </row>
    <row r="1215" spans="1:4" hidden="1" x14ac:dyDescent="0.2">
      <c r="A1215" s="669" t="s">
        <v>669</v>
      </c>
      <c r="B1215" s="668"/>
      <c r="C1215" s="667"/>
      <c r="D1215" s="12"/>
    </row>
    <row r="1216" spans="1:4" hidden="1" x14ac:dyDescent="0.2">
      <c r="A1216" s="662" t="s">
        <v>208</v>
      </c>
      <c r="B1216" s="661"/>
      <c r="C1216" s="660"/>
      <c r="D1216" s="12"/>
    </row>
    <row r="1217" spans="1:4" hidden="1" x14ac:dyDescent="0.2">
      <c r="A1217" s="659" t="s">
        <v>656</v>
      </c>
      <c r="B1217" s="658" t="s">
        <v>13</v>
      </c>
      <c r="C1217" s="657">
        <v>3.51</v>
      </c>
      <c r="D1217" s="12"/>
    </row>
    <row r="1218" spans="1:4" hidden="1" x14ac:dyDescent="0.2">
      <c r="A1218" s="666" t="s">
        <v>562</v>
      </c>
      <c r="B1218" s="665" t="s">
        <v>13</v>
      </c>
      <c r="C1218" s="664">
        <v>195.56</v>
      </c>
      <c r="D1218" s="12"/>
    </row>
    <row r="1219" spans="1:4" hidden="1" x14ac:dyDescent="0.2">
      <c r="A1219" s="659" t="s">
        <v>581</v>
      </c>
      <c r="B1219" s="658" t="s">
        <v>13</v>
      </c>
      <c r="C1219" s="657">
        <v>81.11</v>
      </c>
      <c r="D1219" s="12"/>
    </row>
    <row r="1220" spans="1:4" hidden="1" x14ac:dyDescent="0.2">
      <c r="A1220" s="662" t="s">
        <v>376</v>
      </c>
      <c r="B1220" s="661"/>
      <c r="C1220" s="660"/>
      <c r="D1220" s="12"/>
    </row>
    <row r="1221" spans="1:4" hidden="1" x14ac:dyDescent="0.2">
      <c r="A1221" s="666" t="s">
        <v>655</v>
      </c>
      <c r="B1221" s="665" t="s">
        <v>13</v>
      </c>
      <c r="C1221" s="664">
        <v>29.04</v>
      </c>
      <c r="D1221" s="12"/>
    </row>
    <row r="1222" spans="1:4" hidden="1" x14ac:dyDescent="0.2">
      <c r="A1222" s="662" t="s">
        <v>605</v>
      </c>
      <c r="B1222" s="661"/>
      <c r="C1222" s="660"/>
      <c r="D1222" s="12"/>
    </row>
    <row r="1223" spans="1:4" hidden="1" x14ac:dyDescent="0.2">
      <c r="A1223" s="659" t="s">
        <v>604</v>
      </c>
      <c r="B1223" s="658" t="s">
        <v>13</v>
      </c>
      <c r="C1223" s="657">
        <v>85</v>
      </c>
      <c r="D1223" s="12"/>
    </row>
    <row r="1224" spans="1:4" hidden="1" x14ac:dyDescent="0.2">
      <c r="A1224" s="662" t="s">
        <v>561</v>
      </c>
      <c r="B1224" s="661"/>
      <c r="C1224" s="660"/>
      <c r="D1224" s="12"/>
    </row>
    <row r="1225" spans="1:4" hidden="1" x14ac:dyDescent="0.2">
      <c r="A1225" s="666" t="s">
        <v>580</v>
      </c>
      <c r="B1225" s="665" t="s">
        <v>3</v>
      </c>
      <c r="C1225" s="664">
        <v>172.9</v>
      </c>
      <c r="D1225" s="12"/>
    </row>
    <row r="1226" spans="1:4" hidden="1" x14ac:dyDescent="0.2">
      <c r="A1226" s="659" t="s">
        <v>560</v>
      </c>
      <c r="B1226" s="658" t="s">
        <v>13</v>
      </c>
      <c r="C1226" s="657">
        <v>197.11</v>
      </c>
      <c r="D1226" s="12"/>
    </row>
    <row r="1227" spans="1:4" hidden="1" x14ac:dyDescent="0.2">
      <c r="A1227" s="666" t="s">
        <v>559</v>
      </c>
      <c r="B1227" s="665" t="s">
        <v>3</v>
      </c>
      <c r="C1227" s="664">
        <v>98</v>
      </c>
      <c r="D1227" s="12"/>
    </row>
    <row r="1228" spans="1:4" hidden="1" x14ac:dyDescent="0.2">
      <c r="A1228" s="662" t="s">
        <v>212</v>
      </c>
      <c r="B1228" s="661"/>
      <c r="C1228" s="660"/>
      <c r="D1228" s="12"/>
    </row>
    <row r="1229" spans="1:4" hidden="1" x14ac:dyDescent="0.2">
      <c r="A1229" s="659" t="s">
        <v>579</v>
      </c>
      <c r="B1229" s="658" t="s">
        <v>13</v>
      </c>
      <c r="C1229" s="657">
        <v>43.76</v>
      </c>
      <c r="D1229" s="12"/>
    </row>
    <row r="1230" spans="1:4" hidden="1" x14ac:dyDescent="0.2">
      <c r="A1230" s="662" t="s">
        <v>557</v>
      </c>
      <c r="B1230" s="661"/>
      <c r="C1230" s="660"/>
      <c r="D1230" s="12"/>
    </row>
    <row r="1231" spans="1:4" hidden="1" x14ac:dyDescent="0.2">
      <c r="A1231" s="666" t="s">
        <v>654</v>
      </c>
      <c r="B1231" s="665" t="s">
        <v>13</v>
      </c>
      <c r="C1231" s="664">
        <v>12.1</v>
      </c>
      <c r="D1231" s="12"/>
    </row>
    <row r="1232" spans="1:4" hidden="1" x14ac:dyDescent="0.2">
      <c r="A1232" s="659" t="s">
        <v>653</v>
      </c>
      <c r="B1232" s="658" t="s">
        <v>13</v>
      </c>
      <c r="C1232" s="657">
        <v>6.98</v>
      </c>
      <c r="D1232" s="12"/>
    </row>
    <row r="1233" spans="1:4" hidden="1" x14ac:dyDescent="0.2">
      <c r="A1233" s="666" t="s">
        <v>603</v>
      </c>
      <c r="B1233" s="665" t="s">
        <v>13</v>
      </c>
      <c r="C1233" s="664">
        <v>3.31</v>
      </c>
      <c r="D1233" s="12"/>
    </row>
    <row r="1234" spans="1:4" hidden="1" x14ac:dyDescent="0.2">
      <c r="A1234" s="659" t="s">
        <v>602</v>
      </c>
      <c r="B1234" s="658" t="s">
        <v>13</v>
      </c>
      <c r="C1234" s="657">
        <v>6.44</v>
      </c>
      <c r="D1234" s="12"/>
    </row>
    <row r="1235" spans="1:4" hidden="1" x14ac:dyDescent="0.2">
      <c r="A1235" s="666" t="s">
        <v>652</v>
      </c>
      <c r="B1235" s="665" t="s">
        <v>13</v>
      </c>
      <c r="C1235" s="664">
        <v>36.83</v>
      </c>
      <c r="D1235" s="12"/>
    </row>
    <row r="1236" spans="1:4" hidden="1" x14ac:dyDescent="0.2">
      <c r="A1236" s="659" t="s">
        <v>651</v>
      </c>
      <c r="B1236" s="658" t="s">
        <v>13</v>
      </c>
      <c r="C1236" s="657">
        <v>17.95</v>
      </c>
      <c r="D1236" s="12"/>
    </row>
    <row r="1237" spans="1:4" hidden="1" x14ac:dyDescent="0.2">
      <c r="A1237" s="666" t="s">
        <v>650</v>
      </c>
      <c r="B1237" s="665" t="s">
        <v>13</v>
      </c>
      <c r="C1237" s="664">
        <v>22.97</v>
      </c>
      <c r="D1237" s="12"/>
    </row>
    <row r="1238" spans="1:4" hidden="1" x14ac:dyDescent="0.2">
      <c r="A1238" s="659" t="s">
        <v>649</v>
      </c>
      <c r="B1238" s="658" t="s">
        <v>13</v>
      </c>
      <c r="C1238" s="657">
        <v>5.43</v>
      </c>
      <c r="D1238" s="12"/>
    </row>
    <row r="1239" spans="1:4" hidden="1" x14ac:dyDescent="0.2">
      <c r="A1239" s="666" t="s">
        <v>648</v>
      </c>
      <c r="B1239" s="665" t="s">
        <v>13</v>
      </c>
      <c r="C1239" s="664">
        <v>10.6</v>
      </c>
      <c r="D1239" s="12"/>
    </row>
    <row r="1240" spans="1:4" hidden="1" x14ac:dyDescent="0.2">
      <c r="A1240" s="659" t="s">
        <v>647</v>
      </c>
      <c r="B1240" s="658" t="s">
        <v>13</v>
      </c>
      <c r="C1240" s="657">
        <v>6.95</v>
      </c>
      <c r="D1240" s="12"/>
    </row>
    <row r="1241" spans="1:4" hidden="1" x14ac:dyDescent="0.2">
      <c r="A1241" s="666" t="s">
        <v>646</v>
      </c>
      <c r="B1241" s="665" t="s">
        <v>13</v>
      </c>
      <c r="C1241" s="664">
        <v>9.51</v>
      </c>
      <c r="D1241" s="12"/>
    </row>
    <row r="1242" spans="1:4" hidden="1" x14ac:dyDescent="0.2">
      <c r="A1242" s="659" t="s">
        <v>645</v>
      </c>
      <c r="B1242" s="658" t="s">
        <v>13</v>
      </c>
      <c r="C1242" s="657">
        <v>2.99</v>
      </c>
      <c r="D1242" s="12"/>
    </row>
    <row r="1243" spans="1:4" hidden="1" x14ac:dyDescent="0.2">
      <c r="A1243" s="662" t="s">
        <v>220</v>
      </c>
      <c r="B1243" s="661"/>
      <c r="C1243" s="660"/>
      <c r="D1243" s="12"/>
    </row>
    <row r="1244" spans="1:4" hidden="1" x14ac:dyDescent="0.2">
      <c r="A1244" s="666" t="s">
        <v>599</v>
      </c>
      <c r="B1244" s="665" t="s">
        <v>13</v>
      </c>
      <c r="C1244" s="664">
        <v>197.77</v>
      </c>
      <c r="D1244" s="12"/>
    </row>
    <row r="1245" spans="1:4" hidden="1" x14ac:dyDescent="0.2">
      <c r="A1245" s="659" t="s">
        <v>644</v>
      </c>
      <c r="B1245" s="658" t="s">
        <v>13</v>
      </c>
      <c r="C1245" s="657">
        <v>7.88</v>
      </c>
      <c r="D1245" s="12"/>
    </row>
    <row r="1246" spans="1:4" ht="25.5" hidden="1" x14ac:dyDescent="0.2">
      <c r="A1246" s="666" t="s">
        <v>643</v>
      </c>
      <c r="B1246" s="665" t="s">
        <v>13</v>
      </c>
      <c r="C1246" s="664">
        <v>2.82</v>
      </c>
      <c r="D1246" s="12"/>
    </row>
    <row r="1247" spans="1:4" hidden="1" x14ac:dyDescent="0.2">
      <c r="A1247" s="662" t="s">
        <v>598</v>
      </c>
      <c r="B1247" s="661"/>
      <c r="C1247" s="660"/>
      <c r="D1247" s="12"/>
    </row>
    <row r="1248" spans="1:4" hidden="1" x14ac:dyDescent="0.2">
      <c r="A1248" s="659" t="s">
        <v>642</v>
      </c>
      <c r="B1248" s="658" t="s">
        <v>13</v>
      </c>
      <c r="C1248" s="657">
        <v>5.27</v>
      </c>
      <c r="D1248" s="12"/>
    </row>
    <row r="1249" spans="1:4" hidden="1" x14ac:dyDescent="0.2">
      <c r="A1249" s="662" t="s">
        <v>576</v>
      </c>
      <c r="B1249" s="661"/>
      <c r="C1249" s="660"/>
      <c r="D1249" s="12"/>
    </row>
    <row r="1250" spans="1:4" hidden="1" x14ac:dyDescent="0.2">
      <c r="A1250" s="666" t="s">
        <v>575</v>
      </c>
      <c r="B1250" s="665" t="s">
        <v>13</v>
      </c>
      <c r="C1250" s="664">
        <v>546.5</v>
      </c>
      <c r="D1250" s="12"/>
    </row>
    <row r="1251" spans="1:4" hidden="1" x14ac:dyDescent="0.2">
      <c r="A1251" s="659" t="s">
        <v>574</v>
      </c>
      <c r="B1251" s="658" t="s">
        <v>13</v>
      </c>
      <c r="C1251" s="657">
        <v>153.68</v>
      </c>
      <c r="D1251" s="12"/>
    </row>
    <row r="1252" spans="1:4" hidden="1" x14ac:dyDescent="0.2">
      <c r="A1252" s="662" t="s">
        <v>573</v>
      </c>
      <c r="B1252" s="661"/>
      <c r="C1252" s="660"/>
      <c r="D1252" s="12"/>
    </row>
    <row r="1253" spans="1:4" hidden="1" x14ac:dyDescent="0.2">
      <c r="A1253" s="666" t="s">
        <v>572</v>
      </c>
      <c r="B1253" s="665" t="s">
        <v>13</v>
      </c>
      <c r="C1253" s="664">
        <v>700.18</v>
      </c>
      <c r="D1253" s="12"/>
    </row>
    <row r="1254" spans="1:4" hidden="1" x14ac:dyDescent="0.2">
      <c r="A1254" s="662" t="s">
        <v>224</v>
      </c>
      <c r="B1254" s="661"/>
      <c r="C1254" s="660"/>
      <c r="D1254" s="12"/>
    </row>
    <row r="1255" spans="1:4" hidden="1" x14ac:dyDescent="0.2">
      <c r="A1255" s="659" t="s">
        <v>571</v>
      </c>
      <c r="B1255" s="658" t="s">
        <v>13</v>
      </c>
      <c r="C1255" s="657">
        <v>45.24</v>
      </c>
      <c r="D1255" s="12"/>
    </row>
    <row r="1256" spans="1:4" hidden="1" x14ac:dyDescent="0.2">
      <c r="A1256" s="662" t="s">
        <v>218</v>
      </c>
      <c r="B1256" s="661"/>
      <c r="C1256" s="660"/>
      <c r="D1256" s="12"/>
    </row>
    <row r="1257" spans="1:4" hidden="1" x14ac:dyDescent="0.2">
      <c r="A1257" s="666" t="s">
        <v>570</v>
      </c>
      <c r="B1257" s="665" t="s">
        <v>13</v>
      </c>
      <c r="C1257" s="664">
        <v>37.35</v>
      </c>
      <c r="D1257" s="12"/>
    </row>
    <row r="1258" spans="1:4" hidden="1" x14ac:dyDescent="0.2">
      <c r="A1258" s="662" t="s">
        <v>219</v>
      </c>
      <c r="B1258" s="661"/>
      <c r="C1258" s="660"/>
      <c r="D1258" s="12"/>
    </row>
    <row r="1259" spans="1:4" hidden="1" x14ac:dyDescent="0.2">
      <c r="A1259" s="659" t="s">
        <v>641</v>
      </c>
      <c r="B1259" s="658" t="s">
        <v>13</v>
      </c>
      <c r="C1259" s="657">
        <v>187.88</v>
      </c>
      <c r="D1259" s="12"/>
    </row>
    <row r="1260" spans="1:4" hidden="1" x14ac:dyDescent="0.2">
      <c r="A1260" s="662" t="s">
        <v>222</v>
      </c>
      <c r="B1260" s="661"/>
      <c r="C1260" s="660"/>
      <c r="D1260" s="12"/>
    </row>
    <row r="1261" spans="1:4" hidden="1" x14ac:dyDescent="0.2">
      <c r="A1261" s="666" t="s">
        <v>640</v>
      </c>
      <c r="B1261" s="665" t="s">
        <v>13</v>
      </c>
      <c r="C1261" s="664">
        <v>93.11</v>
      </c>
      <c r="D1261" s="12"/>
    </row>
    <row r="1262" spans="1:4" hidden="1" x14ac:dyDescent="0.2">
      <c r="A1262" s="659" t="s">
        <v>639</v>
      </c>
      <c r="B1262" s="658" t="s">
        <v>13</v>
      </c>
      <c r="C1262" s="657">
        <v>23.38</v>
      </c>
      <c r="D1262" s="12"/>
    </row>
    <row r="1263" spans="1:4" hidden="1" x14ac:dyDescent="0.2">
      <c r="A1263" s="666" t="s">
        <v>638</v>
      </c>
      <c r="B1263" s="665" t="s">
        <v>13</v>
      </c>
      <c r="C1263" s="664">
        <v>8.48</v>
      </c>
      <c r="D1263" s="12"/>
    </row>
    <row r="1264" spans="1:4" hidden="1" x14ac:dyDescent="0.2">
      <c r="A1264" s="662" t="s">
        <v>637</v>
      </c>
      <c r="B1264" s="661"/>
      <c r="C1264" s="660"/>
      <c r="D1264" s="12"/>
    </row>
    <row r="1265" spans="1:4" hidden="1" x14ac:dyDescent="0.2">
      <c r="A1265" s="659" t="s">
        <v>636</v>
      </c>
      <c r="B1265" s="658" t="s">
        <v>13</v>
      </c>
      <c r="C1265" s="657">
        <v>63.69</v>
      </c>
      <c r="D1265" s="12"/>
    </row>
    <row r="1266" spans="1:4" hidden="1" x14ac:dyDescent="0.2">
      <c r="A1266" s="662" t="s">
        <v>635</v>
      </c>
      <c r="B1266" s="661"/>
      <c r="C1266" s="660"/>
      <c r="D1266" s="12"/>
    </row>
    <row r="1267" spans="1:4" hidden="1" x14ac:dyDescent="0.2">
      <c r="A1267" s="666" t="s">
        <v>634</v>
      </c>
      <c r="B1267" s="665" t="s">
        <v>3</v>
      </c>
      <c r="C1267" s="664">
        <v>158.85</v>
      </c>
      <c r="D1267" s="12"/>
    </row>
    <row r="1268" spans="1:4" hidden="1" x14ac:dyDescent="0.2">
      <c r="A1268" s="662" t="s">
        <v>346</v>
      </c>
      <c r="B1268" s="661"/>
      <c r="C1268" s="660"/>
      <c r="D1268" s="12"/>
    </row>
    <row r="1269" spans="1:4" hidden="1" x14ac:dyDescent="0.2">
      <c r="A1269" s="659" t="s">
        <v>633</v>
      </c>
      <c r="B1269" s="658" t="s">
        <v>13</v>
      </c>
      <c r="C1269" s="657">
        <v>0.85</v>
      </c>
      <c r="D1269" s="12"/>
    </row>
    <row r="1270" spans="1:4" hidden="1" x14ac:dyDescent="0.2">
      <c r="A1270" s="662" t="s">
        <v>217</v>
      </c>
      <c r="B1270" s="661"/>
      <c r="C1270" s="660"/>
      <c r="D1270" s="12"/>
    </row>
    <row r="1271" spans="1:4" hidden="1" x14ac:dyDescent="0.2">
      <c r="A1271" s="666" t="s">
        <v>632</v>
      </c>
      <c r="B1271" s="665" t="s">
        <v>13</v>
      </c>
      <c r="C1271" s="664">
        <v>3.2</v>
      </c>
      <c r="D1271" s="12"/>
    </row>
    <row r="1272" spans="1:4" hidden="1" x14ac:dyDescent="0.2">
      <c r="A1272" s="662" t="s">
        <v>215</v>
      </c>
      <c r="B1272" s="661"/>
      <c r="C1272" s="660"/>
      <c r="D1272" s="12"/>
    </row>
    <row r="1273" spans="1:4" hidden="1" x14ac:dyDescent="0.2">
      <c r="A1273" s="659" t="s">
        <v>631</v>
      </c>
      <c r="B1273" s="658" t="s">
        <v>13</v>
      </c>
      <c r="C1273" s="657">
        <v>58.23</v>
      </c>
      <c r="D1273" s="12"/>
    </row>
    <row r="1274" spans="1:4" hidden="1" x14ac:dyDescent="0.2">
      <c r="A1274" s="666" t="s">
        <v>630</v>
      </c>
      <c r="B1274" s="665" t="s">
        <v>13</v>
      </c>
      <c r="C1274" s="664">
        <v>108</v>
      </c>
      <c r="D1274" s="12"/>
    </row>
    <row r="1275" spans="1:4" hidden="1" x14ac:dyDescent="0.2">
      <c r="A1275" s="662" t="s">
        <v>231</v>
      </c>
      <c r="B1275" s="661"/>
      <c r="C1275" s="660"/>
      <c r="D1275" s="12"/>
    </row>
    <row r="1276" spans="1:4" hidden="1" x14ac:dyDescent="0.2">
      <c r="A1276" s="659" t="s">
        <v>595</v>
      </c>
      <c r="B1276" s="658" t="s">
        <v>13</v>
      </c>
      <c r="C1276" s="657">
        <v>6.72</v>
      </c>
      <c r="D1276" s="12"/>
    </row>
    <row r="1277" spans="1:4" hidden="1" x14ac:dyDescent="0.2">
      <c r="A1277" s="666" t="s">
        <v>629</v>
      </c>
      <c r="B1277" s="665" t="s">
        <v>13</v>
      </c>
      <c r="C1277" s="664">
        <v>7.88</v>
      </c>
      <c r="D1277" s="12"/>
    </row>
    <row r="1278" spans="1:4" hidden="1" x14ac:dyDescent="0.2">
      <c r="A1278" s="659" t="s">
        <v>594</v>
      </c>
      <c r="B1278" s="658" t="s">
        <v>13</v>
      </c>
      <c r="C1278" s="657">
        <v>17.21</v>
      </c>
      <c r="D1278" s="12"/>
    </row>
    <row r="1279" spans="1:4" hidden="1" x14ac:dyDescent="0.2">
      <c r="A1279" s="662" t="s">
        <v>569</v>
      </c>
      <c r="B1279" s="661"/>
      <c r="C1279" s="660"/>
      <c r="D1279" s="12"/>
    </row>
    <row r="1280" spans="1:4" hidden="1" x14ac:dyDescent="0.2">
      <c r="A1280" s="666" t="s">
        <v>628</v>
      </c>
      <c r="B1280" s="665" t="s">
        <v>13</v>
      </c>
      <c r="C1280" s="664">
        <v>31.33</v>
      </c>
      <c r="D1280" s="12"/>
    </row>
    <row r="1281" spans="1:4" hidden="1" x14ac:dyDescent="0.2">
      <c r="A1281" s="659" t="s">
        <v>627</v>
      </c>
      <c r="B1281" s="658" t="s">
        <v>13</v>
      </c>
      <c r="C1281" s="657">
        <v>420.78</v>
      </c>
      <c r="D1281" s="12"/>
    </row>
    <row r="1282" spans="1:4" hidden="1" x14ac:dyDescent="0.2">
      <c r="A1282" s="666" t="s">
        <v>626</v>
      </c>
      <c r="B1282" s="665" t="s">
        <v>13</v>
      </c>
      <c r="C1282" s="664">
        <v>2.93</v>
      </c>
      <c r="D1282" s="12"/>
    </row>
    <row r="1283" spans="1:4" hidden="1" x14ac:dyDescent="0.2">
      <c r="A1283" s="659" t="s">
        <v>592</v>
      </c>
      <c r="B1283" s="658" t="s">
        <v>13</v>
      </c>
      <c r="C1283" s="657">
        <v>78.91</v>
      </c>
      <c r="D1283" s="12"/>
    </row>
    <row r="1284" spans="1:4" hidden="1" x14ac:dyDescent="0.2">
      <c r="A1284" s="662" t="s">
        <v>567</v>
      </c>
      <c r="B1284" s="661"/>
      <c r="C1284" s="660"/>
      <c r="D1284" s="12"/>
    </row>
    <row r="1285" spans="1:4" hidden="1" x14ac:dyDescent="0.2">
      <c r="A1285" s="666" t="s">
        <v>566</v>
      </c>
      <c r="B1285" s="665" t="s">
        <v>13</v>
      </c>
      <c r="C1285" s="664">
        <v>225.23</v>
      </c>
      <c r="D1285" s="12"/>
    </row>
    <row r="1286" spans="1:4" hidden="1" x14ac:dyDescent="0.2">
      <c r="A1286" s="662" t="s">
        <v>235</v>
      </c>
      <c r="B1286" s="661"/>
      <c r="C1286" s="660"/>
      <c r="D1286" s="12"/>
    </row>
    <row r="1287" spans="1:4" hidden="1" x14ac:dyDescent="0.2">
      <c r="A1287" s="659" t="s">
        <v>554</v>
      </c>
      <c r="B1287" s="658" t="s">
        <v>3</v>
      </c>
      <c r="C1287" s="657">
        <v>108.4</v>
      </c>
      <c r="D1287" s="12"/>
    </row>
    <row r="1288" spans="1:4" hidden="1" x14ac:dyDescent="0.2">
      <c r="A1288" s="662" t="s">
        <v>236</v>
      </c>
      <c r="B1288" s="661"/>
      <c r="C1288" s="660"/>
      <c r="D1288" s="12"/>
    </row>
    <row r="1289" spans="1:4" hidden="1" x14ac:dyDescent="0.2">
      <c r="A1289" s="666" t="s">
        <v>591</v>
      </c>
      <c r="B1289" s="665" t="s">
        <v>13</v>
      </c>
      <c r="C1289" s="664">
        <v>1.04</v>
      </c>
      <c r="D1289" s="12"/>
    </row>
    <row r="1290" spans="1:4" hidden="1" x14ac:dyDescent="0.2">
      <c r="A1290" s="659" t="s">
        <v>590</v>
      </c>
      <c r="B1290" s="658" t="s">
        <v>13</v>
      </c>
      <c r="C1290" s="657">
        <v>1.04</v>
      </c>
      <c r="D1290" s="12"/>
    </row>
    <row r="1291" spans="1:4" hidden="1" x14ac:dyDescent="0.2">
      <c r="A1291" s="666" t="s">
        <v>625</v>
      </c>
      <c r="B1291" s="665" t="s">
        <v>13</v>
      </c>
      <c r="C1291" s="664">
        <v>2.25</v>
      </c>
      <c r="D1291" s="12"/>
    </row>
    <row r="1292" spans="1:4" hidden="1" x14ac:dyDescent="0.2">
      <c r="A1292" s="659" t="s">
        <v>624</v>
      </c>
      <c r="B1292" s="658" t="s">
        <v>13</v>
      </c>
      <c r="C1292" s="657">
        <v>8.86</v>
      </c>
      <c r="D1292" s="12"/>
    </row>
    <row r="1293" spans="1:4" hidden="1" x14ac:dyDescent="0.2">
      <c r="A1293" s="666" t="s">
        <v>623</v>
      </c>
      <c r="B1293" s="665" t="s">
        <v>3</v>
      </c>
      <c r="C1293" s="664">
        <v>2.5</v>
      </c>
      <c r="D1293" s="12"/>
    </row>
    <row r="1294" spans="1:4" hidden="1" x14ac:dyDescent="0.2">
      <c r="A1294" s="659" t="s">
        <v>622</v>
      </c>
      <c r="B1294" s="658" t="s">
        <v>3</v>
      </c>
      <c r="C1294" s="657">
        <v>7.4</v>
      </c>
      <c r="D1294" s="12"/>
    </row>
    <row r="1295" spans="1:4" hidden="1" x14ac:dyDescent="0.2">
      <c r="A1295" s="666" t="s">
        <v>621</v>
      </c>
      <c r="B1295" s="665" t="s">
        <v>13</v>
      </c>
      <c r="C1295" s="664">
        <v>0.36</v>
      </c>
      <c r="D1295" s="12"/>
    </row>
    <row r="1296" spans="1:4" hidden="1" x14ac:dyDescent="0.2">
      <c r="A1296" s="659" t="s">
        <v>620</v>
      </c>
      <c r="B1296" s="658" t="s">
        <v>13</v>
      </c>
      <c r="C1296" s="657">
        <v>1.18</v>
      </c>
      <c r="D1296" s="12"/>
    </row>
    <row r="1297" spans="1:4" hidden="1" x14ac:dyDescent="0.2">
      <c r="A1297" s="666" t="s">
        <v>619</v>
      </c>
      <c r="B1297" s="665" t="s">
        <v>13</v>
      </c>
      <c r="C1297" s="664">
        <v>4.03</v>
      </c>
      <c r="D1297" s="12"/>
    </row>
    <row r="1298" spans="1:4" hidden="1" x14ac:dyDescent="0.2">
      <c r="A1298" s="659" t="s">
        <v>618</v>
      </c>
      <c r="B1298" s="658" t="s">
        <v>13</v>
      </c>
      <c r="C1298" s="657">
        <v>11.09</v>
      </c>
      <c r="D1298" s="12"/>
    </row>
    <row r="1299" spans="1:4" hidden="1" x14ac:dyDescent="0.2">
      <c r="A1299" s="666" t="s">
        <v>617</v>
      </c>
      <c r="B1299" s="665" t="s">
        <v>13</v>
      </c>
      <c r="C1299" s="664">
        <v>0.05</v>
      </c>
      <c r="D1299" s="12"/>
    </row>
    <row r="1300" spans="1:4" hidden="1" x14ac:dyDescent="0.2">
      <c r="A1300" s="659" t="s">
        <v>616</v>
      </c>
      <c r="B1300" s="658" t="s">
        <v>13</v>
      </c>
      <c r="C1300" s="657">
        <v>0.89</v>
      </c>
      <c r="D1300" s="12"/>
    </row>
    <row r="1301" spans="1:4" hidden="1" x14ac:dyDescent="0.2">
      <c r="A1301" s="666" t="s">
        <v>615</v>
      </c>
      <c r="B1301" s="665" t="s">
        <v>13</v>
      </c>
      <c r="C1301" s="664">
        <v>0.02</v>
      </c>
      <c r="D1301" s="12"/>
    </row>
    <row r="1302" spans="1:4" hidden="1" x14ac:dyDescent="0.2">
      <c r="A1302" s="659" t="s">
        <v>614</v>
      </c>
      <c r="B1302" s="658" t="s">
        <v>13</v>
      </c>
      <c r="C1302" s="657">
        <v>0.38</v>
      </c>
      <c r="D1302" s="12"/>
    </row>
    <row r="1303" spans="1:4" hidden="1" x14ac:dyDescent="0.2">
      <c r="A1303" s="662" t="s">
        <v>240</v>
      </c>
      <c r="B1303" s="661"/>
      <c r="C1303" s="660"/>
      <c r="D1303" s="12"/>
    </row>
    <row r="1304" spans="1:4" hidden="1" x14ac:dyDescent="0.2">
      <c r="A1304" s="666" t="s">
        <v>613</v>
      </c>
      <c r="B1304" s="665" t="s">
        <v>3</v>
      </c>
      <c r="C1304" s="664">
        <v>14.53</v>
      </c>
      <c r="D1304" s="12"/>
    </row>
    <row r="1305" spans="1:4" hidden="1" x14ac:dyDescent="0.2">
      <c r="A1305" s="659" t="s">
        <v>612</v>
      </c>
      <c r="B1305" s="658" t="s">
        <v>2</v>
      </c>
      <c r="C1305" s="657">
        <v>8</v>
      </c>
      <c r="D1305" s="12"/>
    </row>
    <row r="1306" spans="1:4" hidden="1" x14ac:dyDescent="0.2">
      <c r="A1306" s="666" t="s">
        <v>611</v>
      </c>
      <c r="B1306" s="665" t="s">
        <v>2</v>
      </c>
      <c r="C1306" s="664">
        <v>6</v>
      </c>
      <c r="D1306" s="12"/>
    </row>
    <row r="1307" spans="1:4" hidden="1" x14ac:dyDescent="0.2">
      <c r="A1307" s="659" t="s">
        <v>610</v>
      </c>
      <c r="B1307" s="658" t="s">
        <v>2</v>
      </c>
      <c r="C1307" s="657">
        <v>3</v>
      </c>
      <c r="D1307" s="12"/>
    </row>
    <row r="1308" spans="1:4" hidden="1" x14ac:dyDescent="0.2">
      <c r="A1308" s="662" t="s">
        <v>244</v>
      </c>
      <c r="B1308" s="661"/>
      <c r="C1308" s="660"/>
      <c r="D1308" s="12"/>
    </row>
    <row r="1309" spans="1:4" hidden="1" x14ac:dyDescent="0.2">
      <c r="A1309" s="666" t="s">
        <v>586</v>
      </c>
      <c r="B1309" s="665" t="s">
        <v>2</v>
      </c>
      <c r="C1309" s="664">
        <v>1</v>
      </c>
      <c r="D1309" s="12"/>
    </row>
    <row r="1310" spans="1:4" hidden="1" x14ac:dyDescent="0.2">
      <c r="A1310" s="659" t="s">
        <v>585</v>
      </c>
      <c r="B1310" s="658" t="s">
        <v>2</v>
      </c>
      <c r="C1310" s="657">
        <v>1</v>
      </c>
      <c r="D1310" s="12"/>
    </row>
    <row r="1311" spans="1:4" hidden="1" x14ac:dyDescent="0.2">
      <c r="A1311" s="666" t="s">
        <v>609</v>
      </c>
      <c r="B1311" s="665" t="s">
        <v>2</v>
      </c>
      <c r="C1311" s="664">
        <v>2</v>
      </c>
      <c r="D1311" s="12"/>
    </row>
    <row r="1312" spans="1:4" hidden="1" x14ac:dyDescent="0.2">
      <c r="A1312" s="662" t="s">
        <v>552</v>
      </c>
      <c r="B1312" s="661"/>
      <c r="C1312" s="660"/>
      <c r="D1312" s="12"/>
    </row>
    <row r="1313" spans="1:4" hidden="1" x14ac:dyDescent="0.2">
      <c r="A1313" s="659" t="s">
        <v>551</v>
      </c>
      <c r="B1313" s="658" t="s">
        <v>13</v>
      </c>
      <c r="C1313" s="657">
        <v>89.87</v>
      </c>
      <c r="D1313" s="12"/>
    </row>
    <row r="1314" spans="1:4" hidden="1" x14ac:dyDescent="0.2">
      <c r="A1314" s="666" t="s">
        <v>565</v>
      </c>
      <c r="B1314" s="665" t="s">
        <v>13</v>
      </c>
      <c r="C1314" s="664">
        <v>82.74</v>
      </c>
      <c r="D1314" s="12"/>
    </row>
    <row r="1315" spans="1:4" hidden="1" x14ac:dyDescent="0.2">
      <c r="A1315" s="662" t="s">
        <v>550</v>
      </c>
      <c r="B1315" s="661"/>
      <c r="C1315" s="660"/>
      <c r="D1315" s="12"/>
    </row>
    <row r="1316" spans="1:4" hidden="1" x14ac:dyDescent="0.2">
      <c r="A1316" s="659" t="s">
        <v>549</v>
      </c>
      <c r="B1316" s="658" t="s">
        <v>13</v>
      </c>
      <c r="C1316" s="657">
        <v>172.6</v>
      </c>
      <c r="D1316" s="12"/>
    </row>
    <row r="1317" spans="1:4" hidden="1" x14ac:dyDescent="0.2">
      <c r="A1317" s="662" t="s">
        <v>273</v>
      </c>
      <c r="B1317" s="661"/>
      <c r="C1317" s="660"/>
      <c r="D1317" s="12"/>
    </row>
    <row r="1318" spans="1:4" hidden="1" x14ac:dyDescent="0.2">
      <c r="A1318" s="666" t="s">
        <v>564</v>
      </c>
      <c r="B1318" s="665" t="s">
        <v>13</v>
      </c>
      <c r="C1318" s="664">
        <v>77.59</v>
      </c>
      <c r="D1318" s="12"/>
    </row>
    <row r="1319" spans="1:4" hidden="1" x14ac:dyDescent="0.2">
      <c r="A1319" s="659" t="s">
        <v>608</v>
      </c>
      <c r="B1319" s="658" t="s">
        <v>13</v>
      </c>
      <c r="C1319" s="657">
        <v>8.0500000000000007</v>
      </c>
      <c r="D1319" s="12"/>
    </row>
    <row r="1320" spans="1:4" hidden="1" x14ac:dyDescent="0.2">
      <c r="A1320" s="666" t="s">
        <v>607</v>
      </c>
      <c r="B1320" s="665" t="s">
        <v>13</v>
      </c>
      <c r="C1320" s="664">
        <v>5.14</v>
      </c>
      <c r="D1320" s="12"/>
    </row>
    <row r="1321" spans="1:4" hidden="1" x14ac:dyDescent="0.2">
      <c r="A1321" s="659" t="s">
        <v>548</v>
      </c>
      <c r="B1321" s="658" t="s">
        <v>13</v>
      </c>
      <c r="C1321" s="657">
        <v>81.819999999999993</v>
      </c>
      <c r="D1321" s="12"/>
    </row>
    <row r="1322" spans="1:4" hidden="1" x14ac:dyDescent="0.2">
      <c r="A1322" s="669" t="s">
        <v>668</v>
      </c>
      <c r="B1322" s="668"/>
      <c r="C1322" s="667"/>
      <c r="D1322" s="12"/>
    </row>
    <row r="1323" spans="1:4" hidden="1" x14ac:dyDescent="0.2">
      <c r="A1323" s="662" t="s">
        <v>208</v>
      </c>
      <c r="B1323" s="661"/>
      <c r="C1323" s="660"/>
      <c r="D1323" s="12"/>
    </row>
    <row r="1324" spans="1:4" hidden="1" x14ac:dyDescent="0.2">
      <c r="A1324" s="666" t="s">
        <v>656</v>
      </c>
      <c r="B1324" s="665" t="s">
        <v>13</v>
      </c>
      <c r="C1324" s="664">
        <v>3.51</v>
      </c>
      <c r="D1324" s="12"/>
    </row>
    <row r="1325" spans="1:4" hidden="1" x14ac:dyDescent="0.2">
      <c r="A1325" s="659" t="s">
        <v>562</v>
      </c>
      <c r="B1325" s="658" t="s">
        <v>13</v>
      </c>
      <c r="C1325" s="657">
        <v>195.56</v>
      </c>
      <c r="D1325" s="12"/>
    </row>
    <row r="1326" spans="1:4" hidden="1" x14ac:dyDescent="0.2">
      <c r="A1326" s="666" t="s">
        <v>581</v>
      </c>
      <c r="B1326" s="665" t="s">
        <v>13</v>
      </c>
      <c r="C1326" s="664">
        <v>81.11</v>
      </c>
      <c r="D1326" s="12"/>
    </row>
    <row r="1327" spans="1:4" hidden="1" x14ac:dyDescent="0.2">
      <c r="A1327" s="662" t="s">
        <v>376</v>
      </c>
      <c r="B1327" s="661"/>
      <c r="C1327" s="660"/>
      <c r="D1327" s="12"/>
    </row>
    <row r="1328" spans="1:4" hidden="1" x14ac:dyDescent="0.2">
      <c r="A1328" s="659" t="s">
        <v>655</v>
      </c>
      <c r="B1328" s="658" t="s">
        <v>13</v>
      </c>
      <c r="C1328" s="657">
        <v>29.04</v>
      </c>
      <c r="D1328" s="12"/>
    </row>
    <row r="1329" spans="1:4" hidden="1" x14ac:dyDescent="0.2">
      <c r="A1329" s="662" t="s">
        <v>605</v>
      </c>
      <c r="B1329" s="661"/>
      <c r="C1329" s="660"/>
      <c r="D1329" s="12"/>
    </row>
    <row r="1330" spans="1:4" hidden="1" x14ac:dyDescent="0.2">
      <c r="A1330" s="666" t="s">
        <v>604</v>
      </c>
      <c r="B1330" s="665" t="s">
        <v>13</v>
      </c>
      <c r="C1330" s="664">
        <v>85</v>
      </c>
      <c r="D1330" s="12"/>
    </row>
    <row r="1331" spans="1:4" hidden="1" x14ac:dyDescent="0.2">
      <c r="A1331" s="662" t="s">
        <v>561</v>
      </c>
      <c r="B1331" s="661"/>
      <c r="C1331" s="660"/>
      <c r="D1331" s="12"/>
    </row>
    <row r="1332" spans="1:4" hidden="1" x14ac:dyDescent="0.2">
      <c r="A1332" s="659" t="s">
        <v>580</v>
      </c>
      <c r="B1332" s="658" t="s">
        <v>3</v>
      </c>
      <c r="C1332" s="657">
        <v>172.9</v>
      </c>
      <c r="D1332" s="12"/>
    </row>
    <row r="1333" spans="1:4" hidden="1" x14ac:dyDescent="0.2">
      <c r="A1333" s="666" t="s">
        <v>560</v>
      </c>
      <c r="B1333" s="665" t="s">
        <v>13</v>
      </c>
      <c r="C1333" s="664">
        <v>197.11</v>
      </c>
      <c r="D1333" s="12"/>
    </row>
    <row r="1334" spans="1:4" hidden="1" x14ac:dyDescent="0.2">
      <c r="A1334" s="659" t="s">
        <v>559</v>
      </c>
      <c r="B1334" s="658" t="s">
        <v>3</v>
      </c>
      <c r="C1334" s="657">
        <v>98</v>
      </c>
      <c r="D1334" s="12"/>
    </row>
    <row r="1335" spans="1:4" hidden="1" x14ac:dyDescent="0.2">
      <c r="A1335" s="662" t="s">
        <v>212</v>
      </c>
      <c r="B1335" s="661"/>
      <c r="C1335" s="660"/>
      <c r="D1335" s="12"/>
    </row>
    <row r="1336" spans="1:4" hidden="1" x14ac:dyDescent="0.2">
      <c r="A1336" s="666" t="s">
        <v>579</v>
      </c>
      <c r="B1336" s="665" t="s">
        <v>13</v>
      </c>
      <c r="C1336" s="664">
        <v>43.76</v>
      </c>
      <c r="D1336" s="12"/>
    </row>
    <row r="1337" spans="1:4" hidden="1" x14ac:dyDescent="0.2">
      <c r="A1337" s="662" t="s">
        <v>557</v>
      </c>
      <c r="B1337" s="661"/>
      <c r="C1337" s="660"/>
      <c r="D1337" s="12"/>
    </row>
    <row r="1338" spans="1:4" hidden="1" x14ac:dyDescent="0.2">
      <c r="A1338" s="659" t="s">
        <v>654</v>
      </c>
      <c r="B1338" s="658" t="s">
        <v>13</v>
      </c>
      <c r="C1338" s="657">
        <v>12.1</v>
      </c>
      <c r="D1338" s="12"/>
    </row>
    <row r="1339" spans="1:4" hidden="1" x14ac:dyDescent="0.2">
      <c r="A1339" s="666" t="s">
        <v>653</v>
      </c>
      <c r="B1339" s="665" t="s">
        <v>13</v>
      </c>
      <c r="C1339" s="664">
        <v>6.98</v>
      </c>
      <c r="D1339" s="12"/>
    </row>
    <row r="1340" spans="1:4" hidden="1" x14ac:dyDescent="0.2">
      <c r="A1340" s="659" t="s">
        <v>603</v>
      </c>
      <c r="B1340" s="658" t="s">
        <v>13</v>
      </c>
      <c r="C1340" s="657">
        <v>3.31</v>
      </c>
      <c r="D1340" s="12"/>
    </row>
    <row r="1341" spans="1:4" hidden="1" x14ac:dyDescent="0.2">
      <c r="A1341" s="666" t="s">
        <v>602</v>
      </c>
      <c r="B1341" s="665" t="s">
        <v>13</v>
      </c>
      <c r="C1341" s="664">
        <v>6.44</v>
      </c>
      <c r="D1341" s="12"/>
    </row>
    <row r="1342" spans="1:4" hidden="1" x14ac:dyDescent="0.2">
      <c r="A1342" s="659" t="s">
        <v>652</v>
      </c>
      <c r="B1342" s="658" t="s">
        <v>13</v>
      </c>
      <c r="C1342" s="657">
        <v>36.83</v>
      </c>
      <c r="D1342" s="12"/>
    </row>
    <row r="1343" spans="1:4" hidden="1" x14ac:dyDescent="0.2">
      <c r="A1343" s="666" t="s">
        <v>651</v>
      </c>
      <c r="B1343" s="665" t="s">
        <v>13</v>
      </c>
      <c r="C1343" s="664">
        <v>17.95</v>
      </c>
      <c r="D1343" s="12"/>
    </row>
    <row r="1344" spans="1:4" hidden="1" x14ac:dyDescent="0.2">
      <c r="A1344" s="659" t="s">
        <v>650</v>
      </c>
      <c r="B1344" s="658" t="s">
        <v>13</v>
      </c>
      <c r="C1344" s="657">
        <v>22.97</v>
      </c>
      <c r="D1344" s="12"/>
    </row>
    <row r="1345" spans="1:4" hidden="1" x14ac:dyDescent="0.2">
      <c r="A1345" s="666" t="s">
        <v>649</v>
      </c>
      <c r="B1345" s="665" t="s">
        <v>13</v>
      </c>
      <c r="C1345" s="664">
        <v>5.43</v>
      </c>
      <c r="D1345" s="12"/>
    </row>
    <row r="1346" spans="1:4" hidden="1" x14ac:dyDescent="0.2">
      <c r="A1346" s="659" t="s">
        <v>648</v>
      </c>
      <c r="B1346" s="658" t="s">
        <v>13</v>
      </c>
      <c r="C1346" s="657">
        <v>10.6</v>
      </c>
      <c r="D1346" s="12"/>
    </row>
    <row r="1347" spans="1:4" hidden="1" x14ac:dyDescent="0.2">
      <c r="A1347" s="666" t="s">
        <v>647</v>
      </c>
      <c r="B1347" s="665" t="s">
        <v>13</v>
      </c>
      <c r="C1347" s="664">
        <v>6.95</v>
      </c>
      <c r="D1347" s="12"/>
    </row>
    <row r="1348" spans="1:4" hidden="1" x14ac:dyDescent="0.2">
      <c r="A1348" s="659" t="s">
        <v>646</v>
      </c>
      <c r="B1348" s="658" t="s">
        <v>13</v>
      </c>
      <c r="C1348" s="657">
        <v>9.51</v>
      </c>
      <c r="D1348" s="12"/>
    </row>
    <row r="1349" spans="1:4" hidden="1" x14ac:dyDescent="0.2">
      <c r="A1349" s="666" t="s">
        <v>645</v>
      </c>
      <c r="B1349" s="665" t="s">
        <v>13</v>
      </c>
      <c r="C1349" s="664">
        <v>2.99</v>
      </c>
      <c r="D1349" s="12"/>
    </row>
    <row r="1350" spans="1:4" hidden="1" x14ac:dyDescent="0.2">
      <c r="A1350" s="662" t="s">
        <v>220</v>
      </c>
      <c r="B1350" s="661"/>
      <c r="C1350" s="660"/>
      <c r="D1350" s="12"/>
    </row>
    <row r="1351" spans="1:4" hidden="1" x14ac:dyDescent="0.2">
      <c r="A1351" s="659" t="s">
        <v>599</v>
      </c>
      <c r="B1351" s="658" t="s">
        <v>13</v>
      </c>
      <c r="C1351" s="657">
        <v>197.77</v>
      </c>
      <c r="D1351" s="12"/>
    </row>
    <row r="1352" spans="1:4" hidden="1" x14ac:dyDescent="0.2">
      <c r="A1352" s="666" t="s">
        <v>644</v>
      </c>
      <c r="B1352" s="665" t="s">
        <v>13</v>
      </c>
      <c r="C1352" s="664">
        <v>7.88</v>
      </c>
      <c r="D1352" s="12"/>
    </row>
    <row r="1353" spans="1:4" ht="25.5" hidden="1" x14ac:dyDescent="0.2">
      <c r="A1353" s="659" t="s">
        <v>643</v>
      </c>
      <c r="B1353" s="658" t="s">
        <v>13</v>
      </c>
      <c r="C1353" s="657">
        <v>2.82</v>
      </c>
      <c r="D1353" s="12"/>
    </row>
    <row r="1354" spans="1:4" hidden="1" x14ac:dyDescent="0.2">
      <c r="A1354" s="662" t="s">
        <v>598</v>
      </c>
      <c r="B1354" s="661"/>
      <c r="C1354" s="660"/>
      <c r="D1354" s="12"/>
    </row>
    <row r="1355" spans="1:4" hidden="1" x14ac:dyDescent="0.2">
      <c r="A1355" s="666" t="s">
        <v>642</v>
      </c>
      <c r="B1355" s="665" t="s">
        <v>13</v>
      </c>
      <c r="C1355" s="664">
        <v>5.27</v>
      </c>
      <c r="D1355" s="12"/>
    </row>
    <row r="1356" spans="1:4" hidden="1" x14ac:dyDescent="0.2">
      <c r="A1356" s="662" t="s">
        <v>576</v>
      </c>
      <c r="B1356" s="661"/>
      <c r="C1356" s="660"/>
      <c r="D1356" s="12"/>
    </row>
    <row r="1357" spans="1:4" hidden="1" x14ac:dyDescent="0.2">
      <c r="A1357" s="659" t="s">
        <v>575</v>
      </c>
      <c r="B1357" s="658" t="s">
        <v>13</v>
      </c>
      <c r="C1357" s="657">
        <v>546.5</v>
      </c>
      <c r="D1357" s="12"/>
    </row>
    <row r="1358" spans="1:4" hidden="1" x14ac:dyDescent="0.2">
      <c r="A1358" s="666" t="s">
        <v>574</v>
      </c>
      <c r="B1358" s="665" t="s">
        <v>13</v>
      </c>
      <c r="C1358" s="664">
        <v>153.68</v>
      </c>
      <c r="D1358" s="12"/>
    </row>
    <row r="1359" spans="1:4" hidden="1" x14ac:dyDescent="0.2">
      <c r="A1359" s="662" t="s">
        <v>573</v>
      </c>
      <c r="B1359" s="661"/>
      <c r="C1359" s="660"/>
      <c r="D1359" s="12"/>
    </row>
    <row r="1360" spans="1:4" hidden="1" x14ac:dyDescent="0.2">
      <c r="A1360" s="659" t="s">
        <v>572</v>
      </c>
      <c r="B1360" s="658" t="s">
        <v>13</v>
      </c>
      <c r="C1360" s="657">
        <v>700.18</v>
      </c>
      <c r="D1360" s="12"/>
    </row>
    <row r="1361" spans="1:4" hidden="1" x14ac:dyDescent="0.2">
      <c r="A1361" s="662" t="s">
        <v>224</v>
      </c>
      <c r="B1361" s="661"/>
      <c r="C1361" s="660"/>
      <c r="D1361" s="12"/>
    </row>
    <row r="1362" spans="1:4" hidden="1" x14ac:dyDescent="0.2">
      <c r="A1362" s="666" t="s">
        <v>571</v>
      </c>
      <c r="B1362" s="665" t="s">
        <v>13</v>
      </c>
      <c r="C1362" s="664">
        <v>45.24</v>
      </c>
      <c r="D1362" s="12"/>
    </row>
    <row r="1363" spans="1:4" hidden="1" x14ac:dyDescent="0.2">
      <c r="A1363" s="662" t="s">
        <v>218</v>
      </c>
      <c r="B1363" s="661"/>
      <c r="C1363" s="660"/>
      <c r="D1363" s="12"/>
    </row>
    <row r="1364" spans="1:4" hidden="1" x14ac:dyDescent="0.2">
      <c r="A1364" s="659" t="s">
        <v>570</v>
      </c>
      <c r="B1364" s="658" t="s">
        <v>13</v>
      </c>
      <c r="C1364" s="657">
        <v>37.35</v>
      </c>
      <c r="D1364" s="12"/>
    </row>
    <row r="1365" spans="1:4" hidden="1" x14ac:dyDescent="0.2">
      <c r="A1365" s="662" t="s">
        <v>219</v>
      </c>
      <c r="B1365" s="661"/>
      <c r="C1365" s="660"/>
      <c r="D1365" s="12"/>
    </row>
    <row r="1366" spans="1:4" hidden="1" x14ac:dyDescent="0.2">
      <c r="A1366" s="666" t="s">
        <v>641</v>
      </c>
      <c r="B1366" s="665" t="s">
        <v>13</v>
      </c>
      <c r="C1366" s="664">
        <v>187.88</v>
      </c>
      <c r="D1366" s="12"/>
    </row>
    <row r="1367" spans="1:4" hidden="1" x14ac:dyDescent="0.2">
      <c r="A1367" s="662" t="s">
        <v>222</v>
      </c>
      <c r="B1367" s="661"/>
      <c r="C1367" s="660"/>
      <c r="D1367" s="12"/>
    </row>
    <row r="1368" spans="1:4" hidden="1" x14ac:dyDescent="0.2">
      <c r="A1368" s="659" t="s">
        <v>640</v>
      </c>
      <c r="B1368" s="658" t="s">
        <v>13</v>
      </c>
      <c r="C1368" s="657">
        <v>93.11</v>
      </c>
      <c r="D1368" s="12"/>
    </row>
    <row r="1369" spans="1:4" hidden="1" x14ac:dyDescent="0.2">
      <c r="A1369" s="666" t="s">
        <v>639</v>
      </c>
      <c r="B1369" s="665" t="s">
        <v>13</v>
      </c>
      <c r="C1369" s="664">
        <v>23.38</v>
      </c>
      <c r="D1369" s="12"/>
    </row>
    <row r="1370" spans="1:4" hidden="1" x14ac:dyDescent="0.2">
      <c r="A1370" s="659" t="s">
        <v>638</v>
      </c>
      <c r="B1370" s="658" t="s">
        <v>13</v>
      </c>
      <c r="C1370" s="657">
        <v>8.48</v>
      </c>
      <c r="D1370" s="12"/>
    </row>
    <row r="1371" spans="1:4" hidden="1" x14ac:dyDescent="0.2">
      <c r="A1371" s="662" t="s">
        <v>637</v>
      </c>
      <c r="B1371" s="661"/>
      <c r="C1371" s="660"/>
      <c r="D1371" s="12"/>
    </row>
    <row r="1372" spans="1:4" hidden="1" x14ac:dyDescent="0.2">
      <c r="A1372" s="666" t="s">
        <v>636</v>
      </c>
      <c r="B1372" s="665" t="s">
        <v>13</v>
      </c>
      <c r="C1372" s="664">
        <v>63.69</v>
      </c>
      <c r="D1372" s="12"/>
    </row>
    <row r="1373" spans="1:4" hidden="1" x14ac:dyDescent="0.2">
      <c r="A1373" s="662" t="s">
        <v>635</v>
      </c>
      <c r="B1373" s="661"/>
      <c r="C1373" s="660"/>
      <c r="D1373" s="12"/>
    </row>
    <row r="1374" spans="1:4" hidden="1" x14ac:dyDescent="0.2">
      <c r="A1374" s="659" t="s">
        <v>634</v>
      </c>
      <c r="B1374" s="658" t="s">
        <v>3</v>
      </c>
      <c r="C1374" s="657">
        <v>158.85</v>
      </c>
      <c r="D1374" s="12"/>
    </row>
    <row r="1375" spans="1:4" hidden="1" x14ac:dyDescent="0.2">
      <c r="A1375" s="662" t="s">
        <v>346</v>
      </c>
      <c r="B1375" s="661"/>
      <c r="C1375" s="660"/>
      <c r="D1375" s="12"/>
    </row>
    <row r="1376" spans="1:4" hidden="1" x14ac:dyDescent="0.2">
      <c r="A1376" s="666" t="s">
        <v>633</v>
      </c>
      <c r="B1376" s="665" t="s">
        <v>13</v>
      </c>
      <c r="C1376" s="664">
        <v>0.85</v>
      </c>
      <c r="D1376" s="12"/>
    </row>
    <row r="1377" spans="1:4" hidden="1" x14ac:dyDescent="0.2">
      <c r="A1377" s="662" t="s">
        <v>217</v>
      </c>
      <c r="B1377" s="661"/>
      <c r="C1377" s="660"/>
      <c r="D1377" s="12"/>
    </row>
    <row r="1378" spans="1:4" hidden="1" x14ac:dyDescent="0.2">
      <c r="A1378" s="659" t="s">
        <v>632</v>
      </c>
      <c r="B1378" s="658" t="s">
        <v>13</v>
      </c>
      <c r="C1378" s="657">
        <v>3.2</v>
      </c>
      <c r="D1378" s="12"/>
    </row>
    <row r="1379" spans="1:4" hidden="1" x14ac:dyDescent="0.2">
      <c r="A1379" s="662" t="s">
        <v>215</v>
      </c>
      <c r="B1379" s="661"/>
      <c r="C1379" s="660"/>
      <c r="D1379" s="12"/>
    </row>
    <row r="1380" spans="1:4" hidden="1" x14ac:dyDescent="0.2">
      <c r="A1380" s="666" t="s">
        <v>631</v>
      </c>
      <c r="B1380" s="665" t="s">
        <v>13</v>
      </c>
      <c r="C1380" s="664">
        <v>58.23</v>
      </c>
      <c r="D1380" s="12"/>
    </row>
    <row r="1381" spans="1:4" hidden="1" x14ac:dyDescent="0.2">
      <c r="A1381" s="659" t="s">
        <v>630</v>
      </c>
      <c r="B1381" s="658" t="s">
        <v>13</v>
      </c>
      <c r="C1381" s="657">
        <v>108</v>
      </c>
      <c r="D1381" s="12"/>
    </row>
    <row r="1382" spans="1:4" hidden="1" x14ac:dyDescent="0.2">
      <c r="A1382" s="662" t="s">
        <v>231</v>
      </c>
      <c r="B1382" s="661"/>
      <c r="C1382" s="660"/>
      <c r="D1382" s="12"/>
    </row>
    <row r="1383" spans="1:4" hidden="1" x14ac:dyDescent="0.2">
      <c r="A1383" s="666" t="s">
        <v>595</v>
      </c>
      <c r="B1383" s="665" t="s">
        <v>13</v>
      </c>
      <c r="C1383" s="664">
        <v>6.72</v>
      </c>
      <c r="D1383" s="12"/>
    </row>
    <row r="1384" spans="1:4" hidden="1" x14ac:dyDescent="0.2">
      <c r="A1384" s="659" t="s">
        <v>629</v>
      </c>
      <c r="B1384" s="658" t="s">
        <v>13</v>
      </c>
      <c r="C1384" s="657">
        <v>7.88</v>
      </c>
      <c r="D1384" s="12"/>
    </row>
    <row r="1385" spans="1:4" hidden="1" x14ac:dyDescent="0.2">
      <c r="A1385" s="666" t="s">
        <v>594</v>
      </c>
      <c r="B1385" s="665" t="s">
        <v>13</v>
      </c>
      <c r="C1385" s="664">
        <v>17.21</v>
      </c>
      <c r="D1385" s="12"/>
    </row>
    <row r="1386" spans="1:4" hidden="1" x14ac:dyDescent="0.2">
      <c r="A1386" s="662" t="s">
        <v>569</v>
      </c>
      <c r="B1386" s="661"/>
      <c r="C1386" s="660"/>
      <c r="D1386" s="12"/>
    </row>
    <row r="1387" spans="1:4" hidden="1" x14ac:dyDescent="0.2">
      <c r="A1387" s="659" t="s">
        <v>628</v>
      </c>
      <c r="B1387" s="658" t="s">
        <v>13</v>
      </c>
      <c r="C1387" s="657">
        <v>31.33</v>
      </c>
      <c r="D1387" s="12"/>
    </row>
    <row r="1388" spans="1:4" hidden="1" x14ac:dyDescent="0.2">
      <c r="A1388" s="666" t="s">
        <v>627</v>
      </c>
      <c r="B1388" s="665" t="s">
        <v>13</v>
      </c>
      <c r="C1388" s="664">
        <v>420.78</v>
      </c>
      <c r="D1388" s="12"/>
    </row>
    <row r="1389" spans="1:4" hidden="1" x14ac:dyDescent="0.2">
      <c r="A1389" s="659" t="s">
        <v>626</v>
      </c>
      <c r="B1389" s="658" t="s">
        <v>13</v>
      </c>
      <c r="C1389" s="657">
        <v>2.93</v>
      </c>
      <c r="D1389" s="12"/>
    </row>
    <row r="1390" spans="1:4" hidden="1" x14ac:dyDescent="0.2">
      <c r="A1390" s="666" t="s">
        <v>592</v>
      </c>
      <c r="B1390" s="665" t="s">
        <v>13</v>
      </c>
      <c r="C1390" s="664">
        <v>78.91</v>
      </c>
      <c r="D1390" s="12"/>
    </row>
    <row r="1391" spans="1:4" hidden="1" x14ac:dyDescent="0.2">
      <c r="A1391" s="662" t="s">
        <v>567</v>
      </c>
      <c r="B1391" s="661"/>
      <c r="C1391" s="660"/>
      <c r="D1391" s="12"/>
    </row>
    <row r="1392" spans="1:4" hidden="1" x14ac:dyDescent="0.2">
      <c r="A1392" s="659" t="s">
        <v>566</v>
      </c>
      <c r="B1392" s="658" t="s">
        <v>13</v>
      </c>
      <c r="C1392" s="657">
        <v>225.23</v>
      </c>
      <c r="D1392" s="12"/>
    </row>
    <row r="1393" spans="1:4" hidden="1" x14ac:dyDescent="0.2">
      <c r="A1393" s="662" t="s">
        <v>235</v>
      </c>
      <c r="B1393" s="661"/>
      <c r="C1393" s="660"/>
      <c r="D1393" s="12"/>
    </row>
    <row r="1394" spans="1:4" hidden="1" x14ac:dyDescent="0.2">
      <c r="A1394" s="666" t="s">
        <v>554</v>
      </c>
      <c r="B1394" s="665" t="s">
        <v>3</v>
      </c>
      <c r="C1394" s="664">
        <v>108.4</v>
      </c>
      <c r="D1394" s="12"/>
    </row>
    <row r="1395" spans="1:4" hidden="1" x14ac:dyDescent="0.2">
      <c r="A1395" s="662" t="s">
        <v>236</v>
      </c>
      <c r="B1395" s="661"/>
      <c r="C1395" s="660"/>
      <c r="D1395" s="12"/>
    </row>
    <row r="1396" spans="1:4" hidden="1" x14ac:dyDescent="0.2">
      <c r="A1396" s="659" t="s">
        <v>591</v>
      </c>
      <c r="B1396" s="658" t="s">
        <v>13</v>
      </c>
      <c r="C1396" s="657">
        <v>1.04</v>
      </c>
      <c r="D1396" s="12"/>
    </row>
    <row r="1397" spans="1:4" hidden="1" x14ac:dyDescent="0.2">
      <c r="A1397" s="666" t="s">
        <v>590</v>
      </c>
      <c r="B1397" s="665" t="s">
        <v>13</v>
      </c>
      <c r="C1397" s="664">
        <v>1.04</v>
      </c>
      <c r="D1397" s="12"/>
    </row>
    <row r="1398" spans="1:4" hidden="1" x14ac:dyDescent="0.2">
      <c r="A1398" s="659" t="s">
        <v>625</v>
      </c>
      <c r="B1398" s="658" t="s">
        <v>13</v>
      </c>
      <c r="C1398" s="657">
        <v>2.25</v>
      </c>
      <c r="D1398" s="12"/>
    </row>
    <row r="1399" spans="1:4" hidden="1" x14ac:dyDescent="0.2">
      <c r="A1399" s="666" t="s">
        <v>624</v>
      </c>
      <c r="B1399" s="665" t="s">
        <v>13</v>
      </c>
      <c r="C1399" s="664">
        <v>8.86</v>
      </c>
      <c r="D1399" s="12"/>
    </row>
    <row r="1400" spans="1:4" hidden="1" x14ac:dyDescent="0.2">
      <c r="A1400" s="659" t="s">
        <v>623</v>
      </c>
      <c r="B1400" s="658" t="s">
        <v>3</v>
      </c>
      <c r="C1400" s="657">
        <v>2.5</v>
      </c>
      <c r="D1400" s="12"/>
    </row>
    <row r="1401" spans="1:4" hidden="1" x14ac:dyDescent="0.2">
      <c r="A1401" s="666" t="s">
        <v>622</v>
      </c>
      <c r="B1401" s="665" t="s">
        <v>3</v>
      </c>
      <c r="C1401" s="664">
        <v>7.4</v>
      </c>
      <c r="D1401" s="12"/>
    </row>
    <row r="1402" spans="1:4" hidden="1" x14ac:dyDescent="0.2">
      <c r="A1402" s="659" t="s">
        <v>621</v>
      </c>
      <c r="B1402" s="658" t="s">
        <v>13</v>
      </c>
      <c r="C1402" s="657">
        <v>0.36</v>
      </c>
      <c r="D1402" s="12"/>
    </row>
    <row r="1403" spans="1:4" hidden="1" x14ac:dyDescent="0.2">
      <c r="A1403" s="666" t="s">
        <v>620</v>
      </c>
      <c r="B1403" s="665" t="s">
        <v>13</v>
      </c>
      <c r="C1403" s="664">
        <v>1.18</v>
      </c>
      <c r="D1403" s="12"/>
    </row>
    <row r="1404" spans="1:4" hidden="1" x14ac:dyDescent="0.2">
      <c r="A1404" s="659" t="s">
        <v>619</v>
      </c>
      <c r="B1404" s="658" t="s">
        <v>13</v>
      </c>
      <c r="C1404" s="657">
        <v>4.03</v>
      </c>
      <c r="D1404" s="12"/>
    </row>
    <row r="1405" spans="1:4" hidden="1" x14ac:dyDescent="0.2">
      <c r="A1405" s="666" t="s">
        <v>618</v>
      </c>
      <c r="B1405" s="665" t="s">
        <v>13</v>
      </c>
      <c r="C1405" s="664">
        <v>11.09</v>
      </c>
      <c r="D1405" s="12"/>
    </row>
    <row r="1406" spans="1:4" hidden="1" x14ac:dyDescent="0.2">
      <c r="A1406" s="659" t="s">
        <v>617</v>
      </c>
      <c r="B1406" s="658" t="s">
        <v>13</v>
      </c>
      <c r="C1406" s="657">
        <v>0.05</v>
      </c>
      <c r="D1406" s="12"/>
    </row>
    <row r="1407" spans="1:4" hidden="1" x14ac:dyDescent="0.2">
      <c r="A1407" s="666" t="s">
        <v>616</v>
      </c>
      <c r="B1407" s="665" t="s">
        <v>13</v>
      </c>
      <c r="C1407" s="664">
        <v>0.89</v>
      </c>
      <c r="D1407" s="12"/>
    </row>
    <row r="1408" spans="1:4" hidden="1" x14ac:dyDescent="0.2">
      <c r="A1408" s="659" t="s">
        <v>615</v>
      </c>
      <c r="B1408" s="658" t="s">
        <v>13</v>
      </c>
      <c r="C1408" s="657">
        <v>0.02</v>
      </c>
      <c r="D1408" s="12"/>
    </row>
    <row r="1409" spans="1:4" hidden="1" x14ac:dyDescent="0.2">
      <c r="A1409" s="666" t="s">
        <v>614</v>
      </c>
      <c r="B1409" s="665" t="s">
        <v>13</v>
      </c>
      <c r="C1409" s="664">
        <v>0.38</v>
      </c>
      <c r="D1409" s="12"/>
    </row>
    <row r="1410" spans="1:4" hidden="1" x14ac:dyDescent="0.2">
      <c r="A1410" s="662" t="s">
        <v>240</v>
      </c>
      <c r="B1410" s="661"/>
      <c r="C1410" s="660"/>
      <c r="D1410" s="12"/>
    </row>
    <row r="1411" spans="1:4" hidden="1" x14ac:dyDescent="0.2">
      <c r="A1411" s="659" t="s">
        <v>613</v>
      </c>
      <c r="B1411" s="658" t="s">
        <v>3</v>
      </c>
      <c r="C1411" s="657">
        <v>14.53</v>
      </c>
      <c r="D1411" s="12"/>
    </row>
    <row r="1412" spans="1:4" hidden="1" x14ac:dyDescent="0.2">
      <c r="A1412" s="666" t="s">
        <v>612</v>
      </c>
      <c r="B1412" s="665" t="s">
        <v>2</v>
      </c>
      <c r="C1412" s="664">
        <v>8</v>
      </c>
      <c r="D1412" s="12"/>
    </row>
    <row r="1413" spans="1:4" hidden="1" x14ac:dyDescent="0.2">
      <c r="A1413" s="659" t="s">
        <v>611</v>
      </c>
      <c r="B1413" s="658" t="s">
        <v>2</v>
      </c>
      <c r="C1413" s="657">
        <v>6</v>
      </c>
      <c r="D1413" s="12"/>
    </row>
    <row r="1414" spans="1:4" hidden="1" x14ac:dyDescent="0.2">
      <c r="A1414" s="666" t="s">
        <v>610</v>
      </c>
      <c r="B1414" s="665" t="s">
        <v>2</v>
      </c>
      <c r="C1414" s="664">
        <v>3</v>
      </c>
      <c r="D1414" s="12"/>
    </row>
    <row r="1415" spans="1:4" hidden="1" x14ac:dyDescent="0.2">
      <c r="A1415" s="662" t="s">
        <v>244</v>
      </c>
      <c r="B1415" s="661"/>
      <c r="C1415" s="660"/>
      <c r="D1415" s="12"/>
    </row>
    <row r="1416" spans="1:4" hidden="1" x14ac:dyDescent="0.2">
      <c r="A1416" s="659" t="s">
        <v>586</v>
      </c>
      <c r="B1416" s="658" t="s">
        <v>2</v>
      </c>
      <c r="C1416" s="657">
        <v>1</v>
      </c>
      <c r="D1416" s="12"/>
    </row>
    <row r="1417" spans="1:4" hidden="1" x14ac:dyDescent="0.2">
      <c r="A1417" s="666" t="s">
        <v>585</v>
      </c>
      <c r="B1417" s="665" t="s">
        <v>2</v>
      </c>
      <c r="C1417" s="664">
        <v>1</v>
      </c>
      <c r="D1417" s="12"/>
    </row>
    <row r="1418" spans="1:4" hidden="1" x14ac:dyDescent="0.2">
      <c r="A1418" s="659" t="s">
        <v>609</v>
      </c>
      <c r="B1418" s="658" t="s">
        <v>2</v>
      </c>
      <c r="C1418" s="657">
        <v>2</v>
      </c>
      <c r="D1418" s="12"/>
    </row>
    <row r="1419" spans="1:4" hidden="1" x14ac:dyDescent="0.2">
      <c r="A1419" s="662" t="s">
        <v>552</v>
      </c>
      <c r="B1419" s="661"/>
      <c r="C1419" s="660"/>
      <c r="D1419" s="12"/>
    </row>
    <row r="1420" spans="1:4" hidden="1" x14ac:dyDescent="0.2">
      <c r="A1420" s="666" t="s">
        <v>551</v>
      </c>
      <c r="B1420" s="665" t="s">
        <v>13</v>
      </c>
      <c r="C1420" s="664">
        <v>89.87</v>
      </c>
      <c r="D1420" s="12"/>
    </row>
    <row r="1421" spans="1:4" hidden="1" x14ac:dyDescent="0.2">
      <c r="A1421" s="659" t="s">
        <v>565</v>
      </c>
      <c r="B1421" s="658" t="s">
        <v>13</v>
      </c>
      <c r="C1421" s="657">
        <v>82.74</v>
      </c>
      <c r="D1421" s="12"/>
    </row>
    <row r="1422" spans="1:4" hidden="1" x14ac:dyDescent="0.2">
      <c r="A1422" s="662" t="s">
        <v>550</v>
      </c>
      <c r="B1422" s="661"/>
      <c r="C1422" s="660"/>
      <c r="D1422" s="12"/>
    </row>
    <row r="1423" spans="1:4" hidden="1" x14ac:dyDescent="0.2">
      <c r="A1423" s="666" t="s">
        <v>549</v>
      </c>
      <c r="B1423" s="665" t="s">
        <v>13</v>
      </c>
      <c r="C1423" s="664">
        <v>172.6</v>
      </c>
      <c r="D1423" s="12"/>
    </row>
    <row r="1424" spans="1:4" hidden="1" x14ac:dyDescent="0.2">
      <c r="A1424" s="662" t="s">
        <v>273</v>
      </c>
      <c r="B1424" s="661"/>
      <c r="C1424" s="660"/>
      <c r="D1424" s="12"/>
    </row>
    <row r="1425" spans="1:4" hidden="1" x14ac:dyDescent="0.2">
      <c r="A1425" s="659" t="s">
        <v>564</v>
      </c>
      <c r="B1425" s="658" t="s">
        <v>13</v>
      </c>
      <c r="C1425" s="657">
        <v>77.59</v>
      </c>
      <c r="D1425" s="12"/>
    </row>
    <row r="1426" spans="1:4" hidden="1" x14ac:dyDescent="0.2">
      <c r="A1426" s="666" t="s">
        <v>608</v>
      </c>
      <c r="B1426" s="665" t="s">
        <v>13</v>
      </c>
      <c r="C1426" s="664">
        <v>8.0500000000000007</v>
      </c>
      <c r="D1426" s="12"/>
    </row>
    <row r="1427" spans="1:4" hidden="1" x14ac:dyDescent="0.2">
      <c r="A1427" s="659" t="s">
        <v>607</v>
      </c>
      <c r="B1427" s="658" t="s">
        <v>13</v>
      </c>
      <c r="C1427" s="657">
        <v>5.14</v>
      </c>
      <c r="D1427" s="12"/>
    </row>
    <row r="1428" spans="1:4" hidden="1" x14ac:dyDescent="0.2">
      <c r="A1428" s="666" t="s">
        <v>548</v>
      </c>
      <c r="B1428" s="665" t="s">
        <v>13</v>
      </c>
      <c r="C1428" s="664">
        <v>81.819999999999993</v>
      </c>
      <c r="D1428" s="12"/>
    </row>
    <row r="1429" spans="1:4" hidden="1" x14ac:dyDescent="0.2">
      <c r="A1429" s="669" t="s">
        <v>667</v>
      </c>
      <c r="B1429" s="668"/>
      <c r="C1429" s="667"/>
      <c r="D1429" s="12"/>
    </row>
    <row r="1430" spans="1:4" hidden="1" x14ac:dyDescent="0.2">
      <c r="A1430" s="662" t="s">
        <v>208</v>
      </c>
      <c r="B1430" s="661"/>
      <c r="C1430" s="660"/>
      <c r="D1430" s="12"/>
    </row>
    <row r="1431" spans="1:4" hidden="1" x14ac:dyDescent="0.2">
      <c r="A1431" s="659" t="s">
        <v>656</v>
      </c>
      <c r="B1431" s="658" t="s">
        <v>13</v>
      </c>
      <c r="C1431" s="657">
        <v>2.63</v>
      </c>
      <c r="D1431" s="12"/>
    </row>
    <row r="1432" spans="1:4" hidden="1" x14ac:dyDescent="0.2">
      <c r="A1432" s="666" t="s">
        <v>562</v>
      </c>
      <c r="B1432" s="665" t="s">
        <v>13</v>
      </c>
      <c r="C1432" s="664">
        <v>195.56</v>
      </c>
      <c r="D1432" s="12"/>
    </row>
    <row r="1433" spans="1:4" hidden="1" x14ac:dyDescent="0.2">
      <c r="A1433" s="659" t="s">
        <v>581</v>
      </c>
      <c r="B1433" s="658" t="s">
        <v>13</v>
      </c>
      <c r="C1433" s="657">
        <v>81.11</v>
      </c>
      <c r="D1433" s="12"/>
    </row>
    <row r="1434" spans="1:4" hidden="1" x14ac:dyDescent="0.2">
      <c r="A1434" s="662" t="s">
        <v>376</v>
      </c>
      <c r="B1434" s="661"/>
      <c r="C1434" s="660"/>
      <c r="D1434" s="12"/>
    </row>
    <row r="1435" spans="1:4" hidden="1" x14ac:dyDescent="0.2">
      <c r="A1435" s="666" t="s">
        <v>655</v>
      </c>
      <c r="B1435" s="665" t="s">
        <v>13</v>
      </c>
      <c r="C1435" s="664">
        <v>29.04</v>
      </c>
      <c r="D1435" s="12"/>
    </row>
    <row r="1436" spans="1:4" hidden="1" x14ac:dyDescent="0.2">
      <c r="A1436" s="662" t="s">
        <v>605</v>
      </c>
      <c r="B1436" s="661"/>
      <c r="C1436" s="660"/>
      <c r="D1436" s="12"/>
    </row>
    <row r="1437" spans="1:4" hidden="1" x14ac:dyDescent="0.2">
      <c r="A1437" s="659" t="s">
        <v>604</v>
      </c>
      <c r="B1437" s="658" t="s">
        <v>13</v>
      </c>
      <c r="C1437" s="657">
        <v>85</v>
      </c>
      <c r="D1437" s="12"/>
    </row>
    <row r="1438" spans="1:4" hidden="1" x14ac:dyDescent="0.2">
      <c r="A1438" s="662" t="s">
        <v>561</v>
      </c>
      <c r="B1438" s="661"/>
      <c r="C1438" s="660"/>
      <c r="D1438" s="12"/>
    </row>
    <row r="1439" spans="1:4" hidden="1" x14ac:dyDescent="0.2">
      <c r="A1439" s="666" t="s">
        <v>580</v>
      </c>
      <c r="B1439" s="665" t="s">
        <v>3</v>
      </c>
      <c r="C1439" s="664">
        <v>172.6</v>
      </c>
      <c r="D1439" s="12"/>
    </row>
    <row r="1440" spans="1:4" hidden="1" x14ac:dyDescent="0.2">
      <c r="A1440" s="659" t="s">
        <v>560</v>
      </c>
      <c r="B1440" s="658" t="s">
        <v>13</v>
      </c>
      <c r="C1440" s="657">
        <v>196.67</v>
      </c>
      <c r="D1440" s="12"/>
    </row>
    <row r="1441" spans="1:4" hidden="1" x14ac:dyDescent="0.2">
      <c r="A1441" s="666" t="s">
        <v>559</v>
      </c>
      <c r="B1441" s="665" t="s">
        <v>3</v>
      </c>
      <c r="C1441" s="664">
        <v>98</v>
      </c>
      <c r="D1441" s="12"/>
    </row>
    <row r="1442" spans="1:4" hidden="1" x14ac:dyDescent="0.2">
      <c r="A1442" s="662" t="s">
        <v>212</v>
      </c>
      <c r="B1442" s="661"/>
      <c r="C1442" s="660"/>
      <c r="D1442" s="12"/>
    </row>
    <row r="1443" spans="1:4" hidden="1" x14ac:dyDescent="0.2">
      <c r="A1443" s="659" t="s">
        <v>579</v>
      </c>
      <c r="B1443" s="658" t="s">
        <v>13</v>
      </c>
      <c r="C1443" s="657">
        <v>43.76</v>
      </c>
      <c r="D1443" s="12"/>
    </row>
    <row r="1444" spans="1:4" hidden="1" x14ac:dyDescent="0.2">
      <c r="A1444" s="662" t="s">
        <v>557</v>
      </c>
      <c r="B1444" s="661"/>
      <c r="C1444" s="660"/>
      <c r="D1444" s="12"/>
    </row>
    <row r="1445" spans="1:4" hidden="1" x14ac:dyDescent="0.2">
      <c r="A1445" s="666" t="s">
        <v>654</v>
      </c>
      <c r="B1445" s="665" t="s">
        <v>13</v>
      </c>
      <c r="C1445" s="664">
        <v>12.1</v>
      </c>
      <c r="D1445" s="12"/>
    </row>
    <row r="1446" spans="1:4" hidden="1" x14ac:dyDescent="0.2">
      <c r="A1446" s="659" t="s">
        <v>653</v>
      </c>
      <c r="B1446" s="658" t="s">
        <v>13</v>
      </c>
      <c r="C1446" s="657">
        <v>6.98</v>
      </c>
      <c r="D1446" s="12"/>
    </row>
    <row r="1447" spans="1:4" hidden="1" x14ac:dyDescent="0.2">
      <c r="A1447" s="666" t="s">
        <v>603</v>
      </c>
      <c r="B1447" s="665" t="s">
        <v>13</v>
      </c>
      <c r="C1447" s="664">
        <v>3.31</v>
      </c>
      <c r="D1447" s="12"/>
    </row>
    <row r="1448" spans="1:4" hidden="1" x14ac:dyDescent="0.2">
      <c r="A1448" s="659" t="s">
        <v>602</v>
      </c>
      <c r="B1448" s="658" t="s">
        <v>13</v>
      </c>
      <c r="C1448" s="657">
        <v>6.44</v>
      </c>
      <c r="D1448" s="12"/>
    </row>
    <row r="1449" spans="1:4" hidden="1" x14ac:dyDescent="0.2">
      <c r="A1449" s="666" t="s">
        <v>652</v>
      </c>
      <c r="B1449" s="665" t="s">
        <v>13</v>
      </c>
      <c r="C1449" s="664">
        <v>36.83</v>
      </c>
      <c r="D1449" s="12"/>
    </row>
    <row r="1450" spans="1:4" hidden="1" x14ac:dyDescent="0.2">
      <c r="A1450" s="659" t="s">
        <v>651</v>
      </c>
      <c r="B1450" s="658" t="s">
        <v>13</v>
      </c>
      <c r="C1450" s="657">
        <v>17.95</v>
      </c>
      <c r="D1450" s="12"/>
    </row>
    <row r="1451" spans="1:4" hidden="1" x14ac:dyDescent="0.2">
      <c r="A1451" s="666" t="s">
        <v>650</v>
      </c>
      <c r="B1451" s="665" t="s">
        <v>13</v>
      </c>
      <c r="C1451" s="664">
        <v>22.97</v>
      </c>
      <c r="D1451" s="12"/>
    </row>
    <row r="1452" spans="1:4" hidden="1" x14ac:dyDescent="0.2">
      <c r="A1452" s="659" t="s">
        <v>649</v>
      </c>
      <c r="B1452" s="658" t="s">
        <v>13</v>
      </c>
      <c r="C1452" s="657">
        <v>5.43</v>
      </c>
      <c r="D1452" s="12"/>
    </row>
    <row r="1453" spans="1:4" hidden="1" x14ac:dyDescent="0.2">
      <c r="A1453" s="666" t="s">
        <v>648</v>
      </c>
      <c r="B1453" s="665" t="s">
        <v>13</v>
      </c>
      <c r="C1453" s="664">
        <v>10.6</v>
      </c>
      <c r="D1453" s="12"/>
    </row>
    <row r="1454" spans="1:4" hidden="1" x14ac:dyDescent="0.2">
      <c r="A1454" s="659" t="s">
        <v>647</v>
      </c>
      <c r="B1454" s="658" t="s">
        <v>13</v>
      </c>
      <c r="C1454" s="657">
        <v>6.95</v>
      </c>
      <c r="D1454" s="12"/>
    </row>
    <row r="1455" spans="1:4" hidden="1" x14ac:dyDescent="0.2">
      <c r="A1455" s="666" t="s">
        <v>646</v>
      </c>
      <c r="B1455" s="665" t="s">
        <v>13</v>
      </c>
      <c r="C1455" s="664">
        <v>9.51</v>
      </c>
      <c r="D1455" s="12"/>
    </row>
    <row r="1456" spans="1:4" hidden="1" x14ac:dyDescent="0.2">
      <c r="A1456" s="659" t="s">
        <v>645</v>
      </c>
      <c r="B1456" s="658" t="s">
        <v>13</v>
      </c>
      <c r="C1456" s="657">
        <v>2.99</v>
      </c>
      <c r="D1456" s="12"/>
    </row>
    <row r="1457" spans="1:4" hidden="1" x14ac:dyDescent="0.2">
      <c r="A1457" s="662" t="s">
        <v>220</v>
      </c>
      <c r="B1457" s="661"/>
      <c r="C1457" s="660"/>
      <c r="D1457" s="12"/>
    </row>
    <row r="1458" spans="1:4" hidden="1" x14ac:dyDescent="0.2">
      <c r="A1458" s="666" t="s">
        <v>599</v>
      </c>
      <c r="B1458" s="665" t="s">
        <v>13</v>
      </c>
      <c r="C1458" s="664">
        <v>197.77</v>
      </c>
      <c r="D1458" s="12"/>
    </row>
    <row r="1459" spans="1:4" hidden="1" x14ac:dyDescent="0.2">
      <c r="A1459" s="659" t="s">
        <v>644</v>
      </c>
      <c r="B1459" s="658" t="s">
        <v>13</v>
      </c>
      <c r="C1459" s="657">
        <v>7.88</v>
      </c>
      <c r="D1459" s="12"/>
    </row>
    <row r="1460" spans="1:4" ht="25.5" hidden="1" x14ac:dyDescent="0.2">
      <c r="A1460" s="666" t="s">
        <v>643</v>
      </c>
      <c r="B1460" s="665" t="s">
        <v>13</v>
      </c>
      <c r="C1460" s="664">
        <v>2.82</v>
      </c>
      <c r="D1460" s="12"/>
    </row>
    <row r="1461" spans="1:4" hidden="1" x14ac:dyDescent="0.2">
      <c r="A1461" s="662" t="s">
        <v>598</v>
      </c>
      <c r="B1461" s="661"/>
      <c r="C1461" s="660"/>
      <c r="D1461" s="12"/>
    </row>
    <row r="1462" spans="1:4" hidden="1" x14ac:dyDescent="0.2">
      <c r="A1462" s="659" t="s">
        <v>642</v>
      </c>
      <c r="B1462" s="658" t="s">
        <v>13</v>
      </c>
      <c r="C1462" s="657">
        <v>5.27</v>
      </c>
      <c r="D1462" s="12"/>
    </row>
    <row r="1463" spans="1:4" hidden="1" x14ac:dyDescent="0.2">
      <c r="A1463" s="662" t="s">
        <v>576</v>
      </c>
      <c r="B1463" s="661"/>
      <c r="C1463" s="660"/>
      <c r="D1463" s="12"/>
    </row>
    <row r="1464" spans="1:4" hidden="1" x14ac:dyDescent="0.2">
      <c r="A1464" s="666" t="s">
        <v>575</v>
      </c>
      <c r="B1464" s="665" t="s">
        <v>13</v>
      </c>
      <c r="C1464" s="664">
        <v>546.5</v>
      </c>
      <c r="D1464" s="12"/>
    </row>
    <row r="1465" spans="1:4" hidden="1" x14ac:dyDescent="0.2">
      <c r="A1465" s="659" t="s">
        <v>574</v>
      </c>
      <c r="B1465" s="658" t="s">
        <v>13</v>
      </c>
      <c r="C1465" s="657">
        <v>153.68</v>
      </c>
      <c r="D1465" s="12"/>
    </row>
    <row r="1466" spans="1:4" hidden="1" x14ac:dyDescent="0.2">
      <c r="A1466" s="662" t="s">
        <v>573</v>
      </c>
      <c r="B1466" s="661"/>
      <c r="C1466" s="660"/>
      <c r="D1466" s="12"/>
    </row>
    <row r="1467" spans="1:4" hidden="1" x14ac:dyDescent="0.2">
      <c r="A1467" s="666" t="s">
        <v>572</v>
      </c>
      <c r="B1467" s="665" t="s">
        <v>13</v>
      </c>
      <c r="C1467" s="664">
        <v>700.18</v>
      </c>
      <c r="D1467" s="12"/>
    </row>
    <row r="1468" spans="1:4" hidden="1" x14ac:dyDescent="0.2">
      <c r="A1468" s="662" t="s">
        <v>224</v>
      </c>
      <c r="B1468" s="661"/>
      <c r="C1468" s="660"/>
      <c r="D1468" s="12"/>
    </row>
    <row r="1469" spans="1:4" hidden="1" x14ac:dyDescent="0.2">
      <c r="A1469" s="659" t="s">
        <v>571</v>
      </c>
      <c r="B1469" s="658" t="s">
        <v>13</v>
      </c>
      <c r="C1469" s="657">
        <v>45.24</v>
      </c>
      <c r="D1469" s="12"/>
    </row>
    <row r="1470" spans="1:4" hidden="1" x14ac:dyDescent="0.2">
      <c r="A1470" s="662" t="s">
        <v>218</v>
      </c>
      <c r="B1470" s="661"/>
      <c r="C1470" s="660"/>
      <c r="D1470" s="12"/>
    </row>
    <row r="1471" spans="1:4" hidden="1" x14ac:dyDescent="0.2">
      <c r="A1471" s="666" t="s">
        <v>570</v>
      </c>
      <c r="B1471" s="665" t="s">
        <v>13</v>
      </c>
      <c r="C1471" s="664">
        <v>37.35</v>
      </c>
      <c r="D1471" s="12"/>
    </row>
    <row r="1472" spans="1:4" hidden="1" x14ac:dyDescent="0.2">
      <c r="A1472" s="662" t="s">
        <v>219</v>
      </c>
      <c r="B1472" s="661"/>
      <c r="C1472" s="660"/>
      <c r="D1472" s="12"/>
    </row>
    <row r="1473" spans="1:4" hidden="1" x14ac:dyDescent="0.2">
      <c r="A1473" s="659" t="s">
        <v>641</v>
      </c>
      <c r="B1473" s="658" t="s">
        <v>13</v>
      </c>
      <c r="C1473" s="657">
        <v>187.88</v>
      </c>
      <c r="D1473" s="12"/>
    </row>
    <row r="1474" spans="1:4" hidden="1" x14ac:dyDescent="0.2">
      <c r="A1474" s="662" t="s">
        <v>222</v>
      </c>
      <c r="B1474" s="661"/>
      <c r="C1474" s="660"/>
      <c r="D1474" s="12"/>
    </row>
    <row r="1475" spans="1:4" hidden="1" x14ac:dyDescent="0.2">
      <c r="A1475" s="666" t="s">
        <v>640</v>
      </c>
      <c r="B1475" s="665" t="s">
        <v>13</v>
      </c>
      <c r="C1475" s="664">
        <v>93.11</v>
      </c>
      <c r="D1475" s="12"/>
    </row>
    <row r="1476" spans="1:4" hidden="1" x14ac:dyDescent="0.2">
      <c r="A1476" s="659" t="s">
        <v>639</v>
      </c>
      <c r="B1476" s="658" t="s">
        <v>13</v>
      </c>
      <c r="C1476" s="657">
        <v>23.38</v>
      </c>
      <c r="D1476" s="12"/>
    </row>
    <row r="1477" spans="1:4" hidden="1" x14ac:dyDescent="0.2">
      <c r="A1477" s="666" t="s">
        <v>638</v>
      </c>
      <c r="B1477" s="665" t="s">
        <v>13</v>
      </c>
      <c r="C1477" s="664">
        <v>8.48</v>
      </c>
      <c r="D1477" s="12"/>
    </row>
    <row r="1478" spans="1:4" hidden="1" x14ac:dyDescent="0.2">
      <c r="A1478" s="662" t="s">
        <v>637</v>
      </c>
      <c r="B1478" s="661"/>
      <c r="C1478" s="660"/>
      <c r="D1478" s="12"/>
    </row>
    <row r="1479" spans="1:4" hidden="1" x14ac:dyDescent="0.2">
      <c r="A1479" s="659" t="s">
        <v>636</v>
      </c>
      <c r="B1479" s="658" t="s">
        <v>13</v>
      </c>
      <c r="C1479" s="657">
        <v>63.69</v>
      </c>
      <c r="D1479" s="12"/>
    </row>
    <row r="1480" spans="1:4" hidden="1" x14ac:dyDescent="0.2">
      <c r="A1480" s="662" t="s">
        <v>635</v>
      </c>
      <c r="B1480" s="661"/>
      <c r="C1480" s="660"/>
      <c r="D1480" s="12"/>
    </row>
    <row r="1481" spans="1:4" hidden="1" x14ac:dyDescent="0.2">
      <c r="A1481" s="666" t="s">
        <v>634</v>
      </c>
      <c r="B1481" s="665" t="s">
        <v>3</v>
      </c>
      <c r="C1481" s="664">
        <v>158.85</v>
      </c>
      <c r="D1481" s="12"/>
    </row>
    <row r="1482" spans="1:4" hidden="1" x14ac:dyDescent="0.2">
      <c r="A1482" s="662" t="s">
        <v>346</v>
      </c>
      <c r="B1482" s="661"/>
      <c r="C1482" s="660"/>
      <c r="D1482" s="12"/>
    </row>
    <row r="1483" spans="1:4" hidden="1" x14ac:dyDescent="0.2">
      <c r="A1483" s="659" t="s">
        <v>633</v>
      </c>
      <c r="B1483" s="658" t="s">
        <v>13</v>
      </c>
      <c r="C1483" s="657">
        <v>0.85</v>
      </c>
      <c r="D1483" s="12"/>
    </row>
    <row r="1484" spans="1:4" hidden="1" x14ac:dyDescent="0.2">
      <c r="A1484" s="662" t="s">
        <v>217</v>
      </c>
      <c r="B1484" s="661"/>
      <c r="C1484" s="660"/>
      <c r="D1484" s="12"/>
    </row>
    <row r="1485" spans="1:4" hidden="1" x14ac:dyDescent="0.2">
      <c r="A1485" s="666" t="s">
        <v>632</v>
      </c>
      <c r="B1485" s="665" t="s">
        <v>13</v>
      </c>
      <c r="C1485" s="664">
        <v>3.2</v>
      </c>
      <c r="D1485" s="12"/>
    </row>
    <row r="1486" spans="1:4" hidden="1" x14ac:dyDescent="0.2">
      <c r="A1486" s="662" t="s">
        <v>215</v>
      </c>
      <c r="B1486" s="661"/>
      <c r="C1486" s="660"/>
      <c r="D1486" s="12"/>
    </row>
    <row r="1487" spans="1:4" hidden="1" x14ac:dyDescent="0.2">
      <c r="A1487" s="659" t="s">
        <v>631</v>
      </c>
      <c r="B1487" s="658" t="s">
        <v>13</v>
      </c>
      <c r="C1487" s="657">
        <v>58.23</v>
      </c>
      <c r="D1487" s="12"/>
    </row>
    <row r="1488" spans="1:4" hidden="1" x14ac:dyDescent="0.2">
      <c r="A1488" s="666" t="s">
        <v>630</v>
      </c>
      <c r="B1488" s="665" t="s">
        <v>13</v>
      </c>
      <c r="C1488" s="664">
        <v>108</v>
      </c>
      <c r="D1488" s="12"/>
    </row>
    <row r="1489" spans="1:4" hidden="1" x14ac:dyDescent="0.2">
      <c r="A1489" s="662" t="s">
        <v>231</v>
      </c>
      <c r="B1489" s="661"/>
      <c r="C1489" s="660"/>
      <c r="D1489" s="12"/>
    </row>
    <row r="1490" spans="1:4" hidden="1" x14ac:dyDescent="0.2">
      <c r="A1490" s="659" t="s">
        <v>595</v>
      </c>
      <c r="B1490" s="658" t="s">
        <v>13</v>
      </c>
      <c r="C1490" s="657">
        <v>6.72</v>
      </c>
      <c r="D1490" s="12"/>
    </row>
    <row r="1491" spans="1:4" hidden="1" x14ac:dyDescent="0.2">
      <c r="A1491" s="666" t="s">
        <v>629</v>
      </c>
      <c r="B1491" s="665" t="s">
        <v>13</v>
      </c>
      <c r="C1491" s="664">
        <v>7.88</v>
      </c>
      <c r="D1491" s="12"/>
    </row>
    <row r="1492" spans="1:4" hidden="1" x14ac:dyDescent="0.2">
      <c r="A1492" s="659" t="s">
        <v>594</v>
      </c>
      <c r="B1492" s="658" t="s">
        <v>13</v>
      </c>
      <c r="C1492" s="657">
        <v>17.21</v>
      </c>
      <c r="D1492" s="12"/>
    </row>
    <row r="1493" spans="1:4" hidden="1" x14ac:dyDescent="0.2">
      <c r="A1493" s="662" t="s">
        <v>569</v>
      </c>
      <c r="B1493" s="661"/>
      <c r="C1493" s="660"/>
      <c r="D1493" s="12"/>
    </row>
    <row r="1494" spans="1:4" hidden="1" x14ac:dyDescent="0.2">
      <c r="A1494" s="666" t="s">
        <v>628</v>
      </c>
      <c r="B1494" s="665" t="s">
        <v>13</v>
      </c>
      <c r="C1494" s="664">
        <v>31.33</v>
      </c>
      <c r="D1494" s="12"/>
    </row>
    <row r="1495" spans="1:4" hidden="1" x14ac:dyDescent="0.2">
      <c r="A1495" s="659" t="s">
        <v>627</v>
      </c>
      <c r="B1495" s="658" t="s">
        <v>13</v>
      </c>
      <c r="C1495" s="657">
        <v>420.78</v>
      </c>
      <c r="D1495" s="12"/>
    </row>
    <row r="1496" spans="1:4" hidden="1" x14ac:dyDescent="0.2">
      <c r="A1496" s="666" t="s">
        <v>626</v>
      </c>
      <c r="B1496" s="665" t="s">
        <v>13</v>
      </c>
      <c r="C1496" s="664">
        <v>2.93</v>
      </c>
      <c r="D1496" s="12"/>
    </row>
    <row r="1497" spans="1:4" hidden="1" x14ac:dyDescent="0.2">
      <c r="A1497" s="659" t="s">
        <v>592</v>
      </c>
      <c r="B1497" s="658" t="s">
        <v>13</v>
      </c>
      <c r="C1497" s="657">
        <v>78.91</v>
      </c>
      <c r="D1497" s="12"/>
    </row>
    <row r="1498" spans="1:4" hidden="1" x14ac:dyDescent="0.2">
      <c r="A1498" s="662" t="s">
        <v>567</v>
      </c>
      <c r="B1498" s="661"/>
      <c r="C1498" s="660"/>
      <c r="D1498" s="12"/>
    </row>
    <row r="1499" spans="1:4" hidden="1" x14ac:dyDescent="0.2">
      <c r="A1499" s="666" t="s">
        <v>566</v>
      </c>
      <c r="B1499" s="665" t="s">
        <v>13</v>
      </c>
      <c r="C1499" s="664">
        <v>225.23</v>
      </c>
      <c r="D1499" s="12"/>
    </row>
    <row r="1500" spans="1:4" hidden="1" x14ac:dyDescent="0.2">
      <c r="A1500" s="662" t="s">
        <v>235</v>
      </c>
      <c r="B1500" s="661"/>
      <c r="C1500" s="660"/>
      <c r="D1500" s="12"/>
    </row>
    <row r="1501" spans="1:4" hidden="1" x14ac:dyDescent="0.2">
      <c r="A1501" s="659" t="s">
        <v>554</v>
      </c>
      <c r="B1501" s="658" t="s">
        <v>3</v>
      </c>
      <c r="C1501" s="657">
        <v>108.4</v>
      </c>
      <c r="D1501" s="12"/>
    </row>
    <row r="1502" spans="1:4" hidden="1" x14ac:dyDescent="0.2">
      <c r="A1502" s="662" t="s">
        <v>236</v>
      </c>
      <c r="B1502" s="661"/>
      <c r="C1502" s="660"/>
      <c r="D1502" s="12"/>
    </row>
    <row r="1503" spans="1:4" hidden="1" x14ac:dyDescent="0.2">
      <c r="A1503" s="666" t="s">
        <v>591</v>
      </c>
      <c r="B1503" s="665" t="s">
        <v>13</v>
      </c>
      <c r="C1503" s="664">
        <v>1.04</v>
      </c>
      <c r="D1503" s="12"/>
    </row>
    <row r="1504" spans="1:4" hidden="1" x14ac:dyDescent="0.2">
      <c r="A1504" s="659" t="s">
        <v>590</v>
      </c>
      <c r="B1504" s="658" t="s">
        <v>13</v>
      </c>
      <c r="C1504" s="657">
        <v>1.04</v>
      </c>
      <c r="D1504" s="12"/>
    </row>
    <row r="1505" spans="1:4" hidden="1" x14ac:dyDescent="0.2">
      <c r="A1505" s="666" t="s">
        <v>625</v>
      </c>
      <c r="B1505" s="665" t="s">
        <v>13</v>
      </c>
      <c r="C1505" s="664">
        <v>2.25</v>
      </c>
      <c r="D1505" s="12"/>
    </row>
    <row r="1506" spans="1:4" hidden="1" x14ac:dyDescent="0.2">
      <c r="A1506" s="659" t="s">
        <v>624</v>
      </c>
      <c r="B1506" s="658" t="s">
        <v>13</v>
      </c>
      <c r="C1506" s="657">
        <v>8.86</v>
      </c>
      <c r="D1506" s="12"/>
    </row>
    <row r="1507" spans="1:4" hidden="1" x14ac:dyDescent="0.2">
      <c r="A1507" s="666" t="s">
        <v>623</v>
      </c>
      <c r="B1507" s="665" t="s">
        <v>3</v>
      </c>
      <c r="C1507" s="664">
        <v>2.5</v>
      </c>
      <c r="D1507" s="12"/>
    </row>
    <row r="1508" spans="1:4" hidden="1" x14ac:dyDescent="0.2">
      <c r="A1508" s="659" t="s">
        <v>622</v>
      </c>
      <c r="B1508" s="658" t="s">
        <v>3</v>
      </c>
      <c r="C1508" s="657">
        <v>7.4</v>
      </c>
      <c r="D1508" s="12"/>
    </row>
    <row r="1509" spans="1:4" hidden="1" x14ac:dyDescent="0.2">
      <c r="A1509" s="666" t="s">
        <v>621</v>
      </c>
      <c r="B1509" s="665" t="s">
        <v>13</v>
      </c>
      <c r="C1509" s="664">
        <v>0.36</v>
      </c>
      <c r="D1509" s="12"/>
    </row>
    <row r="1510" spans="1:4" hidden="1" x14ac:dyDescent="0.2">
      <c r="A1510" s="659" t="s">
        <v>620</v>
      </c>
      <c r="B1510" s="658" t="s">
        <v>13</v>
      </c>
      <c r="C1510" s="657">
        <v>1.18</v>
      </c>
      <c r="D1510" s="12"/>
    </row>
    <row r="1511" spans="1:4" hidden="1" x14ac:dyDescent="0.2">
      <c r="A1511" s="666" t="s">
        <v>619</v>
      </c>
      <c r="B1511" s="665" t="s">
        <v>13</v>
      </c>
      <c r="C1511" s="664">
        <v>4.03</v>
      </c>
      <c r="D1511" s="12"/>
    </row>
    <row r="1512" spans="1:4" hidden="1" x14ac:dyDescent="0.2">
      <c r="A1512" s="659" t="s">
        <v>618</v>
      </c>
      <c r="B1512" s="658" t="s">
        <v>13</v>
      </c>
      <c r="C1512" s="657">
        <v>11.09</v>
      </c>
      <c r="D1512" s="12"/>
    </row>
    <row r="1513" spans="1:4" hidden="1" x14ac:dyDescent="0.2">
      <c r="A1513" s="666" t="s">
        <v>617</v>
      </c>
      <c r="B1513" s="665" t="s">
        <v>13</v>
      </c>
      <c r="C1513" s="664">
        <v>0.05</v>
      </c>
      <c r="D1513" s="12"/>
    </row>
    <row r="1514" spans="1:4" hidden="1" x14ac:dyDescent="0.2">
      <c r="A1514" s="659" t="s">
        <v>616</v>
      </c>
      <c r="B1514" s="658" t="s">
        <v>13</v>
      </c>
      <c r="C1514" s="657">
        <v>0.89</v>
      </c>
      <c r="D1514" s="12"/>
    </row>
    <row r="1515" spans="1:4" hidden="1" x14ac:dyDescent="0.2">
      <c r="A1515" s="666" t="s">
        <v>615</v>
      </c>
      <c r="B1515" s="665" t="s">
        <v>13</v>
      </c>
      <c r="C1515" s="664">
        <v>0.02</v>
      </c>
      <c r="D1515" s="12"/>
    </row>
    <row r="1516" spans="1:4" hidden="1" x14ac:dyDescent="0.2">
      <c r="A1516" s="659" t="s">
        <v>614</v>
      </c>
      <c r="B1516" s="658" t="s">
        <v>13</v>
      </c>
      <c r="C1516" s="657">
        <v>0.38</v>
      </c>
      <c r="D1516" s="12"/>
    </row>
    <row r="1517" spans="1:4" hidden="1" x14ac:dyDescent="0.2">
      <c r="A1517" s="662" t="s">
        <v>240</v>
      </c>
      <c r="B1517" s="661"/>
      <c r="C1517" s="660"/>
      <c r="D1517" s="12"/>
    </row>
    <row r="1518" spans="1:4" hidden="1" x14ac:dyDescent="0.2">
      <c r="A1518" s="666" t="s">
        <v>613</v>
      </c>
      <c r="B1518" s="665" t="s">
        <v>3</v>
      </c>
      <c r="C1518" s="664">
        <v>14.53</v>
      </c>
      <c r="D1518" s="12"/>
    </row>
    <row r="1519" spans="1:4" hidden="1" x14ac:dyDescent="0.2">
      <c r="A1519" s="659" t="s">
        <v>612</v>
      </c>
      <c r="B1519" s="658" t="s">
        <v>2</v>
      </c>
      <c r="C1519" s="657">
        <v>8</v>
      </c>
      <c r="D1519" s="12"/>
    </row>
    <row r="1520" spans="1:4" hidden="1" x14ac:dyDescent="0.2">
      <c r="A1520" s="666" t="s">
        <v>611</v>
      </c>
      <c r="B1520" s="665" t="s">
        <v>2</v>
      </c>
      <c r="C1520" s="664">
        <v>6</v>
      </c>
      <c r="D1520" s="12"/>
    </row>
    <row r="1521" spans="1:4" hidden="1" x14ac:dyDescent="0.2">
      <c r="A1521" s="659" t="s">
        <v>610</v>
      </c>
      <c r="B1521" s="658" t="s">
        <v>2</v>
      </c>
      <c r="C1521" s="657">
        <v>3</v>
      </c>
      <c r="D1521" s="12"/>
    </row>
    <row r="1522" spans="1:4" hidden="1" x14ac:dyDescent="0.2">
      <c r="A1522" s="662" t="s">
        <v>244</v>
      </c>
      <c r="B1522" s="661"/>
      <c r="C1522" s="660"/>
      <c r="D1522" s="12"/>
    </row>
    <row r="1523" spans="1:4" hidden="1" x14ac:dyDescent="0.2">
      <c r="A1523" s="666" t="s">
        <v>586</v>
      </c>
      <c r="B1523" s="665" t="s">
        <v>2</v>
      </c>
      <c r="C1523" s="664">
        <v>1</v>
      </c>
      <c r="D1523" s="12"/>
    </row>
    <row r="1524" spans="1:4" hidden="1" x14ac:dyDescent="0.2">
      <c r="A1524" s="659" t="s">
        <v>585</v>
      </c>
      <c r="B1524" s="658" t="s">
        <v>2</v>
      </c>
      <c r="C1524" s="657">
        <v>1</v>
      </c>
      <c r="D1524" s="12"/>
    </row>
    <row r="1525" spans="1:4" hidden="1" x14ac:dyDescent="0.2">
      <c r="A1525" s="666" t="s">
        <v>609</v>
      </c>
      <c r="B1525" s="665" t="s">
        <v>2</v>
      </c>
      <c r="C1525" s="664">
        <v>2</v>
      </c>
      <c r="D1525" s="12"/>
    </row>
    <row r="1526" spans="1:4" hidden="1" x14ac:dyDescent="0.2">
      <c r="A1526" s="662" t="s">
        <v>552</v>
      </c>
      <c r="B1526" s="661"/>
      <c r="C1526" s="660"/>
      <c r="D1526" s="12"/>
    </row>
    <row r="1527" spans="1:4" hidden="1" x14ac:dyDescent="0.2">
      <c r="A1527" s="659" t="s">
        <v>551</v>
      </c>
      <c r="B1527" s="658" t="s">
        <v>13</v>
      </c>
      <c r="C1527" s="657">
        <v>87.85</v>
      </c>
      <c r="D1527" s="12"/>
    </row>
    <row r="1528" spans="1:4" hidden="1" x14ac:dyDescent="0.2">
      <c r="A1528" s="666" t="s">
        <v>565</v>
      </c>
      <c r="B1528" s="665" t="s">
        <v>13</v>
      </c>
      <c r="C1528" s="664">
        <v>82.74</v>
      </c>
      <c r="D1528" s="12"/>
    </row>
    <row r="1529" spans="1:4" hidden="1" x14ac:dyDescent="0.2">
      <c r="A1529" s="662" t="s">
        <v>550</v>
      </c>
      <c r="B1529" s="661"/>
      <c r="C1529" s="660"/>
      <c r="D1529" s="12"/>
    </row>
    <row r="1530" spans="1:4" hidden="1" x14ac:dyDescent="0.2">
      <c r="A1530" s="659" t="s">
        <v>549</v>
      </c>
      <c r="B1530" s="658" t="s">
        <v>13</v>
      </c>
      <c r="C1530" s="657">
        <v>170.59</v>
      </c>
      <c r="D1530" s="12"/>
    </row>
    <row r="1531" spans="1:4" hidden="1" x14ac:dyDescent="0.2">
      <c r="A1531" s="662" t="s">
        <v>273</v>
      </c>
      <c r="B1531" s="661"/>
      <c r="C1531" s="660"/>
      <c r="D1531" s="12"/>
    </row>
    <row r="1532" spans="1:4" hidden="1" x14ac:dyDescent="0.2">
      <c r="A1532" s="666" t="s">
        <v>564</v>
      </c>
      <c r="B1532" s="665" t="s">
        <v>13</v>
      </c>
      <c r="C1532" s="664">
        <v>77.59</v>
      </c>
      <c r="D1532" s="12"/>
    </row>
    <row r="1533" spans="1:4" hidden="1" x14ac:dyDescent="0.2">
      <c r="A1533" s="659" t="s">
        <v>608</v>
      </c>
      <c r="B1533" s="658" t="s">
        <v>13</v>
      </c>
      <c r="C1533" s="657">
        <v>6.04</v>
      </c>
      <c r="D1533" s="12"/>
    </row>
    <row r="1534" spans="1:4" hidden="1" x14ac:dyDescent="0.2">
      <c r="A1534" s="666" t="s">
        <v>607</v>
      </c>
      <c r="B1534" s="665" t="s">
        <v>13</v>
      </c>
      <c r="C1534" s="664">
        <v>5.14</v>
      </c>
      <c r="D1534" s="12"/>
    </row>
    <row r="1535" spans="1:4" hidden="1" x14ac:dyDescent="0.2">
      <c r="A1535" s="659" t="s">
        <v>548</v>
      </c>
      <c r="B1535" s="658" t="s">
        <v>13</v>
      </c>
      <c r="C1535" s="657">
        <v>81.819999999999993</v>
      </c>
      <c r="D1535" s="12"/>
    </row>
    <row r="1536" spans="1:4" hidden="1" x14ac:dyDescent="0.2">
      <c r="A1536" s="669" t="s">
        <v>666</v>
      </c>
      <c r="B1536" s="668"/>
      <c r="C1536" s="667"/>
      <c r="D1536" s="12"/>
    </row>
    <row r="1537" spans="1:4" hidden="1" x14ac:dyDescent="0.2">
      <c r="A1537" s="662" t="s">
        <v>208</v>
      </c>
      <c r="B1537" s="661"/>
      <c r="C1537" s="660"/>
      <c r="D1537" s="12"/>
    </row>
    <row r="1538" spans="1:4" hidden="1" x14ac:dyDescent="0.2">
      <c r="A1538" s="666" t="s">
        <v>656</v>
      </c>
      <c r="B1538" s="665" t="s">
        <v>13</v>
      </c>
      <c r="C1538" s="664">
        <v>2.63</v>
      </c>
      <c r="D1538" s="12"/>
    </row>
    <row r="1539" spans="1:4" hidden="1" x14ac:dyDescent="0.2">
      <c r="A1539" s="659" t="s">
        <v>562</v>
      </c>
      <c r="B1539" s="658" t="s">
        <v>13</v>
      </c>
      <c r="C1539" s="657">
        <v>195.56</v>
      </c>
      <c r="D1539" s="12"/>
    </row>
    <row r="1540" spans="1:4" hidden="1" x14ac:dyDescent="0.2">
      <c r="A1540" s="666" t="s">
        <v>581</v>
      </c>
      <c r="B1540" s="665" t="s">
        <v>13</v>
      </c>
      <c r="C1540" s="664">
        <v>81.11</v>
      </c>
      <c r="D1540" s="12"/>
    </row>
    <row r="1541" spans="1:4" hidden="1" x14ac:dyDescent="0.2">
      <c r="A1541" s="662" t="s">
        <v>376</v>
      </c>
      <c r="B1541" s="661"/>
      <c r="C1541" s="660"/>
      <c r="D1541" s="12"/>
    </row>
    <row r="1542" spans="1:4" hidden="1" x14ac:dyDescent="0.2">
      <c r="A1542" s="659" t="s">
        <v>655</v>
      </c>
      <c r="B1542" s="658" t="s">
        <v>13</v>
      </c>
      <c r="C1542" s="657">
        <v>29.04</v>
      </c>
      <c r="D1542" s="12"/>
    </row>
    <row r="1543" spans="1:4" hidden="1" x14ac:dyDescent="0.2">
      <c r="A1543" s="662" t="s">
        <v>605</v>
      </c>
      <c r="B1543" s="661"/>
      <c r="C1543" s="660"/>
      <c r="D1543" s="12"/>
    </row>
    <row r="1544" spans="1:4" hidden="1" x14ac:dyDescent="0.2">
      <c r="A1544" s="666" t="s">
        <v>604</v>
      </c>
      <c r="B1544" s="665" t="s">
        <v>13</v>
      </c>
      <c r="C1544" s="664">
        <v>85</v>
      </c>
      <c r="D1544" s="12"/>
    </row>
    <row r="1545" spans="1:4" hidden="1" x14ac:dyDescent="0.2">
      <c r="A1545" s="662" t="s">
        <v>561</v>
      </c>
      <c r="B1545" s="661"/>
      <c r="C1545" s="660"/>
      <c r="D1545" s="12"/>
    </row>
    <row r="1546" spans="1:4" hidden="1" x14ac:dyDescent="0.2">
      <c r="A1546" s="659" t="s">
        <v>580</v>
      </c>
      <c r="B1546" s="658" t="s">
        <v>3</v>
      </c>
      <c r="C1546" s="657">
        <v>172.6</v>
      </c>
      <c r="D1546" s="12"/>
    </row>
    <row r="1547" spans="1:4" hidden="1" x14ac:dyDescent="0.2">
      <c r="A1547" s="666" t="s">
        <v>560</v>
      </c>
      <c r="B1547" s="665" t="s">
        <v>13</v>
      </c>
      <c r="C1547" s="664">
        <v>196.67</v>
      </c>
      <c r="D1547" s="12"/>
    </row>
    <row r="1548" spans="1:4" hidden="1" x14ac:dyDescent="0.2">
      <c r="A1548" s="659" t="s">
        <v>559</v>
      </c>
      <c r="B1548" s="658" t="s">
        <v>3</v>
      </c>
      <c r="C1548" s="657">
        <v>98</v>
      </c>
      <c r="D1548" s="12"/>
    </row>
    <row r="1549" spans="1:4" hidden="1" x14ac:dyDescent="0.2">
      <c r="A1549" s="662" t="s">
        <v>212</v>
      </c>
      <c r="B1549" s="661"/>
      <c r="C1549" s="660"/>
      <c r="D1549" s="12"/>
    </row>
    <row r="1550" spans="1:4" hidden="1" x14ac:dyDescent="0.2">
      <c r="A1550" s="666" t="s">
        <v>579</v>
      </c>
      <c r="B1550" s="665" t="s">
        <v>13</v>
      </c>
      <c r="C1550" s="664">
        <v>43.76</v>
      </c>
      <c r="D1550" s="12"/>
    </row>
    <row r="1551" spans="1:4" hidden="1" x14ac:dyDescent="0.2">
      <c r="A1551" s="662" t="s">
        <v>557</v>
      </c>
      <c r="B1551" s="661"/>
      <c r="C1551" s="660"/>
      <c r="D1551" s="12"/>
    </row>
    <row r="1552" spans="1:4" hidden="1" x14ac:dyDescent="0.2">
      <c r="A1552" s="659" t="s">
        <v>654</v>
      </c>
      <c r="B1552" s="658" t="s">
        <v>13</v>
      </c>
      <c r="C1552" s="657">
        <v>12.1</v>
      </c>
      <c r="D1552" s="12"/>
    </row>
    <row r="1553" spans="1:4" hidden="1" x14ac:dyDescent="0.2">
      <c r="A1553" s="666" t="s">
        <v>653</v>
      </c>
      <c r="B1553" s="665" t="s">
        <v>13</v>
      </c>
      <c r="C1553" s="664">
        <v>6.98</v>
      </c>
      <c r="D1553" s="12"/>
    </row>
    <row r="1554" spans="1:4" hidden="1" x14ac:dyDescent="0.2">
      <c r="A1554" s="659" t="s">
        <v>603</v>
      </c>
      <c r="B1554" s="658" t="s">
        <v>13</v>
      </c>
      <c r="C1554" s="657">
        <v>3.31</v>
      </c>
      <c r="D1554" s="12"/>
    </row>
    <row r="1555" spans="1:4" hidden="1" x14ac:dyDescent="0.2">
      <c r="A1555" s="666" t="s">
        <v>602</v>
      </c>
      <c r="B1555" s="665" t="s">
        <v>13</v>
      </c>
      <c r="C1555" s="664">
        <v>6.44</v>
      </c>
      <c r="D1555" s="12"/>
    </row>
    <row r="1556" spans="1:4" hidden="1" x14ac:dyDescent="0.2">
      <c r="A1556" s="659" t="s">
        <v>652</v>
      </c>
      <c r="B1556" s="658" t="s">
        <v>13</v>
      </c>
      <c r="C1556" s="657">
        <v>36.83</v>
      </c>
      <c r="D1556" s="12"/>
    </row>
    <row r="1557" spans="1:4" hidden="1" x14ac:dyDescent="0.2">
      <c r="A1557" s="666" t="s">
        <v>651</v>
      </c>
      <c r="B1557" s="665" t="s">
        <v>13</v>
      </c>
      <c r="C1557" s="664">
        <v>17.95</v>
      </c>
      <c r="D1557" s="12"/>
    </row>
    <row r="1558" spans="1:4" hidden="1" x14ac:dyDescent="0.2">
      <c r="A1558" s="659" t="s">
        <v>650</v>
      </c>
      <c r="B1558" s="658" t="s">
        <v>13</v>
      </c>
      <c r="C1558" s="657">
        <v>22.97</v>
      </c>
      <c r="D1558" s="12"/>
    </row>
    <row r="1559" spans="1:4" hidden="1" x14ac:dyDescent="0.2">
      <c r="A1559" s="666" t="s">
        <v>649</v>
      </c>
      <c r="B1559" s="665" t="s">
        <v>13</v>
      </c>
      <c r="C1559" s="664">
        <v>5.43</v>
      </c>
      <c r="D1559" s="12"/>
    </row>
    <row r="1560" spans="1:4" hidden="1" x14ac:dyDescent="0.2">
      <c r="A1560" s="659" t="s">
        <v>648</v>
      </c>
      <c r="B1560" s="658" t="s">
        <v>13</v>
      </c>
      <c r="C1560" s="657">
        <v>10.6</v>
      </c>
      <c r="D1560" s="12"/>
    </row>
    <row r="1561" spans="1:4" hidden="1" x14ac:dyDescent="0.2">
      <c r="A1561" s="666" t="s">
        <v>647</v>
      </c>
      <c r="B1561" s="665" t="s">
        <v>13</v>
      </c>
      <c r="C1561" s="664">
        <v>6.95</v>
      </c>
      <c r="D1561" s="12"/>
    </row>
    <row r="1562" spans="1:4" hidden="1" x14ac:dyDescent="0.2">
      <c r="A1562" s="659" t="s">
        <v>646</v>
      </c>
      <c r="B1562" s="658" t="s">
        <v>13</v>
      </c>
      <c r="C1562" s="657">
        <v>9.51</v>
      </c>
      <c r="D1562" s="12"/>
    </row>
    <row r="1563" spans="1:4" hidden="1" x14ac:dyDescent="0.2">
      <c r="A1563" s="666" t="s">
        <v>645</v>
      </c>
      <c r="B1563" s="665" t="s">
        <v>13</v>
      </c>
      <c r="C1563" s="664">
        <v>2.99</v>
      </c>
      <c r="D1563" s="12"/>
    </row>
    <row r="1564" spans="1:4" hidden="1" x14ac:dyDescent="0.2">
      <c r="A1564" s="662" t="s">
        <v>220</v>
      </c>
      <c r="B1564" s="661"/>
      <c r="C1564" s="660"/>
      <c r="D1564" s="12"/>
    </row>
    <row r="1565" spans="1:4" hidden="1" x14ac:dyDescent="0.2">
      <c r="A1565" s="659" t="s">
        <v>599</v>
      </c>
      <c r="B1565" s="658" t="s">
        <v>13</v>
      </c>
      <c r="C1565" s="657">
        <v>197.77</v>
      </c>
      <c r="D1565" s="12"/>
    </row>
    <row r="1566" spans="1:4" hidden="1" x14ac:dyDescent="0.2">
      <c r="A1566" s="666" t="s">
        <v>644</v>
      </c>
      <c r="B1566" s="665" t="s">
        <v>13</v>
      </c>
      <c r="C1566" s="664">
        <v>7.88</v>
      </c>
      <c r="D1566" s="12"/>
    </row>
    <row r="1567" spans="1:4" ht="25.5" hidden="1" x14ac:dyDescent="0.2">
      <c r="A1567" s="659" t="s">
        <v>643</v>
      </c>
      <c r="B1567" s="658" t="s">
        <v>13</v>
      </c>
      <c r="C1567" s="657">
        <v>2.82</v>
      </c>
      <c r="D1567" s="12"/>
    </row>
    <row r="1568" spans="1:4" hidden="1" x14ac:dyDescent="0.2">
      <c r="A1568" s="662" t="s">
        <v>598</v>
      </c>
      <c r="B1568" s="661"/>
      <c r="C1568" s="660"/>
      <c r="D1568" s="12"/>
    </row>
    <row r="1569" spans="1:4" hidden="1" x14ac:dyDescent="0.2">
      <c r="A1569" s="666" t="s">
        <v>642</v>
      </c>
      <c r="B1569" s="665" t="s">
        <v>13</v>
      </c>
      <c r="C1569" s="664">
        <v>5.27</v>
      </c>
      <c r="D1569" s="12"/>
    </row>
    <row r="1570" spans="1:4" hidden="1" x14ac:dyDescent="0.2">
      <c r="A1570" s="662" t="s">
        <v>576</v>
      </c>
      <c r="B1570" s="661"/>
      <c r="C1570" s="660"/>
      <c r="D1570" s="12"/>
    </row>
    <row r="1571" spans="1:4" hidden="1" x14ac:dyDescent="0.2">
      <c r="A1571" s="659" t="s">
        <v>575</v>
      </c>
      <c r="B1571" s="658" t="s">
        <v>13</v>
      </c>
      <c r="C1571" s="657">
        <v>546.5</v>
      </c>
      <c r="D1571" s="12"/>
    </row>
    <row r="1572" spans="1:4" hidden="1" x14ac:dyDescent="0.2">
      <c r="A1572" s="666" t="s">
        <v>574</v>
      </c>
      <c r="B1572" s="665" t="s">
        <v>13</v>
      </c>
      <c r="C1572" s="664">
        <v>153.68</v>
      </c>
      <c r="D1572" s="12"/>
    </row>
    <row r="1573" spans="1:4" hidden="1" x14ac:dyDescent="0.2">
      <c r="A1573" s="662" t="s">
        <v>573</v>
      </c>
      <c r="B1573" s="661"/>
      <c r="C1573" s="660"/>
      <c r="D1573" s="12"/>
    </row>
    <row r="1574" spans="1:4" hidden="1" x14ac:dyDescent="0.2">
      <c r="A1574" s="659" t="s">
        <v>572</v>
      </c>
      <c r="B1574" s="658" t="s">
        <v>13</v>
      </c>
      <c r="C1574" s="657">
        <v>700.18</v>
      </c>
      <c r="D1574" s="12"/>
    </row>
    <row r="1575" spans="1:4" hidden="1" x14ac:dyDescent="0.2">
      <c r="A1575" s="662" t="s">
        <v>224</v>
      </c>
      <c r="B1575" s="661"/>
      <c r="C1575" s="660"/>
      <c r="D1575" s="12"/>
    </row>
    <row r="1576" spans="1:4" hidden="1" x14ac:dyDescent="0.2">
      <c r="A1576" s="666" t="s">
        <v>571</v>
      </c>
      <c r="B1576" s="665" t="s">
        <v>13</v>
      </c>
      <c r="C1576" s="664">
        <v>45.24</v>
      </c>
      <c r="D1576" s="12"/>
    </row>
    <row r="1577" spans="1:4" hidden="1" x14ac:dyDescent="0.2">
      <c r="A1577" s="662" t="s">
        <v>218</v>
      </c>
      <c r="B1577" s="661"/>
      <c r="C1577" s="660"/>
      <c r="D1577" s="12"/>
    </row>
    <row r="1578" spans="1:4" hidden="1" x14ac:dyDescent="0.2">
      <c r="A1578" s="659" t="s">
        <v>570</v>
      </c>
      <c r="B1578" s="658" t="s">
        <v>13</v>
      </c>
      <c r="C1578" s="657">
        <v>37.35</v>
      </c>
      <c r="D1578" s="12"/>
    </row>
    <row r="1579" spans="1:4" hidden="1" x14ac:dyDescent="0.2">
      <c r="A1579" s="662" t="s">
        <v>219</v>
      </c>
      <c r="B1579" s="661"/>
      <c r="C1579" s="660"/>
      <c r="D1579" s="12"/>
    </row>
    <row r="1580" spans="1:4" hidden="1" x14ac:dyDescent="0.2">
      <c r="A1580" s="666" t="s">
        <v>641</v>
      </c>
      <c r="B1580" s="665" t="s">
        <v>13</v>
      </c>
      <c r="C1580" s="664">
        <v>187.88</v>
      </c>
      <c r="D1580" s="12"/>
    </row>
    <row r="1581" spans="1:4" hidden="1" x14ac:dyDescent="0.2">
      <c r="A1581" s="662" t="s">
        <v>222</v>
      </c>
      <c r="B1581" s="661"/>
      <c r="C1581" s="660"/>
      <c r="D1581" s="12"/>
    </row>
    <row r="1582" spans="1:4" hidden="1" x14ac:dyDescent="0.2">
      <c r="A1582" s="659" t="s">
        <v>640</v>
      </c>
      <c r="B1582" s="658" t="s">
        <v>13</v>
      </c>
      <c r="C1582" s="657">
        <v>93.11</v>
      </c>
      <c r="D1582" s="12"/>
    </row>
    <row r="1583" spans="1:4" hidden="1" x14ac:dyDescent="0.2">
      <c r="A1583" s="666" t="s">
        <v>639</v>
      </c>
      <c r="B1583" s="665" t="s">
        <v>13</v>
      </c>
      <c r="C1583" s="664">
        <v>23.38</v>
      </c>
      <c r="D1583" s="12"/>
    </row>
    <row r="1584" spans="1:4" hidden="1" x14ac:dyDescent="0.2">
      <c r="A1584" s="659" t="s">
        <v>638</v>
      </c>
      <c r="B1584" s="658" t="s">
        <v>13</v>
      </c>
      <c r="C1584" s="657">
        <v>8.48</v>
      </c>
      <c r="D1584" s="12"/>
    </row>
    <row r="1585" spans="1:4" hidden="1" x14ac:dyDescent="0.2">
      <c r="A1585" s="662" t="s">
        <v>637</v>
      </c>
      <c r="B1585" s="661"/>
      <c r="C1585" s="660"/>
      <c r="D1585" s="12"/>
    </row>
    <row r="1586" spans="1:4" hidden="1" x14ac:dyDescent="0.2">
      <c r="A1586" s="666" t="s">
        <v>636</v>
      </c>
      <c r="B1586" s="665" t="s">
        <v>13</v>
      </c>
      <c r="C1586" s="664">
        <v>63.69</v>
      </c>
      <c r="D1586" s="12"/>
    </row>
    <row r="1587" spans="1:4" hidden="1" x14ac:dyDescent="0.2">
      <c r="A1587" s="662" t="s">
        <v>635</v>
      </c>
      <c r="B1587" s="661"/>
      <c r="C1587" s="660"/>
      <c r="D1587" s="12"/>
    </row>
    <row r="1588" spans="1:4" hidden="1" x14ac:dyDescent="0.2">
      <c r="A1588" s="659" t="s">
        <v>634</v>
      </c>
      <c r="B1588" s="658" t="s">
        <v>3</v>
      </c>
      <c r="C1588" s="657">
        <v>158.85</v>
      </c>
      <c r="D1588" s="12"/>
    </row>
    <row r="1589" spans="1:4" hidden="1" x14ac:dyDescent="0.2">
      <c r="A1589" s="662" t="s">
        <v>346</v>
      </c>
      <c r="B1589" s="661"/>
      <c r="C1589" s="660"/>
      <c r="D1589" s="12"/>
    </row>
    <row r="1590" spans="1:4" hidden="1" x14ac:dyDescent="0.2">
      <c r="A1590" s="666" t="s">
        <v>633</v>
      </c>
      <c r="B1590" s="665" t="s">
        <v>13</v>
      </c>
      <c r="C1590" s="664">
        <v>0.85</v>
      </c>
      <c r="D1590" s="12"/>
    </row>
    <row r="1591" spans="1:4" hidden="1" x14ac:dyDescent="0.2">
      <c r="A1591" s="662" t="s">
        <v>217</v>
      </c>
      <c r="B1591" s="661"/>
      <c r="C1591" s="660"/>
      <c r="D1591" s="12"/>
    </row>
    <row r="1592" spans="1:4" hidden="1" x14ac:dyDescent="0.2">
      <c r="A1592" s="659" t="s">
        <v>632</v>
      </c>
      <c r="B1592" s="658" t="s">
        <v>13</v>
      </c>
      <c r="C1592" s="657">
        <v>3.2</v>
      </c>
      <c r="D1592" s="12"/>
    </row>
    <row r="1593" spans="1:4" hidden="1" x14ac:dyDescent="0.2">
      <c r="A1593" s="662" t="s">
        <v>215</v>
      </c>
      <c r="B1593" s="661"/>
      <c r="C1593" s="660"/>
      <c r="D1593" s="12"/>
    </row>
    <row r="1594" spans="1:4" hidden="1" x14ac:dyDescent="0.2">
      <c r="A1594" s="666" t="s">
        <v>631</v>
      </c>
      <c r="B1594" s="665" t="s">
        <v>13</v>
      </c>
      <c r="C1594" s="664">
        <v>58.23</v>
      </c>
      <c r="D1594" s="12"/>
    </row>
    <row r="1595" spans="1:4" hidden="1" x14ac:dyDescent="0.2">
      <c r="A1595" s="659" t="s">
        <v>630</v>
      </c>
      <c r="B1595" s="658" t="s">
        <v>13</v>
      </c>
      <c r="C1595" s="657">
        <v>108</v>
      </c>
      <c r="D1595" s="12"/>
    </row>
    <row r="1596" spans="1:4" hidden="1" x14ac:dyDescent="0.2">
      <c r="A1596" s="662" t="s">
        <v>231</v>
      </c>
      <c r="B1596" s="661"/>
      <c r="C1596" s="660"/>
      <c r="D1596" s="12"/>
    </row>
    <row r="1597" spans="1:4" hidden="1" x14ac:dyDescent="0.2">
      <c r="A1597" s="666" t="s">
        <v>595</v>
      </c>
      <c r="B1597" s="665" t="s">
        <v>13</v>
      </c>
      <c r="C1597" s="664">
        <v>6.72</v>
      </c>
      <c r="D1597" s="12"/>
    </row>
    <row r="1598" spans="1:4" hidden="1" x14ac:dyDescent="0.2">
      <c r="A1598" s="659" t="s">
        <v>629</v>
      </c>
      <c r="B1598" s="658" t="s">
        <v>13</v>
      </c>
      <c r="C1598" s="657">
        <v>7.88</v>
      </c>
      <c r="D1598" s="12"/>
    </row>
    <row r="1599" spans="1:4" hidden="1" x14ac:dyDescent="0.2">
      <c r="A1599" s="666" t="s">
        <v>594</v>
      </c>
      <c r="B1599" s="665" t="s">
        <v>13</v>
      </c>
      <c r="C1599" s="664">
        <v>17.21</v>
      </c>
      <c r="D1599" s="12"/>
    </row>
    <row r="1600" spans="1:4" hidden="1" x14ac:dyDescent="0.2">
      <c r="A1600" s="662" t="s">
        <v>569</v>
      </c>
      <c r="B1600" s="661"/>
      <c r="C1600" s="660"/>
      <c r="D1600" s="12"/>
    </row>
    <row r="1601" spans="1:4" hidden="1" x14ac:dyDescent="0.2">
      <c r="A1601" s="659" t="s">
        <v>628</v>
      </c>
      <c r="B1601" s="658" t="s">
        <v>13</v>
      </c>
      <c r="C1601" s="657">
        <v>31.33</v>
      </c>
      <c r="D1601" s="12"/>
    </row>
    <row r="1602" spans="1:4" hidden="1" x14ac:dyDescent="0.2">
      <c r="A1602" s="666" t="s">
        <v>627</v>
      </c>
      <c r="B1602" s="665" t="s">
        <v>13</v>
      </c>
      <c r="C1602" s="664">
        <v>420.78</v>
      </c>
      <c r="D1602" s="12"/>
    </row>
    <row r="1603" spans="1:4" hidden="1" x14ac:dyDescent="0.2">
      <c r="A1603" s="659" t="s">
        <v>626</v>
      </c>
      <c r="B1603" s="658" t="s">
        <v>13</v>
      </c>
      <c r="C1603" s="657">
        <v>2.93</v>
      </c>
      <c r="D1603" s="12"/>
    </row>
    <row r="1604" spans="1:4" hidden="1" x14ac:dyDescent="0.2">
      <c r="A1604" s="666" t="s">
        <v>592</v>
      </c>
      <c r="B1604" s="665" t="s">
        <v>13</v>
      </c>
      <c r="C1604" s="664">
        <v>78.91</v>
      </c>
      <c r="D1604" s="12"/>
    </row>
    <row r="1605" spans="1:4" hidden="1" x14ac:dyDescent="0.2">
      <c r="A1605" s="662" t="s">
        <v>567</v>
      </c>
      <c r="B1605" s="661"/>
      <c r="C1605" s="660"/>
      <c r="D1605" s="12"/>
    </row>
    <row r="1606" spans="1:4" hidden="1" x14ac:dyDescent="0.2">
      <c r="A1606" s="659" t="s">
        <v>566</v>
      </c>
      <c r="B1606" s="658" t="s">
        <v>13</v>
      </c>
      <c r="C1606" s="657">
        <v>225.23</v>
      </c>
      <c r="D1606" s="12"/>
    </row>
    <row r="1607" spans="1:4" hidden="1" x14ac:dyDescent="0.2">
      <c r="A1607" s="662" t="s">
        <v>235</v>
      </c>
      <c r="B1607" s="661"/>
      <c r="C1607" s="660"/>
      <c r="D1607" s="12"/>
    </row>
    <row r="1608" spans="1:4" hidden="1" x14ac:dyDescent="0.2">
      <c r="A1608" s="666" t="s">
        <v>554</v>
      </c>
      <c r="B1608" s="665" t="s">
        <v>3</v>
      </c>
      <c r="C1608" s="664">
        <v>108.4</v>
      </c>
      <c r="D1608" s="12"/>
    </row>
    <row r="1609" spans="1:4" hidden="1" x14ac:dyDescent="0.2">
      <c r="A1609" s="662" t="s">
        <v>236</v>
      </c>
      <c r="B1609" s="661"/>
      <c r="C1609" s="660"/>
      <c r="D1609" s="12"/>
    </row>
    <row r="1610" spans="1:4" hidden="1" x14ac:dyDescent="0.2">
      <c r="A1610" s="659" t="s">
        <v>591</v>
      </c>
      <c r="B1610" s="658" t="s">
        <v>13</v>
      </c>
      <c r="C1610" s="657">
        <v>1.04</v>
      </c>
      <c r="D1610" s="12"/>
    </row>
    <row r="1611" spans="1:4" hidden="1" x14ac:dyDescent="0.2">
      <c r="A1611" s="666" t="s">
        <v>590</v>
      </c>
      <c r="B1611" s="665" t="s">
        <v>13</v>
      </c>
      <c r="C1611" s="664">
        <v>1.04</v>
      </c>
      <c r="D1611" s="12"/>
    </row>
    <row r="1612" spans="1:4" hidden="1" x14ac:dyDescent="0.2">
      <c r="A1612" s="659" t="s">
        <v>625</v>
      </c>
      <c r="B1612" s="658" t="s">
        <v>13</v>
      </c>
      <c r="C1612" s="657">
        <v>2.25</v>
      </c>
      <c r="D1612" s="12"/>
    </row>
    <row r="1613" spans="1:4" hidden="1" x14ac:dyDescent="0.2">
      <c r="A1613" s="666" t="s">
        <v>624</v>
      </c>
      <c r="B1613" s="665" t="s">
        <v>13</v>
      </c>
      <c r="C1613" s="664">
        <v>8.86</v>
      </c>
      <c r="D1613" s="12"/>
    </row>
    <row r="1614" spans="1:4" hidden="1" x14ac:dyDescent="0.2">
      <c r="A1614" s="659" t="s">
        <v>623</v>
      </c>
      <c r="B1614" s="658" t="s">
        <v>3</v>
      </c>
      <c r="C1614" s="657">
        <v>2.5</v>
      </c>
      <c r="D1614" s="12"/>
    </row>
    <row r="1615" spans="1:4" hidden="1" x14ac:dyDescent="0.2">
      <c r="A1615" s="666" t="s">
        <v>622</v>
      </c>
      <c r="B1615" s="665" t="s">
        <v>3</v>
      </c>
      <c r="C1615" s="664">
        <v>7.4</v>
      </c>
      <c r="D1615" s="12"/>
    </row>
    <row r="1616" spans="1:4" hidden="1" x14ac:dyDescent="0.2">
      <c r="A1616" s="659" t="s">
        <v>621</v>
      </c>
      <c r="B1616" s="658" t="s">
        <v>13</v>
      </c>
      <c r="C1616" s="657">
        <v>0.36</v>
      </c>
      <c r="D1616" s="12"/>
    </row>
    <row r="1617" spans="1:4" hidden="1" x14ac:dyDescent="0.2">
      <c r="A1617" s="666" t="s">
        <v>620</v>
      </c>
      <c r="B1617" s="665" t="s">
        <v>13</v>
      </c>
      <c r="C1617" s="664">
        <v>1.18</v>
      </c>
      <c r="D1617" s="12"/>
    </row>
    <row r="1618" spans="1:4" hidden="1" x14ac:dyDescent="0.2">
      <c r="A1618" s="659" t="s">
        <v>619</v>
      </c>
      <c r="B1618" s="658" t="s">
        <v>13</v>
      </c>
      <c r="C1618" s="657">
        <v>4.03</v>
      </c>
      <c r="D1618" s="12"/>
    </row>
    <row r="1619" spans="1:4" hidden="1" x14ac:dyDescent="0.2">
      <c r="A1619" s="666" t="s">
        <v>618</v>
      </c>
      <c r="B1619" s="665" t="s">
        <v>13</v>
      </c>
      <c r="C1619" s="664">
        <v>11.09</v>
      </c>
      <c r="D1619" s="12"/>
    </row>
    <row r="1620" spans="1:4" hidden="1" x14ac:dyDescent="0.2">
      <c r="A1620" s="659" t="s">
        <v>617</v>
      </c>
      <c r="B1620" s="658" t="s">
        <v>13</v>
      </c>
      <c r="C1620" s="657">
        <v>0.05</v>
      </c>
      <c r="D1620" s="12"/>
    </row>
    <row r="1621" spans="1:4" hidden="1" x14ac:dyDescent="0.2">
      <c r="A1621" s="666" t="s">
        <v>616</v>
      </c>
      <c r="B1621" s="665" t="s">
        <v>13</v>
      </c>
      <c r="C1621" s="664">
        <v>0.89</v>
      </c>
      <c r="D1621" s="12"/>
    </row>
    <row r="1622" spans="1:4" hidden="1" x14ac:dyDescent="0.2">
      <c r="A1622" s="659" t="s">
        <v>615</v>
      </c>
      <c r="B1622" s="658" t="s">
        <v>13</v>
      </c>
      <c r="C1622" s="657">
        <v>0.02</v>
      </c>
      <c r="D1622" s="12"/>
    </row>
    <row r="1623" spans="1:4" hidden="1" x14ac:dyDescent="0.2">
      <c r="A1623" s="666" t="s">
        <v>614</v>
      </c>
      <c r="B1623" s="665" t="s">
        <v>13</v>
      </c>
      <c r="C1623" s="664">
        <v>0.38</v>
      </c>
      <c r="D1623" s="12"/>
    </row>
    <row r="1624" spans="1:4" hidden="1" x14ac:dyDescent="0.2">
      <c r="A1624" s="662" t="s">
        <v>240</v>
      </c>
      <c r="B1624" s="661"/>
      <c r="C1624" s="660"/>
      <c r="D1624" s="12"/>
    </row>
    <row r="1625" spans="1:4" hidden="1" x14ac:dyDescent="0.2">
      <c r="A1625" s="659" t="s">
        <v>613</v>
      </c>
      <c r="B1625" s="658" t="s">
        <v>3</v>
      </c>
      <c r="C1625" s="657">
        <v>14.53</v>
      </c>
      <c r="D1625" s="12"/>
    </row>
    <row r="1626" spans="1:4" hidden="1" x14ac:dyDescent="0.2">
      <c r="A1626" s="666" t="s">
        <v>612</v>
      </c>
      <c r="B1626" s="665" t="s">
        <v>2</v>
      </c>
      <c r="C1626" s="664">
        <v>8</v>
      </c>
      <c r="D1626" s="12"/>
    </row>
    <row r="1627" spans="1:4" hidden="1" x14ac:dyDescent="0.2">
      <c r="A1627" s="659" t="s">
        <v>611</v>
      </c>
      <c r="B1627" s="658" t="s">
        <v>2</v>
      </c>
      <c r="C1627" s="657">
        <v>6</v>
      </c>
      <c r="D1627" s="12"/>
    </row>
    <row r="1628" spans="1:4" hidden="1" x14ac:dyDescent="0.2">
      <c r="A1628" s="666" t="s">
        <v>610</v>
      </c>
      <c r="B1628" s="665" t="s">
        <v>2</v>
      </c>
      <c r="C1628" s="664">
        <v>3</v>
      </c>
      <c r="D1628" s="12"/>
    </row>
    <row r="1629" spans="1:4" hidden="1" x14ac:dyDescent="0.2">
      <c r="A1629" s="662" t="s">
        <v>244</v>
      </c>
      <c r="B1629" s="661"/>
      <c r="C1629" s="660"/>
      <c r="D1629" s="12"/>
    </row>
    <row r="1630" spans="1:4" hidden="1" x14ac:dyDescent="0.2">
      <c r="A1630" s="659" t="s">
        <v>586</v>
      </c>
      <c r="B1630" s="658" t="s">
        <v>2</v>
      </c>
      <c r="C1630" s="657">
        <v>1</v>
      </c>
      <c r="D1630" s="12"/>
    </row>
    <row r="1631" spans="1:4" hidden="1" x14ac:dyDescent="0.2">
      <c r="A1631" s="666" t="s">
        <v>585</v>
      </c>
      <c r="B1631" s="665" t="s">
        <v>2</v>
      </c>
      <c r="C1631" s="664">
        <v>1</v>
      </c>
      <c r="D1631" s="12"/>
    </row>
    <row r="1632" spans="1:4" hidden="1" x14ac:dyDescent="0.2">
      <c r="A1632" s="659" t="s">
        <v>609</v>
      </c>
      <c r="B1632" s="658" t="s">
        <v>2</v>
      </c>
      <c r="C1632" s="657">
        <v>2</v>
      </c>
      <c r="D1632" s="12"/>
    </row>
    <row r="1633" spans="1:4" hidden="1" x14ac:dyDescent="0.2">
      <c r="A1633" s="662" t="s">
        <v>552</v>
      </c>
      <c r="B1633" s="661"/>
      <c r="C1633" s="660"/>
      <c r="D1633" s="12"/>
    </row>
    <row r="1634" spans="1:4" hidden="1" x14ac:dyDescent="0.2">
      <c r="A1634" s="666" t="s">
        <v>551</v>
      </c>
      <c r="B1634" s="665" t="s">
        <v>13</v>
      </c>
      <c r="C1634" s="664">
        <v>87.85</v>
      </c>
      <c r="D1634" s="12"/>
    </row>
    <row r="1635" spans="1:4" hidden="1" x14ac:dyDescent="0.2">
      <c r="A1635" s="659" t="s">
        <v>565</v>
      </c>
      <c r="B1635" s="658" t="s">
        <v>13</v>
      </c>
      <c r="C1635" s="657">
        <v>82.74</v>
      </c>
      <c r="D1635" s="12"/>
    </row>
    <row r="1636" spans="1:4" hidden="1" x14ac:dyDescent="0.2">
      <c r="A1636" s="662" t="s">
        <v>550</v>
      </c>
      <c r="B1636" s="661"/>
      <c r="C1636" s="660"/>
      <c r="D1636" s="12"/>
    </row>
    <row r="1637" spans="1:4" hidden="1" x14ac:dyDescent="0.2">
      <c r="A1637" s="666" t="s">
        <v>549</v>
      </c>
      <c r="B1637" s="665" t="s">
        <v>13</v>
      </c>
      <c r="C1637" s="664">
        <v>170.59</v>
      </c>
      <c r="D1637" s="12"/>
    </row>
    <row r="1638" spans="1:4" hidden="1" x14ac:dyDescent="0.2">
      <c r="A1638" s="662" t="s">
        <v>273</v>
      </c>
      <c r="B1638" s="661"/>
      <c r="C1638" s="660"/>
      <c r="D1638" s="12"/>
    </row>
    <row r="1639" spans="1:4" hidden="1" x14ac:dyDescent="0.2">
      <c r="A1639" s="659" t="s">
        <v>564</v>
      </c>
      <c r="B1639" s="658" t="s">
        <v>13</v>
      </c>
      <c r="C1639" s="657">
        <v>77.59</v>
      </c>
      <c r="D1639" s="12"/>
    </row>
    <row r="1640" spans="1:4" hidden="1" x14ac:dyDescent="0.2">
      <c r="A1640" s="666" t="s">
        <v>608</v>
      </c>
      <c r="B1640" s="665" t="s">
        <v>13</v>
      </c>
      <c r="C1640" s="664">
        <v>6.04</v>
      </c>
      <c r="D1640" s="12"/>
    </row>
    <row r="1641" spans="1:4" hidden="1" x14ac:dyDescent="0.2">
      <c r="A1641" s="659" t="s">
        <v>607</v>
      </c>
      <c r="B1641" s="658" t="s">
        <v>13</v>
      </c>
      <c r="C1641" s="657">
        <v>5.14</v>
      </c>
      <c r="D1641" s="12"/>
    </row>
    <row r="1642" spans="1:4" hidden="1" x14ac:dyDescent="0.2">
      <c r="A1642" s="666" t="s">
        <v>548</v>
      </c>
      <c r="B1642" s="665" t="s">
        <v>13</v>
      </c>
      <c r="C1642" s="664">
        <v>81.819999999999993</v>
      </c>
      <c r="D1642" s="12"/>
    </row>
    <row r="1643" spans="1:4" hidden="1" x14ac:dyDescent="0.2">
      <c r="A1643" s="669" t="s">
        <v>665</v>
      </c>
      <c r="B1643" s="668"/>
      <c r="C1643" s="667"/>
      <c r="D1643" s="12"/>
    </row>
    <row r="1644" spans="1:4" hidden="1" x14ac:dyDescent="0.2">
      <c r="A1644" s="662" t="s">
        <v>208</v>
      </c>
      <c r="B1644" s="661"/>
      <c r="C1644" s="660"/>
      <c r="D1644" s="12"/>
    </row>
    <row r="1645" spans="1:4" hidden="1" x14ac:dyDescent="0.2">
      <c r="A1645" s="659" t="s">
        <v>656</v>
      </c>
      <c r="B1645" s="658" t="s">
        <v>13</v>
      </c>
      <c r="C1645" s="657">
        <v>3.54</v>
      </c>
      <c r="D1645" s="12"/>
    </row>
    <row r="1646" spans="1:4" hidden="1" x14ac:dyDescent="0.2">
      <c r="A1646" s="666" t="s">
        <v>562</v>
      </c>
      <c r="B1646" s="665" t="s">
        <v>13</v>
      </c>
      <c r="C1646" s="664">
        <v>195.56</v>
      </c>
      <c r="D1646" s="12"/>
    </row>
    <row r="1647" spans="1:4" hidden="1" x14ac:dyDescent="0.2">
      <c r="A1647" s="659" t="s">
        <v>581</v>
      </c>
      <c r="B1647" s="658" t="s">
        <v>13</v>
      </c>
      <c r="C1647" s="657">
        <v>81.11</v>
      </c>
      <c r="D1647" s="12"/>
    </row>
    <row r="1648" spans="1:4" hidden="1" x14ac:dyDescent="0.2">
      <c r="A1648" s="662" t="s">
        <v>376</v>
      </c>
      <c r="B1648" s="661"/>
      <c r="C1648" s="660"/>
      <c r="D1648" s="12"/>
    </row>
    <row r="1649" spans="1:4" hidden="1" x14ac:dyDescent="0.2">
      <c r="A1649" s="666" t="s">
        <v>655</v>
      </c>
      <c r="B1649" s="665" t="s">
        <v>13</v>
      </c>
      <c r="C1649" s="664">
        <v>29.04</v>
      </c>
      <c r="D1649" s="12"/>
    </row>
    <row r="1650" spans="1:4" hidden="1" x14ac:dyDescent="0.2">
      <c r="A1650" s="662" t="s">
        <v>605</v>
      </c>
      <c r="B1650" s="661"/>
      <c r="C1650" s="660"/>
      <c r="D1650" s="12"/>
    </row>
    <row r="1651" spans="1:4" hidden="1" x14ac:dyDescent="0.2">
      <c r="A1651" s="659" t="s">
        <v>604</v>
      </c>
      <c r="B1651" s="658" t="s">
        <v>13</v>
      </c>
      <c r="C1651" s="657">
        <v>85</v>
      </c>
      <c r="D1651" s="12"/>
    </row>
    <row r="1652" spans="1:4" hidden="1" x14ac:dyDescent="0.2">
      <c r="A1652" s="662" t="s">
        <v>561</v>
      </c>
      <c r="B1652" s="661"/>
      <c r="C1652" s="660"/>
      <c r="D1652" s="12"/>
    </row>
    <row r="1653" spans="1:4" hidden="1" x14ac:dyDescent="0.2">
      <c r="A1653" s="666" t="s">
        <v>580</v>
      </c>
      <c r="B1653" s="665" t="s">
        <v>3</v>
      </c>
      <c r="C1653" s="664">
        <v>172.96</v>
      </c>
      <c r="D1653" s="12"/>
    </row>
    <row r="1654" spans="1:4" hidden="1" x14ac:dyDescent="0.2">
      <c r="A1654" s="659" t="s">
        <v>560</v>
      </c>
      <c r="B1654" s="658" t="s">
        <v>13</v>
      </c>
      <c r="C1654" s="657">
        <v>197.13</v>
      </c>
      <c r="D1654" s="12"/>
    </row>
    <row r="1655" spans="1:4" hidden="1" x14ac:dyDescent="0.2">
      <c r="A1655" s="666" t="s">
        <v>559</v>
      </c>
      <c r="B1655" s="665" t="s">
        <v>3</v>
      </c>
      <c r="C1655" s="664">
        <v>98</v>
      </c>
      <c r="D1655" s="12"/>
    </row>
    <row r="1656" spans="1:4" hidden="1" x14ac:dyDescent="0.2">
      <c r="A1656" s="662" t="s">
        <v>212</v>
      </c>
      <c r="B1656" s="661"/>
      <c r="C1656" s="660"/>
      <c r="D1656" s="12"/>
    </row>
    <row r="1657" spans="1:4" hidden="1" x14ac:dyDescent="0.2">
      <c r="A1657" s="659" t="s">
        <v>579</v>
      </c>
      <c r="B1657" s="658" t="s">
        <v>13</v>
      </c>
      <c r="C1657" s="657">
        <v>43.76</v>
      </c>
      <c r="D1657" s="12"/>
    </row>
    <row r="1658" spans="1:4" hidden="1" x14ac:dyDescent="0.2">
      <c r="A1658" s="662" t="s">
        <v>557</v>
      </c>
      <c r="B1658" s="661"/>
      <c r="C1658" s="660"/>
      <c r="D1658" s="12"/>
    </row>
    <row r="1659" spans="1:4" hidden="1" x14ac:dyDescent="0.2">
      <c r="A1659" s="666" t="s">
        <v>654</v>
      </c>
      <c r="B1659" s="665" t="s">
        <v>13</v>
      </c>
      <c r="C1659" s="664">
        <v>12.1</v>
      </c>
      <c r="D1659" s="12"/>
    </row>
    <row r="1660" spans="1:4" hidden="1" x14ac:dyDescent="0.2">
      <c r="A1660" s="659" t="s">
        <v>653</v>
      </c>
      <c r="B1660" s="658" t="s">
        <v>13</v>
      </c>
      <c r="C1660" s="657">
        <v>6.98</v>
      </c>
      <c r="D1660" s="12"/>
    </row>
    <row r="1661" spans="1:4" hidden="1" x14ac:dyDescent="0.2">
      <c r="A1661" s="666" t="s">
        <v>603</v>
      </c>
      <c r="B1661" s="665" t="s">
        <v>13</v>
      </c>
      <c r="C1661" s="664">
        <v>3.31</v>
      </c>
      <c r="D1661" s="12"/>
    </row>
    <row r="1662" spans="1:4" hidden="1" x14ac:dyDescent="0.2">
      <c r="A1662" s="659" t="s">
        <v>602</v>
      </c>
      <c r="B1662" s="658" t="s">
        <v>13</v>
      </c>
      <c r="C1662" s="657">
        <v>6.44</v>
      </c>
      <c r="D1662" s="12"/>
    </row>
    <row r="1663" spans="1:4" hidden="1" x14ac:dyDescent="0.2">
      <c r="A1663" s="666" t="s">
        <v>652</v>
      </c>
      <c r="B1663" s="665" t="s">
        <v>13</v>
      </c>
      <c r="C1663" s="664">
        <v>36.83</v>
      </c>
      <c r="D1663" s="12"/>
    </row>
    <row r="1664" spans="1:4" hidden="1" x14ac:dyDescent="0.2">
      <c r="A1664" s="659" t="s">
        <v>651</v>
      </c>
      <c r="B1664" s="658" t="s">
        <v>13</v>
      </c>
      <c r="C1664" s="657">
        <v>17.95</v>
      </c>
      <c r="D1664" s="12"/>
    </row>
    <row r="1665" spans="1:4" hidden="1" x14ac:dyDescent="0.2">
      <c r="A1665" s="666" t="s">
        <v>650</v>
      </c>
      <c r="B1665" s="665" t="s">
        <v>13</v>
      </c>
      <c r="C1665" s="664">
        <v>22.97</v>
      </c>
      <c r="D1665" s="12"/>
    </row>
    <row r="1666" spans="1:4" hidden="1" x14ac:dyDescent="0.2">
      <c r="A1666" s="659" t="s">
        <v>649</v>
      </c>
      <c r="B1666" s="658" t="s">
        <v>13</v>
      </c>
      <c r="C1666" s="657">
        <v>5.43</v>
      </c>
      <c r="D1666" s="12"/>
    </row>
    <row r="1667" spans="1:4" hidden="1" x14ac:dyDescent="0.2">
      <c r="A1667" s="666" t="s">
        <v>648</v>
      </c>
      <c r="B1667" s="665" t="s">
        <v>13</v>
      </c>
      <c r="C1667" s="664">
        <v>10.6</v>
      </c>
      <c r="D1667" s="12"/>
    </row>
    <row r="1668" spans="1:4" hidden="1" x14ac:dyDescent="0.2">
      <c r="A1668" s="659" t="s">
        <v>647</v>
      </c>
      <c r="B1668" s="658" t="s">
        <v>13</v>
      </c>
      <c r="C1668" s="657">
        <v>6.95</v>
      </c>
      <c r="D1668" s="12"/>
    </row>
    <row r="1669" spans="1:4" hidden="1" x14ac:dyDescent="0.2">
      <c r="A1669" s="666" t="s">
        <v>646</v>
      </c>
      <c r="B1669" s="665" t="s">
        <v>13</v>
      </c>
      <c r="C1669" s="664">
        <v>9.51</v>
      </c>
      <c r="D1669" s="12"/>
    </row>
    <row r="1670" spans="1:4" hidden="1" x14ac:dyDescent="0.2">
      <c r="A1670" s="659" t="s">
        <v>645</v>
      </c>
      <c r="B1670" s="658" t="s">
        <v>13</v>
      </c>
      <c r="C1670" s="657">
        <v>2.99</v>
      </c>
      <c r="D1670" s="12"/>
    </row>
    <row r="1671" spans="1:4" hidden="1" x14ac:dyDescent="0.2">
      <c r="A1671" s="662" t="s">
        <v>220</v>
      </c>
      <c r="B1671" s="661"/>
      <c r="C1671" s="660"/>
      <c r="D1671" s="12"/>
    </row>
    <row r="1672" spans="1:4" hidden="1" x14ac:dyDescent="0.2">
      <c r="A1672" s="666" t="s">
        <v>599</v>
      </c>
      <c r="B1672" s="665" t="s">
        <v>13</v>
      </c>
      <c r="C1672" s="664">
        <v>197.77</v>
      </c>
      <c r="D1672" s="12"/>
    </row>
    <row r="1673" spans="1:4" hidden="1" x14ac:dyDescent="0.2">
      <c r="A1673" s="659" t="s">
        <v>644</v>
      </c>
      <c r="B1673" s="658" t="s">
        <v>13</v>
      </c>
      <c r="C1673" s="657">
        <v>7.88</v>
      </c>
      <c r="D1673" s="12"/>
    </row>
    <row r="1674" spans="1:4" ht="25.5" hidden="1" x14ac:dyDescent="0.2">
      <c r="A1674" s="666" t="s">
        <v>643</v>
      </c>
      <c r="B1674" s="665" t="s">
        <v>13</v>
      </c>
      <c r="C1674" s="664">
        <v>2.82</v>
      </c>
      <c r="D1674" s="12"/>
    </row>
    <row r="1675" spans="1:4" hidden="1" x14ac:dyDescent="0.2">
      <c r="A1675" s="662" t="s">
        <v>598</v>
      </c>
      <c r="B1675" s="661"/>
      <c r="C1675" s="660"/>
      <c r="D1675" s="12"/>
    </row>
    <row r="1676" spans="1:4" hidden="1" x14ac:dyDescent="0.2">
      <c r="A1676" s="659" t="s">
        <v>642</v>
      </c>
      <c r="B1676" s="658" t="s">
        <v>13</v>
      </c>
      <c r="C1676" s="657">
        <v>5.27</v>
      </c>
      <c r="D1676" s="12"/>
    </row>
    <row r="1677" spans="1:4" hidden="1" x14ac:dyDescent="0.2">
      <c r="A1677" s="662" t="s">
        <v>576</v>
      </c>
      <c r="B1677" s="661"/>
      <c r="C1677" s="660"/>
      <c r="D1677" s="12"/>
    </row>
    <row r="1678" spans="1:4" hidden="1" x14ac:dyDescent="0.2">
      <c r="A1678" s="666" t="s">
        <v>575</v>
      </c>
      <c r="B1678" s="665" t="s">
        <v>13</v>
      </c>
      <c r="C1678" s="664">
        <v>546.5</v>
      </c>
      <c r="D1678" s="12"/>
    </row>
    <row r="1679" spans="1:4" hidden="1" x14ac:dyDescent="0.2">
      <c r="A1679" s="659" t="s">
        <v>574</v>
      </c>
      <c r="B1679" s="658" t="s">
        <v>13</v>
      </c>
      <c r="C1679" s="657">
        <v>153.68</v>
      </c>
      <c r="D1679" s="12"/>
    </row>
    <row r="1680" spans="1:4" hidden="1" x14ac:dyDescent="0.2">
      <c r="A1680" s="662" t="s">
        <v>573</v>
      </c>
      <c r="B1680" s="661"/>
      <c r="C1680" s="660"/>
      <c r="D1680" s="12"/>
    </row>
    <row r="1681" spans="1:4" hidden="1" x14ac:dyDescent="0.2">
      <c r="A1681" s="666" t="s">
        <v>572</v>
      </c>
      <c r="B1681" s="665" t="s">
        <v>13</v>
      </c>
      <c r="C1681" s="664">
        <v>700.18</v>
      </c>
      <c r="D1681" s="12"/>
    </row>
    <row r="1682" spans="1:4" hidden="1" x14ac:dyDescent="0.2">
      <c r="A1682" s="662" t="s">
        <v>224</v>
      </c>
      <c r="B1682" s="661"/>
      <c r="C1682" s="660"/>
      <c r="D1682" s="12"/>
    </row>
    <row r="1683" spans="1:4" hidden="1" x14ac:dyDescent="0.2">
      <c r="A1683" s="659" t="s">
        <v>571</v>
      </c>
      <c r="B1683" s="658" t="s">
        <v>13</v>
      </c>
      <c r="C1683" s="657">
        <v>45.24</v>
      </c>
      <c r="D1683" s="12"/>
    </row>
    <row r="1684" spans="1:4" hidden="1" x14ac:dyDescent="0.2">
      <c r="A1684" s="662" t="s">
        <v>218</v>
      </c>
      <c r="B1684" s="661"/>
      <c r="C1684" s="660"/>
      <c r="D1684" s="12"/>
    </row>
    <row r="1685" spans="1:4" hidden="1" x14ac:dyDescent="0.2">
      <c r="A1685" s="666" t="s">
        <v>570</v>
      </c>
      <c r="B1685" s="665" t="s">
        <v>13</v>
      </c>
      <c r="C1685" s="664">
        <v>37.35</v>
      </c>
      <c r="D1685" s="12"/>
    </row>
    <row r="1686" spans="1:4" hidden="1" x14ac:dyDescent="0.2">
      <c r="A1686" s="662" t="s">
        <v>219</v>
      </c>
      <c r="B1686" s="661"/>
      <c r="C1686" s="660"/>
      <c r="D1686" s="12"/>
    </row>
    <row r="1687" spans="1:4" hidden="1" x14ac:dyDescent="0.2">
      <c r="A1687" s="659" t="s">
        <v>641</v>
      </c>
      <c r="B1687" s="658" t="s">
        <v>13</v>
      </c>
      <c r="C1687" s="657">
        <v>187.88</v>
      </c>
      <c r="D1687" s="12"/>
    </row>
    <row r="1688" spans="1:4" hidden="1" x14ac:dyDescent="0.2">
      <c r="A1688" s="662" t="s">
        <v>222</v>
      </c>
      <c r="B1688" s="661"/>
      <c r="C1688" s="660"/>
      <c r="D1688" s="12"/>
    </row>
    <row r="1689" spans="1:4" hidden="1" x14ac:dyDescent="0.2">
      <c r="A1689" s="666" t="s">
        <v>640</v>
      </c>
      <c r="B1689" s="665" t="s">
        <v>13</v>
      </c>
      <c r="C1689" s="664">
        <v>93.11</v>
      </c>
      <c r="D1689" s="12"/>
    </row>
    <row r="1690" spans="1:4" hidden="1" x14ac:dyDescent="0.2">
      <c r="A1690" s="659" t="s">
        <v>639</v>
      </c>
      <c r="B1690" s="658" t="s">
        <v>13</v>
      </c>
      <c r="C1690" s="657">
        <v>23.38</v>
      </c>
      <c r="D1690" s="12"/>
    </row>
    <row r="1691" spans="1:4" hidden="1" x14ac:dyDescent="0.2">
      <c r="A1691" s="666" t="s">
        <v>638</v>
      </c>
      <c r="B1691" s="665" t="s">
        <v>13</v>
      </c>
      <c r="C1691" s="664">
        <v>8.48</v>
      </c>
      <c r="D1691" s="12"/>
    </row>
    <row r="1692" spans="1:4" hidden="1" x14ac:dyDescent="0.2">
      <c r="A1692" s="662" t="s">
        <v>637</v>
      </c>
      <c r="B1692" s="661"/>
      <c r="C1692" s="660"/>
      <c r="D1692" s="12"/>
    </row>
    <row r="1693" spans="1:4" hidden="1" x14ac:dyDescent="0.2">
      <c r="A1693" s="659" t="s">
        <v>636</v>
      </c>
      <c r="B1693" s="658" t="s">
        <v>13</v>
      </c>
      <c r="C1693" s="657">
        <v>63.69</v>
      </c>
      <c r="D1693" s="12"/>
    </row>
    <row r="1694" spans="1:4" hidden="1" x14ac:dyDescent="0.2">
      <c r="A1694" s="662" t="s">
        <v>635</v>
      </c>
      <c r="B1694" s="661"/>
      <c r="C1694" s="660"/>
      <c r="D1694" s="12"/>
    </row>
    <row r="1695" spans="1:4" hidden="1" x14ac:dyDescent="0.2">
      <c r="A1695" s="666" t="s">
        <v>634</v>
      </c>
      <c r="B1695" s="665" t="s">
        <v>3</v>
      </c>
      <c r="C1695" s="664">
        <v>158.85</v>
      </c>
      <c r="D1695" s="12"/>
    </row>
    <row r="1696" spans="1:4" hidden="1" x14ac:dyDescent="0.2">
      <c r="A1696" s="662" t="s">
        <v>346</v>
      </c>
      <c r="B1696" s="661"/>
      <c r="C1696" s="660"/>
      <c r="D1696" s="12"/>
    </row>
    <row r="1697" spans="1:4" hidden="1" x14ac:dyDescent="0.2">
      <c r="A1697" s="659" t="s">
        <v>633</v>
      </c>
      <c r="B1697" s="658" t="s">
        <v>13</v>
      </c>
      <c r="C1697" s="657">
        <v>0.85</v>
      </c>
      <c r="D1697" s="12"/>
    </row>
    <row r="1698" spans="1:4" hidden="1" x14ac:dyDescent="0.2">
      <c r="A1698" s="662" t="s">
        <v>217</v>
      </c>
      <c r="B1698" s="661"/>
      <c r="C1698" s="660"/>
      <c r="D1698" s="12"/>
    </row>
    <row r="1699" spans="1:4" hidden="1" x14ac:dyDescent="0.2">
      <c r="A1699" s="666" t="s">
        <v>632</v>
      </c>
      <c r="B1699" s="665" t="s">
        <v>13</v>
      </c>
      <c r="C1699" s="664">
        <v>3.2</v>
      </c>
      <c r="D1699" s="12"/>
    </row>
    <row r="1700" spans="1:4" hidden="1" x14ac:dyDescent="0.2">
      <c r="A1700" s="662" t="s">
        <v>215</v>
      </c>
      <c r="B1700" s="661"/>
      <c r="C1700" s="660"/>
      <c r="D1700" s="12"/>
    </row>
    <row r="1701" spans="1:4" hidden="1" x14ac:dyDescent="0.2">
      <c r="A1701" s="659" t="s">
        <v>631</v>
      </c>
      <c r="B1701" s="658" t="s">
        <v>13</v>
      </c>
      <c r="C1701" s="657">
        <v>58.23</v>
      </c>
      <c r="D1701" s="12"/>
    </row>
    <row r="1702" spans="1:4" hidden="1" x14ac:dyDescent="0.2">
      <c r="A1702" s="666" t="s">
        <v>630</v>
      </c>
      <c r="B1702" s="665" t="s">
        <v>13</v>
      </c>
      <c r="C1702" s="664">
        <v>108</v>
      </c>
      <c r="D1702" s="12"/>
    </row>
    <row r="1703" spans="1:4" hidden="1" x14ac:dyDescent="0.2">
      <c r="A1703" s="662" t="s">
        <v>231</v>
      </c>
      <c r="B1703" s="661"/>
      <c r="C1703" s="660"/>
      <c r="D1703" s="12"/>
    </row>
    <row r="1704" spans="1:4" hidden="1" x14ac:dyDescent="0.2">
      <c r="A1704" s="659" t="s">
        <v>595</v>
      </c>
      <c r="B1704" s="658" t="s">
        <v>13</v>
      </c>
      <c r="C1704" s="657">
        <v>6.72</v>
      </c>
      <c r="D1704" s="12"/>
    </row>
    <row r="1705" spans="1:4" hidden="1" x14ac:dyDescent="0.2">
      <c r="A1705" s="666" t="s">
        <v>629</v>
      </c>
      <c r="B1705" s="665" t="s">
        <v>13</v>
      </c>
      <c r="C1705" s="664">
        <v>7.88</v>
      </c>
      <c r="D1705" s="12"/>
    </row>
    <row r="1706" spans="1:4" hidden="1" x14ac:dyDescent="0.2">
      <c r="A1706" s="659" t="s">
        <v>594</v>
      </c>
      <c r="B1706" s="658" t="s">
        <v>13</v>
      </c>
      <c r="C1706" s="657">
        <v>17.21</v>
      </c>
      <c r="D1706" s="12"/>
    </row>
    <row r="1707" spans="1:4" hidden="1" x14ac:dyDescent="0.2">
      <c r="A1707" s="662" t="s">
        <v>569</v>
      </c>
      <c r="B1707" s="661"/>
      <c r="C1707" s="660"/>
      <c r="D1707" s="12"/>
    </row>
    <row r="1708" spans="1:4" hidden="1" x14ac:dyDescent="0.2">
      <c r="A1708" s="666" t="s">
        <v>628</v>
      </c>
      <c r="B1708" s="665" t="s">
        <v>13</v>
      </c>
      <c r="C1708" s="664">
        <v>31.33</v>
      </c>
      <c r="D1708" s="12"/>
    </row>
    <row r="1709" spans="1:4" hidden="1" x14ac:dyDescent="0.2">
      <c r="A1709" s="659" t="s">
        <v>627</v>
      </c>
      <c r="B1709" s="658" t="s">
        <v>13</v>
      </c>
      <c r="C1709" s="657">
        <v>420.78</v>
      </c>
      <c r="D1709" s="12"/>
    </row>
    <row r="1710" spans="1:4" hidden="1" x14ac:dyDescent="0.2">
      <c r="A1710" s="666" t="s">
        <v>626</v>
      </c>
      <c r="B1710" s="665" t="s">
        <v>13</v>
      </c>
      <c r="C1710" s="664">
        <v>2.93</v>
      </c>
      <c r="D1710" s="12"/>
    </row>
    <row r="1711" spans="1:4" hidden="1" x14ac:dyDescent="0.2">
      <c r="A1711" s="659" t="s">
        <v>592</v>
      </c>
      <c r="B1711" s="658" t="s">
        <v>13</v>
      </c>
      <c r="C1711" s="657">
        <v>78.91</v>
      </c>
      <c r="D1711" s="12"/>
    </row>
    <row r="1712" spans="1:4" hidden="1" x14ac:dyDescent="0.2">
      <c r="A1712" s="662" t="s">
        <v>567</v>
      </c>
      <c r="B1712" s="661"/>
      <c r="C1712" s="660"/>
      <c r="D1712" s="12"/>
    </row>
    <row r="1713" spans="1:4" hidden="1" x14ac:dyDescent="0.2">
      <c r="A1713" s="666" t="s">
        <v>566</v>
      </c>
      <c r="B1713" s="665" t="s">
        <v>13</v>
      </c>
      <c r="C1713" s="664">
        <v>225.23</v>
      </c>
      <c r="D1713" s="12"/>
    </row>
    <row r="1714" spans="1:4" hidden="1" x14ac:dyDescent="0.2">
      <c r="A1714" s="662" t="s">
        <v>235</v>
      </c>
      <c r="B1714" s="661"/>
      <c r="C1714" s="660"/>
      <c r="D1714" s="12"/>
    </row>
    <row r="1715" spans="1:4" hidden="1" x14ac:dyDescent="0.2">
      <c r="A1715" s="659" t="s">
        <v>554</v>
      </c>
      <c r="B1715" s="658" t="s">
        <v>3</v>
      </c>
      <c r="C1715" s="657">
        <v>108.4</v>
      </c>
      <c r="D1715" s="12"/>
    </row>
    <row r="1716" spans="1:4" hidden="1" x14ac:dyDescent="0.2">
      <c r="A1716" s="662" t="s">
        <v>236</v>
      </c>
      <c r="B1716" s="661"/>
      <c r="C1716" s="660"/>
      <c r="D1716" s="12"/>
    </row>
    <row r="1717" spans="1:4" hidden="1" x14ac:dyDescent="0.2">
      <c r="A1717" s="666" t="s">
        <v>591</v>
      </c>
      <c r="B1717" s="665" t="s">
        <v>13</v>
      </c>
      <c r="C1717" s="664">
        <v>1.04</v>
      </c>
      <c r="D1717" s="12"/>
    </row>
    <row r="1718" spans="1:4" hidden="1" x14ac:dyDescent="0.2">
      <c r="A1718" s="659" t="s">
        <v>590</v>
      </c>
      <c r="B1718" s="658" t="s">
        <v>13</v>
      </c>
      <c r="C1718" s="657">
        <v>1.04</v>
      </c>
      <c r="D1718" s="12"/>
    </row>
    <row r="1719" spans="1:4" hidden="1" x14ac:dyDescent="0.2">
      <c r="A1719" s="666" t="s">
        <v>625</v>
      </c>
      <c r="B1719" s="665" t="s">
        <v>13</v>
      </c>
      <c r="C1719" s="664">
        <v>2.25</v>
      </c>
      <c r="D1719" s="12"/>
    </row>
    <row r="1720" spans="1:4" hidden="1" x14ac:dyDescent="0.2">
      <c r="A1720" s="659" t="s">
        <v>624</v>
      </c>
      <c r="B1720" s="658" t="s">
        <v>13</v>
      </c>
      <c r="C1720" s="657">
        <v>8.86</v>
      </c>
      <c r="D1720" s="12"/>
    </row>
    <row r="1721" spans="1:4" hidden="1" x14ac:dyDescent="0.2">
      <c r="A1721" s="666" t="s">
        <v>623</v>
      </c>
      <c r="B1721" s="665" t="s">
        <v>3</v>
      </c>
      <c r="C1721" s="664">
        <v>2.5</v>
      </c>
      <c r="D1721" s="12"/>
    </row>
    <row r="1722" spans="1:4" hidden="1" x14ac:dyDescent="0.2">
      <c r="A1722" s="659" t="s">
        <v>622</v>
      </c>
      <c r="B1722" s="658" t="s">
        <v>3</v>
      </c>
      <c r="C1722" s="657">
        <v>7.4</v>
      </c>
      <c r="D1722" s="12"/>
    </row>
    <row r="1723" spans="1:4" hidden="1" x14ac:dyDescent="0.2">
      <c r="A1723" s="666" t="s">
        <v>621</v>
      </c>
      <c r="B1723" s="665" t="s">
        <v>13</v>
      </c>
      <c r="C1723" s="664">
        <v>0.36</v>
      </c>
      <c r="D1723" s="12"/>
    </row>
    <row r="1724" spans="1:4" hidden="1" x14ac:dyDescent="0.2">
      <c r="A1724" s="659" t="s">
        <v>620</v>
      </c>
      <c r="B1724" s="658" t="s">
        <v>13</v>
      </c>
      <c r="C1724" s="657">
        <v>1.18</v>
      </c>
      <c r="D1724" s="12"/>
    </row>
    <row r="1725" spans="1:4" hidden="1" x14ac:dyDescent="0.2">
      <c r="A1725" s="666" t="s">
        <v>619</v>
      </c>
      <c r="B1725" s="665" t="s">
        <v>13</v>
      </c>
      <c r="C1725" s="664">
        <v>4.03</v>
      </c>
      <c r="D1725" s="12"/>
    </row>
    <row r="1726" spans="1:4" hidden="1" x14ac:dyDescent="0.2">
      <c r="A1726" s="659" t="s">
        <v>618</v>
      </c>
      <c r="B1726" s="658" t="s">
        <v>13</v>
      </c>
      <c r="C1726" s="657">
        <v>11.09</v>
      </c>
      <c r="D1726" s="12"/>
    </row>
    <row r="1727" spans="1:4" hidden="1" x14ac:dyDescent="0.2">
      <c r="A1727" s="666" t="s">
        <v>617</v>
      </c>
      <c r="B1727" s="665" t="s">
        <v>13</v>
      </c>
      <c r="C1727" s="664">
        <v>0.05</v>
      </c>
      <c r="D1727" s="12"/>
    </row>
    <row r="1728" spans="1:4" hidden="1" x14ac:dyDescent="0.2">
      <c r="A1728" s="659" t="s">
        <v>616</v>
      </c>
      <c r="B1728" s="658" t="s">
        <v>13</v>
      </c>
      <c r="C1728" s="657">
        <v>0.89</v>
      </c>
      <c r="D1728" s="12"/>
    </row>
    <row r="1729" spans="1:4" hidden="1" x14ac:dyDescent="0.2">
      <c r="A1729" s="666" t="s">
        <v>615</v>
      </c>
      <c r="B1729" s="665" t="s">
        <v>13</v>
      </c>
      <c r="C1729" s="664">
        <v>0.02</v>
      </c>
      <c r="D1729" s="12"/>
    </row>
    <row r="1730" spans="1:4" hidden="1" x14ac:dyDescent="0.2">
      <c r="A1730" s="659" t="s">
        <v>614</v>
      </c>
      <c r="B1730" s="658" t="s">
        <v>13</v>
      </c>
      <c r="C1730" s="657">
        <v>0.38</v>
      </c>
      <c r="D1730" s="12"/>
    </row>
    <row r="1731" spans="1:4" hidden="1" x14ac:dyDescent="0.2">
      <c r="A1731" s="662" t="s">
        <v>240</v>
      </c>
      <c r="B1731" s="661"/>
      <c r="C1731" s="660"/>
      <c r="D1731" s="12"/>
    </row>
    <row r="1732" spans="1:4" hidden="1" x14ac:dyDescent="0.2">
      <c r="A1732" s="666" t="s">
        <v>613</v>
      </c>
      <c r="B1732" s="665" t="s">
        <v>3</v>
      </c>
      <c r="C1732" s="664">
        <v>14.53</v>
      </c>
      <c r="D1732" s="12"/>
    </row>
    <row r="1733" spans="1:4" hidden="1" x14ac:dyDescent="0.2">
      <c r="A1733" s="659" t="s">
        <v>612</v>
      </c>
      <c r="B1733" s="658" t="s">
        <v>2</v>
      </c>
      <c r="C1733" s="657">
        <v>8</v>
      </c>
      <c r="D1733" s="12"/>
    </row>
    <row r="1734" spans="1:4" hidden="1" x14ac:dyDescent="0.2">
      <c r="A1734" s="666" t="s">
        <v>611</v>
      </c>
      <c r="B1734" s="665" t="s">
        <v>2</v>
      </c>
      <c r="C1734" s="664">
        <v>6</v>
      </c>
      <c r="D1734" s="12"/>
    </row>
    <row r="1735" spans="1:4" hidden="1" x14ac:dyDescent="0.2">
      <c r="A1735" s="659" t="s">
        <v>610</v>
      </c>
      <c r="B1735" s="658" t="s">
        <v>2</v>
      </c>
      <c r="C1735" s="657">
        <v>3</v>
      </c>
      <c r="D1735" s="12"/>
    </row>
    <row r="1736" spans="1:4" hidden="1" x14ac:dyDescent="0.2">
      <c r="A1736" s="662" t="s">
        <v>244</v>
      </c>
      <c r="B1736" s="661"/>
      <c r="C1736" s="660"/>
      <c r="D1736" s="12"/>
    </row>
    <row r="1737" spans="1:4" hidden="1" x14ac:dyDescent="0.2">
      <c r="A1737" s="666" t="s">
        <v>586</v>
      </c>
      <c r="B1737" s="665" t="s">
        <v>2</v>
      </c>
      <c r="C1737" s="664">
        <v>1</v>
      </c>
      <c r="D1737" s="12"/>
    </row>
    <row r="1738" spans="1:4" hidden="1" x14ac:dyDescent="0.2">
      <c r="A1738" s="659" t="s">
        <v>585</v>
      </c>
      <c r="B1738" s="658" t="s">
        <v>2</v>
      </c>
      <c r="C1738" s="657">
        <v>1</v>
      </c>
      <c r="D1738" s="12"/>
    </row>
    <row r="1739" spans="1:4" hidden="1" x14ac:dyDescent="0.2">
      <c r="A1739" s="666" t="s">
        <v>609</v>
      </c>
      <c r="B1739" s="665" t="s">
        <v>2</v>
      </c>
      <c r="C1739" s="664">
        <v>2</v>
      </c>
      <c r="D1739" s="12"/>
    </row>
    <row r="1740" spans="1:4" hidden="1" x14ac:dyDescent="0.2">
      <c r="A1740" s="662" t="s">
        <v>552</v>
      </c>
      <c r="B1740" s="661"/>
      <c r="C1740" s="660"/>
      <c r="D1740" s="12"/>
    </row>
    <row r="1741" spans="1:4" hidden="1" x14ac:dyDescent="0.2">
      <c r="A1741" s="659" t="s">
        <v>551</v>
      </c>
      <c r="B1741" s="658" t="s">
        <v>13</v>
      </c>
      <c r="C1741" s="657">
        <v>89.87</v>
      </c>
      <c r="D1741" s="12"/>
    </row>
    <row r="1742" spans="1:4" hidden="1" x14ac:dyDescent="0.2">
      <c r="A1742" s="666" t="s">
        <v>565</v>
      </c>
      <c r="B1742" s="665" t="s">
        <v>13</v>
      </c>
      <c r="C1742" s="664">
        <v>82.74</v>
      </c>
      <c r="D1742" s="12"/>
    </row>
    <row r="1743" spans="1:4" hidden="1" x14ac:dyDescent="0.2">
      <c r="A1743" s="662" t="s">
        <v>550</v>
      </c>
      <c r="B1743" s="661"/>
      <c r="C1743" s="660"/>
      <c r="D1743" s="12"/>
    </row>
    <row r="1744" spans="1:4" hidden="1" x14ac:dyDescent="0.2">
      <c r="A1744" s="659" t="s">
        <v>549</v>
      </c>
      <c r="B1744" s="658" t="s">
        <v>13</v>
      </c>
      <c r="C1744" s="657">
        <v>172.6</v>
      </c>
      <c r="D1744" s="12"/>
    </row>
    <row r="1745" spans="1:4" hidden="1" x14ac:dyDescent="0.2">
      <c r="A1745" s="662" t="s">
        <v>273</v>
      </c>
      <c r="B1745" s="661"/>
      <c r="C1745" s="660"/>
      <c r="D1745" s="12"/>
    </row>
    <row r="1746" spans="1:4" hidden="1" x14ac:dyDescent="0.2">
      <c r="A1746" s="666" t="s">
        <v>564</v>
      </c>
      <c r="B1746" s="665" t="s">
        <v>13</v>
      </c>
      <c r="C1746" s="664">
        <v>77.59</v>
      </c>
      <c r="D1746" s="12"/>
    </row>
    <row r="1747" spans="1:4" hidden="1" x14ac:dyDescent="0.2">
      <c r="A1747" s="659" t="s">
        <v>608</v>
      </c>
      <c r="B1747" s="658" t="s">
        <v>13</v>
      </c>
      <c r="C1747" s="657">
        <v>8.0500000000000007</v>
      </c>
      <c r="D1747" s="12"/>
    </row>
    <row r="1748" spans="1:4" hidden="1" x14ac:dyDescent="0.2">
      <c r="A1748" s="666" t="s">
        <v>607</v>
      </c>
      <c r="B1748" s="665" t="s">
        <v>13</v>
      </c>
      <c r="C1748" s="664">
        <v>5.14</v>
      </c>
      <c r="D1748" s="12"/>
    </row>
    <row r="1749" spans="1:4" hidden="1" x14ac:dyDescent="0.2">
      <c r="A1749" s="659" t="s">
        <v>548</v>
      </c>
      <c r="B1749" s="658" t="s">
        <v>13</v>
      </c>
      <c r="C1749" s="657">
        <v>81.819999999999993</v>
      </c>
      <c r="D1749" s="12"/>
    </row>
    <row r="1750" spans="1:4" hidden="1" x14ac:dyDescent="0.2">
      <c r="A1750" s="669" t="s">
        <v>664</v>
      </c>
      <c r="B1750" s="668"/>
      <c r="C1750" s="667"/>
      <c r="D1750" s="12"/>
    </row>
    <row r="1751" spans="1:4" hidden="1" x14ac:dyDescent="0.2">
      <c r="A1751" s="662" t="s">
        <v>208</v>
      </c>
      <c r="B1751" s="661"/>
      <c r="C1751" s="660"/>
      <c r="D1751" s="12"/>
    </row>
    <row r="1752" spans="1:4" hidden="1" x14ac:dyDescent="0.2">
      <c r="A1752" s="666" t="s">
        <v>656</v>
      </c>
      <c r="B1752" s="665" t="s">
        <v>13</v>
      </c>
      <c r="C1752" s="664">
        <v>3.54</v>
      </c>
      <c r="D1752" s="12"/>
    </row>
    <row r="1753" spans="1:4" hidden="1" x14ac:dyDescent="0.2">
      <c r="A1753" s="659" t="s">
        <v>562</v>
      </c>
      <c r="B1753" s="658" t="s">
        <v>13</v>
      </c>
      <c r="C1753" s="657">
        <v>195.56</v>
      </c>
      <c r="D1753" s="12"/>
    </row>
    <row r="1754" spans="1:4" hidden="1" x14ac:dyDescent="0.2">
      <c r="A1754" s="666" t="s">
        <v>581</v>
      </c>
      <c r="B1754" s="665" t="s">
        <v>13</v>
      </c>
      <c r="C1754" s="664">
        <v>81.11</v>
      </c>
      <c r="D1754" s="12"/>
    </row>
    <row r="1755" spans="1:4" hidden="1" x14ac:dyDescent="0.2">
      <c r="A1755" s="662" t="s">
        <v>376</v>
      </c>
      <c r="B1755" s="661"/>
      <c r="C1755" s="660"/>
      <c r="D1755" s="12"/>
    </row>
    <row r="1756" spans="1:4" hidden="1" x14ac:dyDescent="0.2">
      <c r="A1756" s="659" t="s">
        <v>655</v>
      </c>
      <c r="B1756" s="658" t="s">
        <v>13</v>
      </c>
      <c r="C1756" s="657">
        <v>29.04</v>
      </c>
      <c r="D1756" s="12"/>
    </row>
    <row r="1757" spans="1:4" hidden="1" x14ac:dyDescent="0.2">
      <c r="A1757" s="662" t="s">
        <v>605</v>
      </c>
      <c r="B1757" s="661"/>
      <c r="C1757" s="660"/>
      <c r="D1757" s="12"/>
    </row>
    <row r="1758" spans="1:4" hidden="1" x14ac:dyDescent="0.2">
      <c r="A1758" s="666" t="s">
        <v>604</v>
      </c>
      <c r="B1758" s="665" t="s">
        <v>13</v>
      </c>
      <c r="C1758" s="664">
        <v>85</v>
      </c>
      <c r="D1758" s="12"/>
    </row>
    <row r="1759" spans="1:4" hidden="1" x14ac:dyDescent="0.2">
      <c r="A1759" s="662" t="s">
        <v>561</v>
      </c>
      <c r="B1759" s="661"/>
      <c r="C1759" s="660"/>
      <c r="D1759" s="12"/>
    </row>
    <row r="1760" spans="1:4" hidden="1" x14ac:dyDescent="0.2">
      <c r="A1760" s="659" t="s">
        <v>580</v>
      </c>
      <c r="B1760" s="658" t="s">
        <v>3</v>
      </c>
      <c r="C1760" s="657">
        <v>172.95</v>
      </c>
      <c r="D1760" s="12"/>
    </row>
    <row r="1761" spans="1:4" hidden="1" x14ac:dyDescent="0.2">
      <c r="A1761" s="666" t="s">
        <v>560</v>
      </c>
      <c r="B1761" s="665" t="s">
        <v>13</v>
      </c>
      <c r="C1761" s="664">
        <v>197.13</v>
      </c>
      <c r="D1761" s="12"/>
    </row>
    <row r="1762" spans="1:4" hidden="1" x14ac:dyDescent="0.2">
      <c r="A1762" s="659" t="s">
        <v>559</v>
      </c>
      <c r="B1762" s="658" t="s">
        <v>3</v>
      </c>
      <c r="C1762" s="657">
        <v>98</v>
      </c>
      <c r="D1762" s="12"/>
    </row>
    <row r="1763" spans="1:4" hidden="1" x14ac:dyDescent="0.2">
      <c r="A1763" s="662" t="s">
        <v>212</v>
      </c>
      <c r="B1763" s="661"/>
      <c r="C1763" s="660"/>
      <c r="D1763" s="12"/>
    </row>
    <row r="1764" spans="1:4" hidden="1" x14ac:dyDescent="0.2">
      <c r="A1764" s="666" t="s">
        <v>579</v>
      </c>
      <c r="B1764" s="665" t="s">
        <v>13</v>
      </c>
      <c r="C1764" s="664">
        <v>43.76</v>
      </c>
      <c r="D1764" s="12"/>
    </row>
    <row r="1765" spans="1:4" hidden="1" x14ac:dyDescent="0.2">
      <c r="A1765" s="662" t="s">
        <v>557</v>
      </c>
      <c r="B1765" s="661"/>
      <c r="C1765" s="660"/>
      <c r="D1765" s="12"/>
    </row>
    <row r="1766" spans="1:4" hidden="1" x14ac:dyDescent="0.2">
      <c r="A1766" s="659" t="s">
        <v>654</v>
      </c>
      <c r="B1766" s="658" t="s">
        <v>13</v>
      </c>
      <c r="C1766" s="657">
        <v>12.1</v>
      </c>
      <c r="D1766" s="12"/>
    </row>
    <row r="1767" spans="1:4" hidden="1" x14ac:dyDescent="0.2">
      <c r="A1767" s="666" t="s">
        <v>653</v>
      </c>
      <c r="B1767" s="665" t="s">
        <v>13</v>
      </c>
      <c r="C1767" s="664">
        <v>6.98</v>
      </c>
      <c r="D1767" s="12"/>
    </row>
    <row r="1768" spans="1:4" hidden="1" x14ac:dyDescent="0.2">
      <c r="A1768" s="659" t="s">
        <v>603</v>
      </c>
      <c r="B1768" s="658" t="s">
        <v>13</v>
      </c>
      <c r="C1768" s="657">
        <v>3.31</v>
      </c>
      <c r="D1768" s="12"/>
    </row>
    <row r="1769" spans="1:4" hidden="1" x14ac:dyDescent="0.2">
      <c r="A1769" s="666" t="s">
        <v>602</v>
      </c>
      <c r="B1769" s="665" t="s">
        <v>13</v>
      </c>
      <c r="C1769" s="664">
        <v>6.44</v>
      </c>
      <c r="D1769" s="12"/>
    </row>
    <row r="1770" spans="1:4" hidden="1" x14ac:dyDescent="0.2">
      <c r="A1770" s="659" t="s">
        <v>652</v>
      </c>
      <c r="B1770" s="658" t="s">
        <v>13</v>
      </c>
      <c r="C1770" s="657">
        <v>36.83</v>
      </c>
      <c r="D1770" s="12"/>
    </row>
    <row r="1771" spans="1:4" hidden="1" x14ac:dyDescent="0.2">
      <c r="A1771" s="666" t="s">
        <v>651</v>
      </c>
      <c r="B1771" s="665" t="s">
        <v>13</v>
      </c>
      <c r="C1771" s="664">
        <v>17.95</v>
      </c>
      <c r="D1771" s="12"/>
    </row>
    <row r="1772" spans="1:4" hidden="1" x14ac:dyDescent="0.2">
      <c r="A1772" s="659" t="s">
        <v>650</v>
      </c>
      <c r="B1772" s="658" t="s">
        <v>13</v>
      </c>
      <c r="C1772" s="657">
        <v>22.97</v>
      </c>
      <c r="D1772" s="12"/>
    </row>
    <row r="1773" spans="1:4" hidden="1" x14ac:dyDescent="0.2">
      <c r="A1773" s="666" t="s">
        <v>649</v>
      </c>
      <c r="B1773" s="665" t="s">
        <v>13</v>
      </c>
      <c r="C1773" s="664">
        <v>5.43</v>
      </c>
      <c r="D1773" s="12"/>
    </row>
    <row r="1774" spans="1:4" hidden="1" x14ac:dyDescent="0.2">
      <c r="A1774" s="659" t="s">
        <v>648</v>
      </c>
      <c r="B1774" s="658" t="s">
        <v>13</v>
      </c>
      <c r="C1774" s="657">
        <v>10.6</v>
      </c>
      <c r="D1774" s="12"/>
    </row>
    <row r="1775" spans="1:4" hidden="1" x14ac:dyDescent="0.2">
      <c r="A1775" s="666" t="s">
        <v>647</v>
      </c>
      <c r="B1775" s="665" t="s">
        <v>13</v>
      </c>
      <c r="C1775" s="664">
        <v>6.95</v>
      </c>
      <c r="D1775" s="12"/>
    </row>
    <row r="1776" spans="1:4" hidden="1" x14ac:dyDescent="0.2">
      <c r="A1776" s="659" t="s">
        <v>646</v>
      </c>
      <c r="B1776" s="658" t="s">
        <v>13</v>
      </c>
      <c r="C1776" s="657">
        <v>9.51</v>
      </c>
      <c r="D1776" s="12"/>
    </row>
    <row r="1777" spans="1:4" hidden="1" x14ac:dyDescent="0.2">
      <c r="A1777" s="666" t="s">
        <v>645</v>
      </c>
      <c r="B1777" s="665" t="s">
        <v>13</v>
      </c>
      <c r="C1777" s="664">
        <v>2.99</v>
      </c>
      <c r="D1777" s="12"/>
    </row>
    <row r="1778" spans="1:4" hidden="1" x14ac:dyDescent="0.2">
      <c r="A1778" s="662" t="s">
        <v>220</v>
      </c>
      <c r="B1778" s="661"/>
      <c r="C1778" s="660"/>
      <c r="D1778" s="12"/>
    </row>
    <row r="1779" spans="1:4" hidden="1" x14ac:dyDescent="0.2">
      <c r="A1779" s="659" t="s">
        <v>599</v>
      </c>
      <c r="B1779" s="658" t="s">
        <v>13</v>
      </c>
      <c r="C1779" s="657">
        <v>197.77</v>
      </c>
      <c r="D1779" s="12"/>
    </row>
    <row r="1780" spans="1:4" hidden="1" x14ac:dyDescent="0.2">
      <c r="A1780" s="666" t="s">
        <v>644</v>
      </c>
      <c r="B1780" s="665" t="s">
        <v>13</v>
      </c>
      <c r="C1780" s="664">
        <v>7.88</v>
      </c>
      <c r="D1780" s="12"/>
    </row>
    <row r="1781" spans="1:4" ht="25.5" hidden="1" x14ac:dyDescent="0.2">
      <c r="A1781" s="659" t="s">
        <v>643</v>
      </c>
      <c r="B1781" s="658" t="s">
        <v>13</v>
      </c>
      <c r="C1781" s="657">
        <v>2.82</v>
      </c>
      <c r="D1781" s="12"/>
    </row>
    <row r="1782" spans="1:4" hidden="1" x14ac:dyDescent="0.2">
      <c r="A1782" s="662" t="s">
        <v>598</v>
      </c>
      <c r="B1782" s="661"/>
      <c r="C1782" s="660"/>
      <c r="D1782" s="12"/>
    </row>
    <row r="1783" spans="1:4" hidden="1" x14ac:dyDescent="0.2">
      <c r="A1783" s="666" t="s">
        <v>642</v>
      </c>
      <c r="B1783" s="665" t="s">
        <v>13</v>
      </c>
      <c r="C1783" s="664">
        <v>5.27</v>
      </c>
      <c r="D1783" s="12"/>
    </row>
    <row r="1784" spans="1:4" hidden="1" x14ac:dyDescent="0.2">
      <c r="A1784" s="662" t="s">
        <v>576</v>
      </c>
      <c r="B1784" s="661"/>
      <c r="C1784" s="660"/>
      <c r="D1784" s="12"/>
    </row>
    <row r="1785" spans="1:4" hidden="1" x14ac:dyDescent="0.2">
      <c r="A1785" s="659" t="s">
        <v>575</v>
      </c>
      <c r="B1785" s="658" t="s">
        <v>13</v>
      </c>
      <c r="C1785" s="657">
        <v>546.5</v>
      </c>
      <c r="D1785" s="12"/>
    </row>
    <row r="1786" spans="1:4" hidden="1" x14ac:dyDescent="0.2">
      <c r="A1786" s="666" t="s">
        <v>574</v>
      </c>
      <c r="B1786" s="665" t="s">
        <v>13</v>
      </c>
      <c r="C1786" s="664">
        <v>153.68</v>
      </c>
      <c r="D1786" s="12"/>
    </row>
    <row r="1787" spans="1:4" hidden="1" x14ac:dyDescent="0.2">
      <c r="A1787" s="662" t="s">
        <v>573</v>
      </c>
      <c r="B1787" s="661"/>
      <c r="C1787" s="660"/>
      <c r="D1787" s="12"/>
    </row>
    <row r="1788" spans="1:4" hidden="1" x14ac:dyDescent="0.2">
      <c r="A1788" s="659" t="s">
        <v>572</v>
      </c>
      <c r="B1788" s="658" t="s">
        <v>13</v>
      </c>
      <c r="C1788" s="657">
        <v>700.18</v>
      </c>
      <c r="D1788" s="12"/>
    </row>
    <row r="1789" spans="1:4" hidden="1" x14ac:dyDescent="0.2">
      <c r="A1789" s="662" t="s">
        <v>224</v>
      </c>
      <c r="B1789" s="661"/>
      <c r="C1789" s="660"/>
      <c r="D1789" s="12"/>
    </row>
    <row r="1790" spans="1:4" hidden="1" x14ac:dyDescent="0.2">
      <c r="A1790" s="666" t="s">
        <v>571</v>
      </c>
      <c r="B1790" s="665" t="s">
        <v>13</v>
      </c>
      <c r="C1790" s="664">
        <v>45.24</v>
      </c>
      <c r="D1790" s="12"/>
    </row>
    <row r="1791" spans="1:4" hidden="1" x14ac:dyDescent="0.2">
      <c r="A1791" s="662" t="s">
        <v>218</v>
      </c>
      <c r="B1791" s="661"/>
      <c r="C1791" s="660"/>
      <c r="D1791" s="12"/>
    </row>
    <row r="1792" spans="1:4" hidden="1" x14ac:dyDescent="0.2">
      <c r="A1792" s="659" t="s">
        <v>570</v>
      </c>
      <c r="B1792" s="658" t="s">
        <v>13</v>
      </c>
      <c r="C1792" s="657">
        <v>37.35</v>
      </c>
      <c r="D1792" s="12"/>
    </row>
    <row r="1793" spans="1:4" hidden="1" x14ac:dyDescent="0.2">
      <c r="A1793" s="662" t="s">
        <v>219</v>
      </c>
      <c r="B1793" s="661"/>
      <c r="C1793" s="660"/>
      <c r="D1793" s="12"/>
    </row>
    <row r="1794" spans="1:4" hidden="1" x14ac:dyDescent="0.2">
      <c r="A1794" s="666" t="s">
        <v>641</v>
      </c>
      <c r="B1794" s="665" t="s">
        <v>13</v>
      </c>
      <c r="C1794" s="664">
        <v>187.88</v>
      </c>
      <c r="D1794" s="12"/>
    </row>
    <row r="1795" spans="1:4" hidden="1" x14ac:dyDescent="0.2">
      <c r="A1795" s="662" t="s">
        <v>222</v>
      </c>
      <c r="B1795" s="661"/>
      <c r="C1795" s="660"/>
      <c r="D1795" s="12"/>
    </row>
    <row r="1796" spans="1:4" hidden="1" x14ac:dyDescent="0.2">
      <c r="A1796" s="659" t="s">
        <v>640</v>
      </c>
      <c r="B1796" s="658" t="s">
        <v>13</v>
      </c>
      <c r="C1796" s="657">
        <v>93.11</v>
      </c>
      <c r="D1796" s="12"/>
    </row>
    <row r="1797" spans="1:4" hidden="1" x14ac:dyDescent="0.2">
      <c r="A1797" s="666" t="s">
        <v>639</v>
      </c>
      <c r="B1797" s="665" t="s">
        <v>13</v>
      </c>
      <c r="C1797" s="664">
        <v>23.38</v>
      </c>
      <c r="D1797" s="12"/>
    </row>
    <row r="1798" spans="1:4" hidden="1" x14ac:dyDescent="0.2">
      <c r="A1798" s="659" t="s">
        <v>638</v>
      </c>
      <c r="B1798" s="658" t="s">
        <v>13</v>
      </c>
      <c r="C1798" s="657">
        <v>8.48</v>
      </c>
      <c r="D1798" s="12"/>
    </row>
    <row r="1799" spans="1:4" hidden="1" x14ac:dyDescent="0.2">
      <c r="A1799" s="662" t="s">
        <v>637</v>
      </c>
      <c r="B1799" s="661"/>
      <c r="C1799" s="660"/>
      <c r="D1799" s="12"/>
    </row>
    <row r="1800" spans="1:4" hidden="1" x14ac:dyDescent="0.2">
      <c r="A1800" s="666" t="s">
        <v>636</v>
      </c>
      <c r="B1800" s="665" t="s">
        <v>13</v>
      </c>
      <c r="C1800" s="664">
        <v>63.69</v>
      </c>
      <c r="D1800" s="12"/>
    </row>
    <row r="1801" spans="1:4" hidden="1" x14ac:dyDescent="0.2">
      <c r="A1801" s="662" t="s">
        <v>635</v>
      </c>
      <c r="B1801" s="661"/>
      <c r="C1801" s="660"/>
      <c r="D1801" s="12"/>
    </row>
    <row r="1802" spans="1:4" hidden="1" x14ac:dyDescent="0.2">
      <c r="A1802" s="659" t="s">
        <v>634</v>
      </c>
      <c r="B1802" s="658" t="s">
        <v>3</v>
      </c>
      <c r="C1802" s="657">
        <v>158.85</v>
      </c>
      <c r="D1802" s="12"/>
    </row>
    <row r="1803" spans="1:4" hidden="1" x14ac:dyDescent="0.2">
      <c r="A1803" s="662" t="s">
        <v>346</v>
      </c>
      <c r="B1803" s="661"/>
      <c r="C1803" s="660"/>
      <c r="D1803" s="12"/>
    </row>
    <row r="1804" spans="1:4" hidden="1" x14ac:dyDescent="0.2">
      <c r="A1804" s="666" t="s">
        <v>633</v>
      </c>
      <c r="B1804" s="665" t="s">
        <v>13</v>
      </c>
      <c r="C1804" s="664">
        <v>0.85</v>
      </c>
      <c r="D1804" s="12"/>
    </row>
    <row r="1805" spans="1:4" hidden="1" x14ac:dyDescent="0.2">
      <c r="A1805" s="662" t="s">
        <v>217</v>
      </c>
      <c r="B1805" s="661"/>
      <c r="C1805" s="660"/>
      <c r="D1805" s="12"/>
    </row>
    <row r="1806" spans="1:4" hidden="1" x14ac:dyDescent="0.2">
      <c r="A1806" s="659" t="s">
        <v>632</v>
      </c>
      <c r="B1806" s="658" t="s">
        <v>13</v>
      </c>
      <c r="C1806" s="657">
        <v>3.2</v>
      </c>
      <c r="D1806" s="12"/>
    </row>
    <row r="1807" spans="1:4" hidden="1" x14ac:dyDescent="0.2">
      <c r="A1807" s="662" t="s">
        <v>215</v>
      </c>
      <c r="B1807" s="661"/>
      <c r="C1807" s="660"/>
      <c r="D1807" s="12"/>
    </row>
    <row r="1808" spans="1:4" hidden="1" x14ac:dyDescent="0.2">
      <c r="A1808" s="666" t="s">
        <v>631</v>
      </c>
      <c r="B1808" s="665" t="s">
        <v>13</v>
      </c>
      <c r="C1808" s="664">
        <v>58.23</v>
      </c>
      <c r="D1808" s="12"/>
    </row>
    <row r="1809" spans="1:4" hidden="1" x14ac:dyDescent="0.2">
      <c r="A1809" s="659" t="s">
        <v>630</v>
      </c>
      <c r="B1809" s="658" t="s">
        <v>13</v>
      </c>
      <c r="C1809" s="657">
        <v>108</v>
      </c>
      <c r="D1809" s="12"/>
    </row>
    <row r="1810" spans="1:4" hidden="1" x14ac:dyDescent="0.2">
      <c r="A1810" s="662" t="s">
        <v>231</v>
      </c>
      <c r="B1810" s="661"/>
      <c r="C1810" s="660"/>
      <c r="D1810" s="12"/>
    </row>
    <row r="1811" spans="1:4" hidden="1" x14ac:dyDescent="0.2">
      <c r="A1811" s="666" t="s">
        <v>595</v>
      </c>
      <c r="B1811" s="665" t="s">
        <v>13</v>
      </c>
      <c r="C1811" s="664">
        <v>6.72</v>
      </c>
      <c r="D1811" s="12"/>
    </row>
    <row r="1812" spans="1:4" hidden="1" x14ac:dyDescent="0.2">
      <c r="A1812" s="659" t="s">
        <v>629</v>
      </c>
      <c r="B1812" s="658" t="s">
        <v>13</v>
      </c>
      <c r="C1812" s="657">
        <v>7.88</v>
      </c>
      <c r="D1812" s="12"/>
    </row>
    <row r="1813" spans="1:4" hidden="1" x14ac:dyDescent="0.2">
      <c r="A1813" s="666" t="s">
        <v>594</v>
      </c>
      <c r="B1813" s="665" t="s">
        <v>13</v>
      </c>
      <c r="C1813" s="664">
        <v>17.21</v>
      </c>
      <c r="D1813" s="12"/>
    </row>
    <row r="1814" spans="1:4" hidden="1" x14ac:dyDescent="0.2">
      <c r="A1814" s="662" t="s">
        <v>569</v>
      </c>
      <c r="B1814" s="661"/>
      <c r="C1814" s="660"/>
      <c r="D1814" s="12"/>
    </row>
    <row r="1815" spans="1:4" hidden="1" x14ac:dyDescent="0.2">
      <c r="A1815" s="659" t="s">
        <v>628</v>
      </c>
      <c r="B1815" s="658" t="s">
        <v>13</v>
      </c>
      <c r="C1815" s="657">
        <v>31.33</v>
      </c>
      <c r="D1815" s="12"/>
    </row>
    <row r="1816" spans="1:4" hidden="1" x14ac:dyDescent="0.2">
      <c r="A1816" s="666" t="s">
        <v>627</v>
      </c>
      <c r="B1816" s="665" t="s">
        <v>13</v>
      </c>
      <c r="C1816" s="664">
        <v>420.78</v>
      </c>
      <c r="D1816" s="12"/>
    </row>
    <row r="1817" spans="1:4" hidden="1" x14ac:dyDescent="0.2">
      <c r="A1817" s="659" t="s">
        <v>626</v>
      </c>
      <c r="B1817" s="658" t="s">
        <v>13</v>
      </c>
      <c r="C1817" s="657">
        <v>2.93</v>
      </c>
      <c r="D1817" s="12"/>
    </row>
    <row r="1818" spans="1:4" hidden="1" x14ac:dyDescent="0.2">
      <c r="A1818" s="666" t="s">
        <v>592</v>
      </c>
      <c r="B1818" s="665" t="s">
        <v>13</v>
      </c>
      <c r="C1818" s="664">
        <v>78.91</v>
      </c>
      <c r="D1818" s="12"/>
    </row>
    <row r="1819" spans="1:4" hidden="1" x14ac:dyDescent="0.2">
      <c r="A1819" s="662" t="s">
        <v>567</v>
      </c>
      <c r="B1819" s="661"/>
      <c r="C1819" s="660"/>
      <c r="D1819" s="12"/>
    </row>
    <row r="1820" spans="1:4" hidden="1" x14ac:dyDescent="0.2">
      <c r="A1820" s="659" t="s">
        <v>566</v>
      </c>
      <c r="B1820" s="658" t="s">
        <v>13</v>
      </c>
      <c r="C1820" s="657">
        <v>225.23</v>
      </c>
      <c r="D1820" s="12"/>
    </row>
    <row r="1821" spans="1:4" hidden="1" x14ac:dyDescent="0.2">
      <c r="A1821" s="662" t="s">
        <v>235</v>
      </c>
      <c r="B1821" s="661"/>
      <c r="C1821" s="660"/>
      <c r="D1821" s="12"/>
    </row>
    <row r="1822" spans="1:4" hidden="1" x14ac:dyDescent="0.2">
      <c r="A1822" s="666" t="s">
        <v>554</v>
      </c>
      <c r="B1822" s="665" t="s">
        <v>3</v>
      </c>
      <c r="C1822" s="664">
        <v>108.4</v>
      </c>
      <c r="D1822" s="12"/>
    </row>
    <row r="1823" spans="1:4" hidden="1" x14ac:dyDescent="0.2">
      <c r="A1823" s="662" t="s">
        <v>236</v>
      </c>
      <c r="B1823" s="661"/>
      <c r="C1823" s="660"/>
      <c r="D1823" s="12"/>
    </row>
    <row r="1824" spans="1:4" hidden="1" x14ac:dyDescent="0.2">
      <c r="A1824" s="659" t="s">
        <v>591</v>
      </c>
      <c r="B1824" s="658" t="s">
        <v>13</v>
      </c>
      <c r="C1824" s="657">
        <v>1.04</v>
      </c>
      <c r="D1824" s="12"/>
    </row>
    <row r="1825" spans="1:4" hidden="1" x14ac:dyDescent="0.2">
      <c r="A1825" s="666" t="s">
        <v>590</v>
      </c>
      <c r="B1825" s="665" t="s">
        <v>13</v>
      </c>
      <c r="C1825" s="664">
        <v>1.04</v>
      </c>
      <c r="D1825" s="12"/>
    </row>
    <row r="1826" spans="1:4" hidden="1" x14ac:dyDescent="0.2">
      <c r="A1826" s="659" t="s">
        <v>625</v>
      </c>
      <c r="B1826" s="658" t="s">
        <v>13</v>
      </c>
      <c r="C1826" s="657">
        <v>2.25</v>
      </c>
      <c r="D1826" s="12"/>
    </row>
    <row r="1827" spans="1:4" hidden="1" x14ac:dyDescent="0.2">
      <c r="A1827" s="666" t="s">
        <v>624</v>
      </c>
      <c r="B1827" s="665" t="s">
        <v>13</v>
      </c>
      <c r="C1827" s="664">
        <v>8.86</v>
      </c>
      <c r="D1827" s="12"/>
    </row>
    <row r="1828" spans="1:4" hidden="1" x14ac:dyDescent="0.2">
      <c r="A1828" s="659" t="s">
        <v>623</v>
      </c>
      <c r="B1828" s="658" t="s">
        <v>3</v>
      </c>
      <c r="C1828" s="657">
        <v>2.5</v>
      </c>
      <c r="D1828" s="12"/>
    </row>
    <row r="1829" spans="1:4" hidden="1" x14ac:dyDescent="0.2">
      <c r="A1829" s="666" t="s">
        <v>622</v>
      </c>
      <c r="B1829" s="665" t="s">
        <v>3</v>
      </c>
      <c r="C1829" s="664">
        <v>7.4</v>
      </c>
      <c r="D1829" s="12"/>
    </row>
    <row r="1830" spans="1:4" hidden="1" x14ac:dyDescent="0.2">
      <c r="A1830" s="659" t="s">
        <v>621</v>
      </c>
      <c r="B1830" s="658" t="s">
        <v>13</v>
      </c>
      <c r="C1830" s="657">
        <v>0.36</v>
      </c>
      <c r="D1830" s="12"/>
    </row>
    <row r="1831" spans="1:4" hidden="1" x14ac:dyDescent="0.2">
      <c r="A1831" s="666" t="s">
        <v>620</v>
      </c>
      <c r="B1831" s="665" t="s">
        <v>13</v>
      </c>
      <c r="C1831" s="664">
        <v>1.18</v>
      </c>
      <c r="D1831" s="12"/>
    </row>
    <row r="1832" spans="1:4" hidden="1" x14ac:dyDescent="0.2">
      <c r="A1832" s="659" t="s">
        <v>619</v>
      </c>
      <c r="B1832" s="658" t="s">
        <v>13</v>
      </c>
      <c r="C1832" s="657">
        <v>4.03</v>
      </c>
      <c r="D1832" s="12"/>
    </row>
    <row r="1833" spans="1:4" hidden="1" x14ac:dyDescent="0.2">
      <c r="A1833" s="666" t="s">
        <v>618</v>
      </c>
      <c r="B1833" s="665" t="s">
        <v>13</v>
      </c>
      <c r="C1833" s="664">
        <v>11.09</v>
      </c>
      <c r="D1833" s="12"/>
    </row>
    <row r="1834" spans="1:4" hidden="1" x14ac:dyDescent="0.2">
      <c r="A1834" s="659" t="s">
        <v>617</v>
      </c>
      <c r="B1834" s="658" t="s">
        <v>13</v>
      </c>
      <c r="C1834" s="657">
        <v>0.05</v>
      </c>
      <c r="D1834" s="12"/>
    </row>
    <row r="1835" spans="1:4" hidden="1" x14ac:dyDescent="0.2">
      <c r="A1835" s="666" t="s">
        <v>616</v>
      </c>
      <c r="B1835" s="665" t="s">
        <v>13</v>
      </c>
      <c r="C1835" s="664">
        <v>0.89</v>
      </c>
      <c r="D1835" s="12"/>
    </row>
    <row r="1836" spans="1:4" hidden="1" x14ac:dyDescent="0.2">
      <c r="A1836" s="659" t="s">
        <v>615</v>
      </c>
      <c r="B1836" s="658" t="s">
        <v>13</v>
      </c>
      <c r="C1836" s="657">
        <v>0.02</v>
      </c>
      <c r="D1836" s="12"/>
    </row>
    <row r="1837" spans="1:4" hidden="1" x14ac:dyDescent="0.2">
      <c r="A1837" s="666" t="s">
        <v>614</v>
      </c>
      <c r="B1837" s="665" t="s">
        <v>13</v>
      </c>
      <c r="C1837" s="664">
        <v>0.38</v>
      </c>
      <c r="D1837" s="12"/>
    </row>
    <row r="1838" spans="1:4" hidden="1" x14ac:dyDescent="0.2">
      <c r="A1838" s="662" t="s">
        <v>240</v>
      </c>
      <c r="B1838" s="661"/>
      <c r="C1838" s="660"/>
      <c r="D1838" s="12"/>
    </row>
    <row r="1839" spans="1:4" hidden="1" x14ac:dyDescent="0.2">
      <c r="A1839" s="659" t="s">
        <v>613</v>
      </c>
      <c r="B1839" s="658" t="s">
        <v>3</v>
      </c>
      <c r="C1839" s="657">
        <v>14.53</v>
      </c>
      <c r="D1839" s="12"/>
    </row>
    <row r="1840" spans="1:4" hidden="1" x14ac:dyDescent="0.2">
      <c r="A1840" s="666" t="s">
        <v>612</v>
      </c>
      <c r="B1840" s="665" t="s">
        <v>2</v>
      </c>
      <c r="C1840" s="664">
        <v>8</v>
      </c>
      <c r="D1840" s="12"/>
    </row>
    <row r="1841" spans="1:4" hidden="1" x14ac:dyDescent="0.2">
      <c r="A1841" s="659" t="s">
        <v>611</v>
      </c>
      <c r="B1841" s="658" t="s">
        <v>2</v>
      </c>
      <c r="C1841" s="657">
        <v>6</v>
      </c>
      <c r="D1841" s="12"/>
    </row>
    <row r="1842" spans="1:4" hidden="1" x14ac:dyDescent="0.2">
      <c r="A1842" s="666" t="s">
        <v>610</v>
      </c>
      <c r="B1842" s="665" t="s">
        <v>2</v>
      </c>
      <c r="C1842" s="664">
        <v>3</v>
      </c>
      <c r="D1842" s="12"/>
    </row>
    <row r="1843" spans="1:4" hidden="1" x14ac:dyDescent="0.2">
      <c r="A1843" s="662" t="s">
        <v>244</v>
      </c>
      <c r="B1843" s="661"/>
      <c r="C1843" s="660"/>
      <c r="D1843" s="12"/>
    </row>
    <row r="1844" spans="1:4" hidden="1" x14ac:dyDescent="0.2">
      <c r="A1844" s="659" t="s">
        <v>586</v>
      </c>
      <c r="B1844" s="658" t="s">
        <v>2</v>
      </c>
      <c r="C1844" s="657">
        <v>1</v>
      </c>
      <c r="D1844" s="12"/>
    </row>
    <row r="1845" spans="1:4" hidden="1" x14ac:dyDescent="0.2">
      <c r="A1845" s="666" t="s">
        <v>585</v>
      </c>
      <c r="B1845" s="665" t="s">
        <v>2</v>
      </c>
      <c r="C1845" s="664">
        <v>1</v>
      </c>
      <c r="D1845" s="12"/>
    </row>
    <row r="1846" spans="1:4" hidden="1" x14ac:dyDescent="0.2">
      <c r="A1846" s="659" t="s">
        <v>609</v>
      </c>
      <c r="B1846" s="658" t="s">
        <v>2</v>
      </c>
      <c r="C1846" s="657">
        <v>2</v>
      </c>
      <c r="D1846" s="12"/>
    </row>
    <row r="1847" spans="1:4" hidden="1" x14ac:dyDescent="0.2">
      <c r="A1847" s="662" t="s">
        <v>552</v>
      </c>
      <c r="B1847" s="661"/>
      <c r="C1847" s="660"/>
      <c r="D1847" s="12"/>
    </row>
    <row r="1848" spans="1:4" hidden="1" x14ac:dyDescent="0.2">
      <c r="A1848" s="666" t="s">
        <v>551</v>
      </c>
      <c r="B1848" s="665" t="s">
        <v>13</v>
      </c>
      <c r="C1848" s="664">
        <v>89.87</v>
      </c>
      <c r="D1848" s="12"/>
    </row>
    <row r="1849" spans="1:4" hidden="1" x14ac:dyDescent="0.2">
      <c r="A1849" s="659" t="s">
        <v>565</v>
      </c>
      <c r="B1849" s="658" t="s">
        <v>13</v>
      </c>
      <c r="C1849" s="657">
        <v>82.74</v>
      </c>
      <c r="D1849" s="12"/>
    </row>
    <row r="1850" spans="1:4" hidden="1" x14ac:dyDescent="0.2">
      <c r="A1850" s="662" t="s">
        <v>550</v>
      </c>
      <c r="B1850" s="661"/>
      <c r="C1850" s="660"/>
      <c r="D1850" s="12"/>
    </row>
    <row r="1851" spans="1:4" hidden="1" x14ac:dyDescent="0.2">
      <c r="A1851" s="666" t="s">
        <v>549</v>
      </c>
      <c r="B1851" s="665" t="s">
        <v>13</v>
      </c>
      <c r="C1851" s="664">
        <v>172.6</v>
      </c>
      <c r="D1851" s="12"/>
    </row>
    <row r="1852" spans="1:4" hidden="1" x14ac:dyDescent="0.2">
      <c r="A1852" s="662" t="s">
        <v>273</v>
      </c>
      <c r="B1852" s="661"/>
      <c r="C1852" s="660"/>
      <c r="D1852" s="12"/>
    </row>
    <row r="1853" spans="1:4" hidden="1" x14ac:dyDescent="0.2">
      <c r="A1853" s="659" t="s">
        <v>564</v>
      </c>
      <c r="B1853" s="658" t="s">
        <v>13</v>
      </c>
      <c r="C1853" s="657">
        <v>77.59</v>
      </c>
      <c r="D1853" s="12"/>
    </row>
    <row r="1854" spans="1:4" hidden="1" x14ac:dyDescent="0.2">
      <c r="A1854" s="666" t="s">
        <v>608</v>
      </c>
      <c r="B1854" s="665" t="s">
        <v>13</v>
      </c>
      <c r="C1854" s="664">
        <v>8.0500000000000007</v>
      </c>
      <c r="D1854" s="12"/>
    </row>
    <row r="1855" spans="1:4" hidden="1" x14ac:dyDescent="0.2">
      <c r="A1855" s="659" t="s">
        <v>607</v>
      </c>
      <c r="B1855" s="658" t="s">
        <v>13</v>
      </c>
      <c r="C1855" s="657">
        <v>5.14</v>
      </c>
      <c r="D1855" s="12"/>
    </row>
    <row r="1856" spans="1:4" hidden="1" x14ac:dyDescent="0.2">
      <c r="A1856" s="666" t="s">
        <v>548</v>
      </c>
      <c r="B1856" s="665" t="s">
        <v>13</v>
      </c>
      <c r="C1856" s="664">
        <v>81.819999999999993</v>
      </c>
      <c r="D1856" s="12"/>
    </row>
    <row r="1857" spans="1:4" hidden="1" x14ac:dyDescent="0.2">
      <c r="A1857" s="669" t="s">
        <v>663</v>
      </c>
      <c r="B1857" s="668"/>
      <c r="C1857" s="667"/>
      <c r="D1857" s="12"/>
    </row>
    <row r="1858" spans="1:4" hidden="1" x14ac:dyDescent="0.2">
      <c r="A1858" s="662" t="s">
        <v>208</v>
      </c>
      <c r="B1858" s="661"/>
      <c r="C1858" s="660"/>
      <c r="D1858" s="12"/>
    </row>
    <row r="1859" spans="1:4" hidden="1" x14ac:dyDescent="0.2">
      <c r="A1859" s="659" t="s">
        <v>656</v>
      </c>
      <c r="B1859" s="658" t="s">
        <v>13</v>
      </c>
      <c r="C1859" s="657">
        <v>2.63</v>
      </c>
      <c r="D1859" s="12"/>
    </row>
    <row r="1860" spans="1:4" hidden="1" x14ac:dyDescent="0.2">
      <c r="A1860" s="666" t="s">
        <v>562</v>
      </c>
      <c r="B1860" s="665" t="s">
        <v>13</v>
      </c>
      <c r="C1860" s="664">
        <v>195.56</v>
      </c>
      <c r="D1860" s="12"/>
    </row>
    <row r="1861" spans="1:4" hidden="1" x14ac:dyDescent="0.2">
      <c r="A1861" s="659" t="s">
        <v>581</v>
      </c>
      <c r="B1861" s="658" t="s">
        <v>13</v>
      </c>
      <c r="C1861" s="657">
        <v>81.11</v>
      </c>
      <c r="D1861" s="12"/>
    </row>
    <row r="1862" spans="1:4" hidden="1" x14ac:dyDescent="0.2">
      <c r="A1862" s="662" t="s">
        <v>376</v>
      </c>
      <c r="B1862" s="661"/>
      <c r="C1862" s="660"/>
      <c r="D1862" s="12"/>
    </row>
    <row r="1863" spans="1:4" hidden="1" x14ac:dyDescent="0.2">
      <c r="A1863" s="666" t="s">
        <v>655</v>
      </c>
      <c r="B1863" s="665" t="s">
        <v>13</v>
      </c>
      <c r="C1863" s="664">
        <v>29.04</v>
      </c>
      <c r="D1863" s="12"/>
    </row>
    <row r="1864" spans="1:4" hidden="1" x14ac:dyDescent="0.2">
      <c r="A1864" s="662" t="s">
        <v>605</v>
      </c>
      <c r="B1864" s="661"/>
      <c r="C1864" s="660"/>
      <c r="D1864" s="12"/>
    </row>
    <row r="1865" spans="1:4" hidden="1" x14ac:dyDescent="0.2">
      <c r="A1865" s="659" t="s">
        <v>604</v>
      </c>
      <c r="B1865" s="658" t="s">
        <v>13</v>
      </c>
      <c r="C1865" s="657">
        <v>85</v>
      </c>
      <c r="D1865" s="12"/>
    </row>
    <row r="1866" spans="1:4" hidden="1" x14ac:dyDescent="0.2">
      <c r="A1866" s="662" t="s">
        <v>561</v>
      </c>
      <c r="B1866" s="661"/>
      <c r="C1866" s="660"/>
      <c r="D1866" s="12"/>
    </row>
    <row r="1867" spans="1:4" hidden="1" x14ac:dyDescent="0.2">
      <c r="A1867" s="666" t="s">
        <v>580</v>
      </c>
      <c r="B1867" s="665" t="s">
        <v>3</v>
      </c>
      <c r="C1867" s="664">
        <v>172.6</v>
      </c>
      <c r="D1867" s="12"/>
    </row>
    <row r="1868" spans="1:4" hidden="1" x14ac:dyDescent="0.2">
      <c r="A1868" s="659" t="s">
        <v>560</v>
      </c>
      <c r="B1868" s="658" t="s">
        <v>13</v>
      </c>
      <c r="C1868" s="657">
        <v>196.67</v>
      </c>
      <c r="D1868" s="12"/>
    </row>
    <row r="1869" spans="1:4" hidden="1" x14ac:dyDescent="0.2">
      <c r="A1869" s="666" t="s">
        <v>559</v>
      </c>
      <c r="B1869" s="665" t="s">
        <v>3</v>
      </c>
      <c r="C1869" s="664">
        <v>98</v>
      </c>
      <c r="D1869" s="12"/>
    </row>
    <row r="1870" spans="1:4" hidden="1" x14ac:dyDescent="0.2">
      <c r="A1870" s="662" t="s">
        <v>212</v>
      </c>
      <c r="B1870" s="661"/>
      <c r="C1870" s="660"/>
      <c r="D1870" s="12"/>
    </row>
    <row r="1871" spans="1:4" hidden="1" x14ac:dyDescent="0.2">
      <c r="A1871" s="659" t="s">
        <v>579</v>
      </c>
      <c r="B1871" s="658" t="s">
        <v>13</v>
      </c>
      <c r="C1871" s="657">
        <v>43.76</v>
      </c>
      <c r="D1871" s="12"/>
    </row>
    <row r="1872" spans="1:4" hidden="1" x14ac:dyDescent="0.2">
      <c r="A1872" s="662" t="s">
        <v>557</v>
      </c>
      <c r="B1872" s="661"/>
      <c r="C1872" s="660"/>
      <c r="D1872" s="12"/>
    </row>
    <row r="1873" spans="1:4" hidden="1" x14ac:dyDescent="0.2">
      <c r="A1873" s="666" t="s">
        <v>654</v>
      </c>
      <c r="B1873" s="665" t="s">
        <v>13</v>
      </c>
      <c r="C1873" s="664">
        <v>12.1</v>
      </c>
      <c r="D1873" s="12"/>
    </row>
    <row r="1874" spans="1:4" hidden="1" x14ac:dyDescent="0.2">
      <c r="A1874" s="659" t="s">
        <v>653</v>
      </c>
      <c r="B1874" s="658" t="s">
        <v>13</v>
      </c>
      <c r="C1874" s="657">
        <v>6.98</v>
      </c>
      <c r="D1874" s="12"/>
    </row>
    <row r="1875" spans="1:4" hidden="1" x14ac:dyDescent="0.2">
      <c r="A1875" s="666" t="s">
        <v>603</v>
      </c>
      <c r="B1875" s="665" t="s">
        <v>13</v>
      </c>
      <c r="C1875" s="664">
        <v>3.31</v>
      </c>
      <c r="D1875" s="12"/>
    </row>
    <row r="1876" spans="1:4" hidden="1" x14ac:dyDescent="0.2">
      <c r="A1876" s="659" t="s">
        <v>602</v>
      </c>
      <c r="B1876" s="658" t="s">
        <v>13</v>
      </c>
      <c r="C1876" s="657">
        <v>6.44</v>
      </c>
      <c r="D1876" s="12"/>
    </row>
    <row r="1877" spans="1:4" hidden="1" x14ac:dyDescent="0.2">
      <c r="A1877" s="666" t="s">
        <v>652</v>
      </c>
      <c r="B1877" s="665" t="s">
        <v>13</v>
      </c>
      <c r="C1877" s="664">
        <v>36.83</v>
      </c>
      <c r="D1877" s="12"/>
    </row>
    <row r="1878" spans="1:4" hidden="1" x14ac:dyDescent="0.2">
      <c r="A1878" s="659" t="s">
        <v>651</v>
      </c>
      <c r="B1878" s="658" t="s">
        <v>13</v>
      </c>
      <c r="C1878" s="657">
        <v>17.95</v>
      </c>
      <c r="D1878" s="12"/>
    </row>
    <row r="1879" spans="1:4" hidden="1" x14ac:dyDescent="0.2">
      <c r="A1879" s="666" t="s">
        <v>650</v>
      </c>
      <c r="B1879" s="665" t="s">
        <v>13</v>
      </c>
      <c r="C1879" s="664">
        <v>22.97</v>
      </c>
      <c r="D1879" s="12"/>
    </row>
    <row r="1880" spans="1:4" hidden="1" x14ac:dyDescent="0.2">
      <c r="A1880" s="659" t="s">
        <v>649</v>
      </c>
      <c r="B1880" s="658" t="s">
        <v>13</v>
      </c>
      <c r="C1880" s="657">
        <v>5.43</v>
      </c>
      <c r="D1880" s="12"/>
    </row>
    <row r="1881" spans="1:4" hidden="1" x14ac:dyDescent="0.2">
      <c r="A1881" s="666" t="s">
        <v>648</v>
      </c>
      <c r="B1881" s="665" t="s">
        <v>13</v>
      </c>
      <c r="C1881" s="664">
        <v>10.6</v>
      </c>
      <c r="D1881" s="12"/>
    </row>
    <row r="1882" spans="1:4" hidden="1" x14ac:dyDescent="0.2">
      <c r="A1882" s="659" t="s">
        <v>647</v>
      </c>
      <c r="B1882" s="658" t="s">
        <v>13</v>
      </c>
      <c r="C1882" s="657">
        <v>6.95</v>
      </c>
      <c r="D1882" s="12"/>
    </row>
    <row r="1883" spans="1:4" hidden="1" x14ac:dyDescent="0.2">
      <c r="A1883" s="666" t="s">
        <v>646</v>
      </c>
      <c r="B1883" s="665" t="s">
        <v>13</v>
      </c>
      <c r="C1883" s="664">
        <v>9.51</v>
      </c>
      <c r="D1883" s="12"/>
    </row>
    <row r="1884" spans="1:4" hidden="1" x14ac:dyDescent="0.2">
      <c r="A1884" s="659" t="s">
        <v>645</v>
      </c>
      <c r="B1884" s="658" t="s">
        <v>13</v>
      </c>
      <c r="C1884" s="657">
        <v>2.99</v>
      </c>
      <c r="D1884" s="12"/>
    </row>
    <row r="1885" spans="1:4" hidden="1" x14ac:dyDescent="0.2">
      <c r="A1885" s="662" t="s">
        <v>220</v>
      </c>
      <c r="B1885" s="661"/>
      <c r="C1885" s="660"/>
      <c r="D1885" s="12"/>
    </row>
    <row r="1886" spans="1:4" hidden="1" x14ac:dyDescent="0.2">
      <c r="A1886" s="666" t="s">
        <v>599</v>
      </c>
      <c r="B1886" s="665" t="s">
        <v>13</v>
      </c>
      <c r="C1886" s="664">
        <v>197.77</v>
      </c>
      <c r="D1886" s="12"/>
    </row>
    <row r="1887" spans="1:4" hidden="1" x14ac:dyDescent="0.2">
      <c r="A1887" s="659" t="s">
        <v>644</v>
      </c>
      <c r="B1887" s="658" t="s">
        <v>13</v>
      </c>
      <c r="C1887" s="657">
        <v>7.88</v>
      </c>
      <c r="D1887" s="12"/>
    </row>
    <row r="1888" spans="1:4" ht="25.5" hidden="1" x14ac:dyDescent="0.2">
      <c r="A1888" s="666" t="s">
        <v>643</v>
      </c>
      <c r="B1888" s="665" t="s">
        <v>13</v>
      </c>
      <c r="C1888" s="664">
        <v>2.82</v>
      </c>
      <c r="D1888" s="12"/>
    </row>
    <row r="1889" spans="1:4" hidden="1" x14ac:dyDescent="0.2">
      <c r="A1889" s="662" t="s">
        <v>598</v>
      </c>
      <c r="B1889" s="661"/>
      <c r="C1889" s="660"/>
      <c r="D1889" s="12"/>
    </row>
    <row r="1890" spans="1:4" hidden="1" x14ac:dyDescent="0.2">
      <c r="A1890" s="659" t="s">
        <v>642</v>
      </c>
      <c r="B1890" s="658" t="s">
        <v>13</v>
      </c>
      <c r="C1890" s="657">
        <v>5.27</v>
      </c>
      <c r="D1890" s="12"/>
    </row>
    <row r="1891" spans="1:4" hidden="1" x14ac:dyDescent="0.2">
      <c r="A1891" s="662" t="s">
        <v>576</v>
      </c>
      <c r="B1891" s="661"/>
      <c r="C1891" s="660"/>
      <c r="D1891" s="12"/>
    </row>
    <row r="1892" spans="1:4" hidden="1" x14ac:dyDescent="0.2">
      <c r="A1892" s="666" t="s">
        <v>575</v>
      </c>
      <c r="B1892" s="665" t="s">
        <v>13</v>
      </c>
      <c r="C1892" s="664">
        <v>546.5</v>
      </c>
      <c r="D1892" s="12"/>
    </row>
    <row r="1893" spans="1:4" hidden="1" x14ac:dyDescent="0.2">
      <c r="A1893" s="659" t="s">
        <v>574</v>
      </c>
      <c r="B1893" s="658" t="s">
        <v>13</v>
      </c>
      <c r="C1893" s="657">
        <v>153.68</v>
      </c>
      <c r="D1893" s="12"/>
    </row>
    <row r="1894" spans="1:4" hidden="1" x14ac:dyDescent="0.2">
      <c r="A1894" s="662" t="s">
        <v>573</v>
      </c>
      <c r="B1894" s="661"/>
      <c r="C1894" s="660"/>
      <c r="D1894" s="12"/>
    </row>
    <row r="1895" spans="1:4" hidden="1" x14ac:dyDescent="0.2">
      <c r="A1895" s="666" t="s">
        <v>572</v>
      </c>
      <c r="B1895" s="665" t="s">
        <v>13</v>
      </c>
      <c r="C1895" s="664">
        <v>700.18</v>
      </c>
      <c r="D1895" s="12"/>
    </row>
    <row r="1896" spans="1:4" hidden="1" x14ac:dyDescent="0.2">
      <c r="A1896" s="662" t="s">
        <v>224</v>
      </c>
      <c r="B1896" s="661"/>
      <c r="C1896" s="660"/>
      <c r="D1896" s="12"/>
    </row>
    <row r="1897" spans="1:4" hidden="1" x14ac:dyDescent="0.2">
      <c r="A1897" s="659" t="s">
        <v>571</v>
      </c>
      <c r="B1897" s="658" t="s">
        <v>13</v>
      </c>
      <c r="C1897" s="657">
        <v>45.24</v>
      </c>
      <c r="D1897" s="12"/>
    </row>
    <row r="1898" spans="1:4" hidden="1" x14ac:dyDescent="0.2">
      <c r="A1898" s="662" t="s">
        <v>218</v>
      </c>
      <c r="B1898" s="661"/>
      <c r="C1898" s="660"/>
      <c r="D1898" s="12"/>
    </row>
    <row r="1899" spans="1:4" hidden="1" x14ac:dyDescent="0.2">
      <c r="A1899" s="666" t="s">
        <v>570</v>
      </c>
      <c r="B1899" s="665" t="s">
        <v>13</v>
      </c>
      <c r="C1899" s="664">
        <v>37.35</v>
      </c>
      <c r="D1899" s="12"/>
    </row>
    <row r="1900" spans="1:4" hidden="1" x14ac:dyDescent="0.2">
      <c r="A1900" s="662" t="s">
        <v>219</v>
      </c>
      <c r="B1900" s="661"/>
      <c r="C1900" s="660"/>
      <c r="D1900" s="12"/>
    </row>
    <row r="1901" spans="1:4" hidden="1" x14ac:dyDescent="0.2">
      <c r="A1901" s="659" t="s">
        <v>641</v>
      </c>
      <c r="B1901" s="658" t="s">
        <v>13</v>
      </c>
      <c r="C1901" s="657">
        <v>187.88</v>
      </c>
      <c r="D1901" s="12"/>
    </row>
    <row r="1902" spans="1:4" hidden="1" x14ac:dyDescent="0.2">
      <c r="A1902" s="662" t="s">
        <v>222</v>
      </c>
      <c r="B1902" s="661"/>
      <c r="C1902" s="660"/>
      <c r="D1902" s="12"/>
    </row>
    <row r="1903" spans="1:4" hidden="1" x14ac:dyDescent="0.2">
      <c r="A1903" s="666" t="s">
        <v>640</v>
      </c>
      <c r="B1903" s="665" t="s">
        <v>13</v>
      </c>
      <c r="C1903" s="664">
        <v>93.11</v>
      </c>
      <c r="D1903" s="12"/>
    </row>
    <row r="1904" spans="1:4" hidden="1" x14ac:dyDescent="0.2">
      <c r="A1904" s="659" t="s">
        <v>639</v>
      </c>
      <c r="B1904" s="658" t="s">
        <v>13</v>
      </c>
      <c r="C1904" s="657">
        <v>23.38</v>
      </c>
      <c r="D1904" s="12"/>
    </row>
    <row r="1905" spans="1:4" hidden="1" x14ac:dyDescent="0.2">
      <c r="A1905" s="666" t="s">
        <v>638</v>
      </c>
      <c r="B1905" s="665" t="s">
        <v>13</v>
      </c>
      <c r="C1905" s="664">
        <v>8.48</v>
      </c>
      <c r="D1905" s="12"/>
    </row>
    <row r="1906" spans="1:4" hidden="1" x14ac:dyDescent="0.2">
      <c r="A1906" s="662" t="s">
        <v>637</v>
      </c>
      <c r="B1906" s="661"/>
      <c r="C1906" s="660"/>
      <c r="D1906" s="12"/>
    </row>
    <row r="1907" spans="1:4" hidden="1" x14ac:dyDescent="0.2">
      <c r="A1907" s="659" t="s">
        <v>636</v>
      </c>
      <c r="B1907" s="658" t="s">
        <v>13</v>
      </c>
      <c r="C1907" s="657">
        <v>63.69</v>
      </c>
      <c r="D1907" s="12"/>
    </row>
    <row r="1908" spans="1:4" hidden="1" x14ac:dyDescent="0.2">
      <c r="A1908" s="662" t="s">
        <v>635</v>
      </c>
      <c r="B1908" s="661"/>
      <c r="C1908" s="660"/>
      <c r="D1908" s="12"/>
    </row>
    <row r="1909" spans="1:4" hidden="1" x14ac:dyDescent="0.2">
      <c r="A1909" s="666" t="s">
        <v>634</v>
      </c>
      <c r="B1909" s="665" t="s">
        <v>3</v>
      </c>
      <c r="C1909" s="664">
        <v>158.85</v>
      </c>
      <c r="D1909" s="12"/>
    </row>
    <row r="1910" spans="1:4" hidden="1" x14ac:dyDescent="0.2">
      <c r="A1910" s="662" t="s">
        <v>346</v>
      </c>
      <c r="B1910" s="661"/>
      <c r="C1910" s="660"/>
      <c r="D1910" s="12"/>
    </row>
    <row r="1911" spans="1:4" hidden="1" x14ac:dyDescent="0.2">
      <c r="A1911" s="659" t="s">
        <v>633</v>
      </c>
      <c r="B1911" s="658" t="s">
        <v>13</v>
      </c>
      <c r="C1911" s="657">
        <v>0.85</v>
      </c>
      <c r="D1911" s="12"/>
    </row>
    <row r="1912" spans="1:4" hidden="1" x14ac:dyDescent="0.2">
      <c r="A1912" s="662" t="s">
        <v>217</v>
      </c>
      <c r="B1912" s="661"/>
      <c r="C1912" s="660"/>
      <c r="D1912" s="12"/>
    </row>
    <row r="1913" spans="1:4" hidden="1" x14ac:dyDescent="0.2">
      <c r="A1913" s="666" t="s">
        <v>632</v>
      </c>
      <c r="B1913" s="665" t="s">
        <v>13</v>
      </c>
      <c r="C1913" s="664">
        <v>3.2</v>
      </c>
      <c r="D1913" s="12"/>
    </row>
    <row r="1914" spans="1:4" hidden="1" x14ac:dyDescent="0.2">
      <c r="A1914" s="662" t="s">
        <v>215</v>
      </c>
      <c r="B1914" s="661"/>
      <c r="C1914" s="660"/>
      <c r="D1914" s="12"/>
    </row>
    <row r="1915" spans="1:4" hidden="1" x14ac:dyDescent="0.2">
      <c r="A1915" s="659" t="s">
        <v>631</v>
      </c>
      <c r="B1915" s="658" t="s">
        <v>13</v>
      </c>
      <c r="C1915" s="657">
        <v>58.23</v>
      </c>
      <c r="D1915" s="12"/>
    </row>
    <row r="1916" spans="1:4" hidden="1" x14ac:dyDescent="0.2">
      <c r="A1916" s="666" t="s">
        <v>630</v>
      </c>
      <c r="B1916" s="665" t="s">
        <v>13</v>
      </c>
      <c r="C1916" s="664">
        <v>108</v>
      </c>
      <c r="D1916" s="12"/>
    </row>
    <row r="1917" spans="1:4" hidden="1" x14ac:dyDescent="0.2">
      <c r="A1917" s="662" t="s">
        <v>231</v>
      </c>
      <c r="B1917" s="661"/>
      <c r="C1917" s="660"/>
      <c r="D1917" s="12"/>
    </row>
    <row r="1918" spans="1:4" hidden="1" x14ac:dyDescent="0.2">
      <c r="A1918" s="659" t="s">
        <v>595</v>
      </c>
      <c r="B1918" s="658" t="s">
        <v>13</v>
      </c>
      <c r="C1918" s="657">
        <v>6.72</v>
      </c>
      <c r="D1918" s="12"/>
    </row>
    <row r="1919" spans="1:4" hidden="1" x14ac:dyDescent="0.2">
      <c r="A1919" s="666" t="s">
        <v>629</v>
      </c>
      <c r="B1919" s="665" t="s">
        <v>13</v>
      </c>
      <c r="C1919" s="664">
        <v>7.88</v>
      </c>
      <c r="D1919" s="12"/>
    </row>
    <row r="1920" spans="1:4" hidden="1" x14ac:dyDescent="0.2">
      <c r="A1920" s="659" t="s">
        <v>594</v>
      </c>
      <c r="B1920" s="658" t="s">
        <v>13</v>
      </c>
      <c r="C1920" s="657">
        <v>17.21</v>
      </c>
      <c r="D1920" s="12"/>
    </row>
    <row r="1921" spans="1:4" hidden="1" x14ac:dyDescent="0.2">
      <c r="A1921" s="662" t="s">
        <v>569</v>
      </c>
      <c r="B1921" s="661"/>
      <c r="C1921" s="660"/>
      <c r="D1921" s="12"/>
    </row>
    <row r="1922" spans="1:4" hidden="1" x14ac:dyDescent="0.2">
      <c r="A1922" s="666" t="s">
        <v>628</v>
      </c>
      <c r="B1922" s="665" t="s">
        <v>13</v>
      </c>
      <c r="C1922" s="664">
        <v>31.33</v>
      </c>
      <c r="D1922" s="12"/>
    </row>
    <row r="1923" spans="1:4" hidden="1" x14ac:dyDescent="0.2">
      <c r="A1923" s="659" t="s">
        <v>627</v>
      </c>
      <c r="B1923" s="658" t="s">
        <v>13</v>
      </c>
      <c r="C1923" s="657">
        <v>420.78</v>
      </c>
      <c r="D1923" s="12"/>
    </row>
    <row r="1924" spans="1:4" hidden="1" x14ac:dyDescent="0.2">
      <c r="A1924" s="666" t="s">
        <v>626</v>
      </c>
      <c r="B1924" s="665" t="s">
        <v>13</v>
      </c>
      <c r="C1924" s="664">
        <v>2.93</v>
      </c>
      <c r="D1924" s="12"/>
    </row>
    <row r="1925" spans="1:4" hidden="1" x14ac:dyDescent="0.2">
      <c r="A1925" s="659" t="s">
        <v>592</v>
      </c>
      <c r="B1925" s="658" t="s">
        <v>13</v>
      </c>
      <c r="C1925" s="657">
        <v>78.91</v>
      </c>
      <c r="D1925" s="12"/>
    </row>
    <row r="1926" spans="1:4" hidden="1" x14ac:dyDescent="0.2">
      <c r="A1926" s="662" t="s">
        <v>567</v>
      </c>
      <c r="B1926" s="661"/>
      <c r="C1926" s="660"/>
      <c r="D1926" s="12"/>
    </row>
    <row r="1927" spans="1:4" hidden="1" x14ac:dyDescent="0.2">
      <c r="A1927" s="666" t="s">
        <v>566</v>
      </c>
      <c r="B1927" s="665" t="s">
        <v>13</v>
      </c>
      <c r="C1927" s="664">
        <v>225.23</v>
      </c>
      <c r="D1927" s="12"/>
    </row>
    <row r="1928" spans="1:4" hidden="1" x14ac:dyDescent="0.2">
      <c r="A1928" s="662" t="s">
        <v>235</v>
      </c>
      <c r="B1928" s="661"/>
      <c r="C1928" s="660"/>
      <c r="D1928" s="12"/>
    </row>
    <row r="1929" spans="1:4" hidden="1" x14ac:dyDescent="0.2">
      <c r="A1929" s="659" t="s">
        <v>554</v>
      </c>
      <c r="B1929" s="658" t="s">
        <v>3</v>
      </c>
      <c r="C1929" s="657">
        <v>108.4</v>
      </c>
      <c r="D1929" s="12"/>
    </row>
    <row r="1930" spans="1:4" hidden="1" x14ac:dyDescent="0.2">
      <c r="A1930" s="662" t="s">
        <v>236</v>
      </c>
      <c r="B1930" s="661"/>
      <c r="C1930" s="660"/>
      <c r="D1930" s="12"/>
    </row>
    <row r="1931" spans="1:4" hidden="1" x14ac:dyDescent="0.2">
      <c r="A1931" s="666" t="s">
        <v>591</v>
      </c>
      <c r="B1931" s="665" t="s">
        <v>13</v>
      </c>
      <c r="C1931" s="664">
        <v>1.04</v>
      </c>
      <c r="D1931" s="12"/>
    </row>
    <row r="1932" spans="1:4" hidden="1" x14ac:dyDescent="0.2">
      <c r="A1932" s="659" t="s">
        <v>590</v>
      </c>
      <c r="B1932" s="658" t="s">
        <v>13</v>
      </c>
      <c r="C1932" s="657">
        <v>1.04</v>
      </c>
      <c r="D1932" s="12"/>
    </row>
    <row r="1933" spans="1:4" hidden="1" x14ac:dyDescent="0.2">
      <c r="A1933" s="666" t="s">
        <v>625</v>
      </c>
      <c r="B1933" s="665" t="s">
        <v>13</v>
      </c>
      <c r="C1933" s="664">
        <v>2.25</v>
      </c>
      <c r="D1933" s="12"/>
    </row>
    <row r="1934" spans="1:4" hidden="1" x14ac:dyDescent="0.2">
      <c r="A1934" s="659" t="s">
        <v>624</v>
      </c>
      <c r="B1934" s="658" t="s">
        <v>13</v>
      </c>
      <c r="C1934" s="657">
        <v>8.86</v>
      </c>
      <c r="D1934" s="12"/>
    </row>
    <row r="1935" spans="1:4" hidden="1" x14ac:dyDescent="0.2">
      <c r="A1935" s="666" t="s">
        <v>623</v>
      </c>
      <c r="B1935" s="665" t="s">
        <v>3</v>
      </c>
      <c r="C1935" s="664">
        <v>2.5</v>
      </c>
      <c r="D1935" s="12"/>
    </row>
    <row r="1936" spans="1:4" hidden="1" x14ac:dyDescent="0.2">
      <c r="A1936" s="659" t="s">
        <v>622</v>
      </c>
      <c r="B1936" s="658" t="s">
        <v>3</v>
      </c>
      <c r="C1936" s="657">
        <v>7.4</v>
      </c>
      <c r="D1936" s="12"/>
    </row>
    <row r="1937" spans="1:4" hidden="1" x14ac:dyDescent="0.2">
      <c r="A1937" s="666" t="s">
        <v>621</v>
      </c>
      <c r="B1937" s="665" t="s">
        <v>13</v>
      </c>
      <c r="C1937" s="664">
        <v>0.36</v>
      </c>
      <c r="D1937" s="12"/>
    </row>
    <row r="1938" spans="1:4" hidden="1" x14ac:dyDescent="0.2">
      <c r="A1938" s="659" t="s">
        <v>620</v>
      </c>
      <c r="B1938" s="658" t="s">
        <v>13</v>
      </c>
      <c r="C1938" s="657">
        <v>1.18</v>
      </c>
      <c r="D1938" s="12"/>
    </row>
    <row r="1939" spans="1:4" hidden="1" x14ac:dyDescent="0.2">
      <c r="A1939" s="666" t="s">
        <v>619</v>
      </c>
      <c r="B1939" s="665" t="s">
        <v>13</v>
      </c>
      <c r="C1939" s="664">
        <v>4.03</v>
      </c>
      <c r="D1939" s="12"/>
    </row>
    <row r="1940" spans="1:4" hidden="1" x14ac:dyDescent="0.2">
      <c r="A1940" s="659" t="s">
        <v>618</v>
      </c>
      <c r="B1940" s="658" t="s">
        <v>13</v>
      </c>
      <c r="C1940" s="657">
        <v>11.09</v>
      </c>
      <c r="D1940" s="12"/>
    </row>
    <row r="1941" spans="1:4" hidden="1" x14ac:dyDescent="0.2">
      <c r="A1941" s="666" t="s">
        <v>617</v>
      </c>
      <c r="B1941" s="665" t="s">
        <v>13</v>
      </c>
      <c r="C1941" s="664">
        <v>0.05</v>
      </c>
      <c r="D1941" s="12"/>
    </row>
    <row r="1942" spans="1:4" hidden="1" x14ac:dyDescent="0.2">
      <c r="A1942" s="659" t="s">
        <v>616</v>
      </c>
      <c r="B1942" s="658" t="s">
        <v>13</v>
      </c>
      <c r="C1942" s="657">
        <v>0.89</v>
      </c>
      <c r="D1942" s="12"/>
    </row>
    <row r="1943" spans="1:4" hidden="1" x14ac:dyDescent="0.2">
      <c r="A1943" s="666" t="s">
        <v>615</v>
      </c>
      <c r="B1943" s="665" t="s">
        <v>13</v>
      </c>
      <c r="C1943" s="664">
        <v>0.02</v>
      </c>
      <c r="D1943" s="12"/>
    </row>
    <row r="1944" spans="1:4" hidden="1" x14ac:dyDescent="0.2">
      <c r="A1944" s="659" t="s">
        <v>614</v>
      </c>
      <c r="B1944" s="658" t="s">
        <v>13</v>
      </c>
      <c r="C1944" s="657">
        <v>0.38</v>
      </c>
      <c r="D1944" s="12"/>
    </row>
    <row r="1945" spans="1:4" hidden="1" x14ac:dyDescent="0.2">
      <c r="A1945" s="662" t="s">
        <v>240</v>
      </c>
      <c r="B1945" s="661"/>
      <c r="C1945" s="660"/>
      <c r="D1945" s="12"/>
    </row>
    <row r="1946" spans="1:4" hidden="1" x14ac:dyDescent="0.2">
      <c r="A1946" s="666" t="s">
        <v>613</v>
      </c>
      <c r="B1946" s="665" t="s">
        <v>3</v>
      </c>
      <c r="C1946" s="664">
        <v>14.53</v>
      </c>
      <c r="D1946" s="12"/>
    </row>
    <row r="1947" spans="1:4" hidden="1" x14ac:dyDescent="0.2">
      <c r="A1947" s="659" t="s">
        <v>612</v>
      </c>
      <c r="B1947" s="658" t="s">
        <v>2</v>
      </c>
      <c r="C1947" s="657">
        <v>8</v>
      </c>
      <c r="D1947" s="12"/>
    </row>
    <row r="1948" spans="1:4" hidden="1" x14ac:dyDescent="0.2">
      <c r="A1948" s="666" t="s">
        <v>611</v>
      </c>
      <c r="B1948" s="665" t="s">
        <v>2</v>
      </c>
      <c r="C1948" s="664">
        <v>6</v>
      </c>
      <c r="D1948" s="12"/>
    </row>
    <row r="1949" spans="1:4" hidden="1" x14ac:dyDescent="0.2">
      <c r="A1949" s="659" t="s">
        <v>610</v>
      </c>
      <c r="B1949" s="658" t="s">
        <v>2</v>
      </c>
      <c r="C1949" s="657">
        <v>3</v>
      </c>
      <c r="D1949" s="12"/>
    </row>
    <row r="1950" spans="1:4" hidden="1" x14ac:dyDescent="0.2">
      <c r="A1950" s="662" t="s">
        <v>244</v>
      </c>
      <c r="B1950" s="661"/>
      <c r="C1950" s="660"/>
      <c r="D1950" s="12"/>
    </row>
    <row r="1951" spans="1:4" hidden="1" x14ac:dyDescent="0.2">
      <c r="A1951" s="666" t="s">
        <v>586</v>
      </c>
      <c r="B1951" s="665" t="s">
        <v>2</v>
      </c>
      <c r="C1951" s="664">
        <v>1</v>
      </c>
      <c r="D1951" s="12"/>
    </row>
    <row r="1952" spans="1:4" hidden="1" x14ac:dyDescent="0.2">
      <c r="A1952" s="659" t="s">
        <v>585</v>
      </c>
      <c r="B1952" s="658" t="s">
        <v>2</v>
      </c>
      <c r="C1952" s="657">
        <v>1</v>
      </c>
      <c r="D1952" s="12"/>
    </row>
    <row r="1953" spans="1:4" hidden="1" x14ac:dyDescent="0.2">
      <c r="A1953" s="666" t="s">
        <v>609</v>
      </c>
      <c r="B1953" s="665" t="s">
        <v>2</v>
      </c>
      <c r="C1953" s="664">
        <v>2</v>
      </c>
      <c r="D1953" s="12"/>
    </row>
    <row r="1954" spans="1:4" hidden="1" x14ac:dyDescent="0.2">
      <c r="A1954" s="662" t="s">
        <v>552</v>
      </c>
      <c r="B1954" s="661"/>
      <c r="C1954" s="660"/>
      <c r="D1954" s="12"/>
    </row>
    <row r="1955" spans="1:4" hidden="1" x14ac:dyDescent="0.2">
      <c r="A1955" s="659" t="s">
        <v>551</v>
      </c>
      <c r="B1955" s="658" t="s">
        <v>13</v>
      </c>
      <c r="C1955" s="657">
        <v>87.85</v>
      </c>
      <c r="D1955" s="12"/>
    </row>
    <row r="1956" spans="1:4" hidden="1" x14ac:dyDescent="0.2">
      <c r="A1956" s="666" t="s">
        <v>565</v>
      </c>
      <c r="B1956" s="665" t="s">
        <v>13</v>
      </c>
      <c r="C1956" s="664">
        <v>82.74</v>
      </c>
      <c r="D1956" s="12"/>
    </row>
    <row r="1957" spans="1:4" hidden="1" x14ac:dyDescent="0.2">
      <c r="A1957" s="662" t="s">
        <v>550</v>
      </c>
      <c r="B1957" s="661"/>
      <c r="C1957" s="660"/>
      <c r="D1957" s="12"/>
    </row>
    <row r="1958" spans="1:4" hidden="1" x14ac:dyDescent="0.2">
      <c r="A1958" s="659" t="s">
        <v>549</v>
      </c>
      <c r="B1958" s="658" t="s">
        <v>13</v>
      </c>
      <c r="C1958" s="657">
        <v>170.59</v>
      </c>
      <c r="D1958" s="12"/>
    </row>
    <row r="1959" spans="1:4" hidden="1" x14ac:dyDescent="0.2">
      <c r="A1959" s="662" t="s">
        <v>273</v>
      </c>
      <c r="B1959" s="661"/>
      <c r="C1959" s="660"/>
      <c r="D1959" s="12"/>
    </row>
    <row r="1960" spans="1:4" hidden="1" x14ac:dyDescent="0.2">
      <c r="A1960" s="666" t="s">
        <v>564</v>
      </c>
      <c r="B1960" s="665" t="s">
        <v>13</v>
      </c>
      <c r="C1960" s="664">
        <v>77.59</v>
      </c>
      <c r="D1960" s="12"/>
    </row>
    <row r="1961" spans="1:4" hidden="1" x14ac:dyDescent="0.2">
      <c r="A1961" s="659" t="s">
        <v>608</v>
      </c>
      <c r="B1961" s="658" t="s">
        <v>13</v>
      </c>
      <c r="C1961" s="657">
        <v>6.04</v>
      </c>
      <c r="D1961" s="12"/>
    </row>
    <row r="1962" spans="1:4" hidden="1" x14ac:dyDescent="0.2">
      <c r="A1962" s="666" t="s">
        <v>607</v>
      </c>
      <c r="B1962" s="665" t="s">
        <v>13</v>
      </c>
      <c r="C1962" s="664">
        <v>5.14</v>
      </c>
      <c r="D1962" s="12"/>
    </row>
    <row r="1963" spans="1:4" hidden="1" x14ac:dyDescent="0.2">
      <c r="A1963" s="659" t="s">
        <v>548</v>
      </c>
      <c r="B1963" s="658" t="s">
        <v>13</v>
      </c>
      <c r="C1963" s="657">
        <v>81.819999999999993</v>
      </c>
      <c r="D1963" s="12"/>
    </row>
    <row r="1964" spans="1:4" hidden="1" x14ac:dyDescent="0.2">
      <c r="A1964" s="669" t="s">
        <v>662</v>
      </c>
      <c r="B1964" s="668"/>
      <c r="C1964" s="667"/>
      <c r="D1964" s="12"/>
    </row>
    <row r="1965" spans="1:4" hidden="1" x14ac:dyDescent="0.2">
      <c r="A1965" s="662" t="s">
        <v>208</v>
      </c>
      <c r="B1965" s="661"/>
      <c r="C1965" s="660"/>
      <c r="D1965" s="12"/>
    </row>
    <row r="1966" spans="1:4" hidden="1" x14ac:dyDescent="0.2">
      <c r="A1966" s="666" t="s">
        <v>656</v>
      </c>
      <c r="B1966" s="665" t="s">
        <v>13</v>
      </c>
      <c r="C1966" s="664">
        <v>2.63</v>
      </c>
      <c r="D1966" s="12"/>
    </row>
    <row r="1967" spans="1:4" hidden="1" x14ac:dyDescent="0.2">
      <c r="A1967" s="659" t="s">
        <v>562</v>
      </c>
      <c r="B1967" s="658" t="s">
        <v>13</v>
      </c>
      <c r="C1967" s="657">
        <v>195.56</v>
      </c>
      <c r="D1967" s="12"/>
    </row>
    <row r="1968" spans="1:4" hidden="1" x14ac:dyDescent="0.2">
      <c r="A1968" s="666" t="s">
        <v>581</v>
      </c>
      <c r="B1968" s="665" t="s">
        <v>13</v>
      </c>
      <c r="C1968" s="664">
        <v>81.11</v>
      </c>
      <c r="D1968" s="12"/>
    </row>
    <row r="1969" spans="1:4" hidden="1" x14ac:dyDescent="0.2">
      <c r="A1969" s="662" t="s">
        <v>376</v>
      </c>
      <c r="B1969" s="661"/>
      <c r="C1969" s="660"/>
      <c r="D1969" s="12"/>
    </row>
    <row r="1970" spans="1:4" hidden="1" x14ac:dyDescent="0.2">
      <c r="A1970" s="659" t="s">
        <v>655</v>
      </c>
      <c r="B1970" s="658" t="s">
        <v>13</v>
      </c>
      <c r="C1970" s="657">
        <v>29.04</v>
      </c>
      <c r="D1970" s="12"/>
    </row>
    <row r="1971" spans="1:4" hidden="1" x14ac:dyDescent="0.2">
      <c r="A1971" s="662" t="s">
        <v>605</v>
      </c>
      <c r="B1971" s="661"/>
      <c r="C1971" s="660"/>
      <c r="D1971" s="12"/>
    </row>
    <row r="1972" spans="1:4" hidden="1" x14ac:dyDescent="0.2">
      <c r="A1972" s="666" t="s">
        <v>604</v>
      </c>
      <c r="B1972" s="665" t="s">
        <v>13</v>
      </c>
      <c r="C1972" s="664">
        <v>85</v>
      </c>
      <c r="D1972" s="12"/>
    </row>
    <row r="1973" spans="1:4" hidden="1" x14ac:dyDescent="0.2">
      <c r="A1973" s="662" t="s">
        <v>561</v>
      </c>
      <c r="B1973" s="661"/>
      <c r="C1973" s="660"/>
      <c r="D1973" s="12"/>
    </row>
    <row r="1974" spans="1:4" hidden="1" x14ac:dyDescent="0.2">
      <c r="A1974" s="659" t="s">
        <v>580</v>
      </c>
      <c r="B1974" s="658" t="s">
        <v>3</v>
      </c>
      <c r="C1974" s="657">
        <v>172.6</v>
      </c>
      <c r="D1974" s="12"/>
    </row>
    <row r="1975" spans="1:4" hidden="1" x14ac:dyDescent="0.2">
      <c r="A1975" s="666" t="s">
        <v>560</v>
      </c>
      <c r="B1975" s="665" t="s">
        <v>13</v>
      </c>
      <c r="C1975" s="664">
        <v>196.67</v>
      </c>
      <c r="D1975" s="12"/>
    </row>
    <row r="1976" spans="1:4" hidden="1" x14ac:dyDescent="0.2">
      <c r="A1976" s="659" t="s">
        <v>559</v>
      </c>
      <c r="B1976" s="658" t="s">
        <v>3</v>
      </c>
      <c r="C1976" s="657">
        <v>98</v>
      </c>
      <c r="D1976" s="12"/>
    </row>
    <row r="1977" spans="1:4" hidden="1" x14ac:dyDescent="0.2">
      <c r="A1977" s="662" t="s">
        <v>212</v>
      </c>
      <c r="B1977" s="661"/>
      <c r="C1977" s="660"/>
      <c r="D1977" s="12"/>
    </row>
    <row r="1978" spans="1:4" hidden="1" x14ac:dyDescent="0.2">
      <c r="A1978" s="666" t="s">
        <v>579</v>
      </c>
      <c r="B1978" s="665" t="s">
        <v>13</v>
      </c>
      <c r="C1978" s="664">
        <v>43.76</v>
      </c>
      <c r="D1978" s="12"/>
    </row>
    <row r="1979" spans="1:4" hidden="1" x14ac:dyDescent="0.2">
      <c r="A1979" s="662" t="s">
        <v>557</v>
      </c>
      <c r="B1979" s="661"/>
      <c r="C1979" s="660"/>
      <c r="D1979" s="12"/>
    </row>
    <row r="1980" spans="1:4" hidden="1" x14ac:dyDescent="0.2">
      <c r="A1980" s="659" t="s">
        <v>654</v>
      </c>
      <c r="B1980" s="658" t="s">
        <v>13</v>
      </c>
      <c r="C1980" s="657">
        <v>12.1</v>
      </c>
      <c r="D1980" s="12"/>
    </row>
    <row r="1981" spans="1:4" hidden="1" x14ac:dyDescent="0.2">
      <c r="A1981" s="666" t="s">
        <v>653</v>
      </c>
      <c r="B1981" s="665" t="s">
        <v>13</v>
      </c>
      <c r="C1981" s="664">
        <v>6.98</v>
      </c>
      <c r="D1981" s="12"/>
    </row>
    <row r="1982" spans="1:4" hidden="1" x14ac:dyDescent="0.2">
      <c r="A1982" s="659" t="s">
        <v>603</v>
      </c>
      <c r="B1982" s="658" t="s">
        <v>13</v>
      </c>
      <c r="C1982" s="657">
        <v>3.31</v>
      </c>
      <c r="D1982" s="12"/>
    </row>
    <row r="1983" spans="1:4" hidden="1" x14ac:dyDescent="0.2">
      <c r="A1983" s="666" t="s">
        <v>602</v>
      </c>
      <c r="B1983" s="665" t="s">
        <v>13</v>
      </c>
      <c r="C1983" s="664">
        <v>6.44</v>
      </c>
      <c r="D1983" s="12"/>
    </row>
    <row r="1984" spans="1:4" hidden="1" x14ac:dyDescent="0.2">
      <c r="A1984" s="659" t="s">
        <v>652</v>
      </c>
      <c r="B1984" s="658" t="s">
        <v>13</v>
      </c>
      <c r="C1984" s="657">
        <v>36.83</v>
      </c>
      <c r="D1984" s="12"/>
    </row>
    <row r="1985" spans="1:4" hidden="1" x14ac:dyDescent="0.2">
      <c r="A1985" s="666" t="s">
        <v>651</v>
      </c>
      <c r="B1985" s="665" t="s">
        <v>13</v>
      </c>
      <c r="C1985" s="664">
        <v>17.95</v>
      </c>
      <c r="D1985" s="12"/>
    </row>
    <row r="1986" spans="1:4" hidden="1" x14ac:dyDescent="0.2">
      <c r="A1986" s="659" t="s">
        <v>650</v>
      </c>
      <c r="B1986" s="658" t="s">
        <v>13</v>
      </c>
      <c r="C1986" s="657">
        <v>22.97</v>
      </c>
      <c r="D1986" s="12"/>
    </row>
    <row r="1987" spans="1:4" hidden="1" x14ac:dyDescent="0.2">
      <c r="A1987" s="666" t="s">
        <v>649</v>
      </c>
      <c r="B1987" s="665" t="s">
        <v>13</v>
      </c>
      <c r="C1987" s="664">
        <v>5.43</v>
      </c>
      <c r="D1987" s="12"/>
    </row>
    <row r="1988" spans="1:4" hidden="1" x14ac:dyDescent="0.2">
      <c r="A1988" s="659" t="s">
        <v>648</v>
      </c>
      <c r="B1988" s="658" t="s">
        <v>13</v>
      </c>
      <c r="C1988" s="657">
        <v>10.6</v>
      </c>
      <c r="D1988" s="12"/>
    </row>
    <row r="1989" spans="1:4" hidden="1" x14ac:dyDescent="0.2">
      <c r="A1989" s="666" t="s">
        <v>647</v>
      </c>
      <c r="B1989" s="665" t="s">
        <v>13</v>
      </c>
      <c r="C1989" s="664">
        <v>6.95</v>
      </c>
      <c r="D1989" s="12"/>
    </row>
    <row r="1990" spans="1:4" hidden="1" x14ac:dyDescent="0.2">
      <c r="A1990" s="659" t="s">
        <v>646</v>
      </c>
      <c r="B1990" s="658" t="s">
        <v>13</v>
      </c>
      <c r="C1990" s="657">
        <v>9.51</v>
      </c>
      <c r="D1990" s="12"/>
    </row>
    <row r="1991" spans="1:4" hidden="1" x14ac:dyDescent="0.2">
      <c r="A1991" s="666" t="s">
        <v>645</v>
      </c>
      <c r="B1991" s="665" t="s">
        <v>13</v>
      </c>
      <c r="C1991" s="664">
        <v>2.99</v>
      </c>
      <c r="D1991" s="12"/>
    </row>
    <row r="1992" spans="1:4" hidden="1" x14ac:dyDescent="0.2">
      <c r="A1992" s="662" t="s">
        <v>220</v>
      </c>
      <c r="B1992" s="661"/>
      <c r="C1992" s="660"/>
      <c r="D1992" s="12"/>
    </row>
    <row r="1993" spans="1:4" hidden="1" x14ac:dyDescent="0.2">
      <c r="A1993" s="659" t="s">
        <v>599</v>
      </c>
      <c r="B1993" s="658" t="s">
        <v>13</v>
      </c>
      <c r="C1993" s="657">
        <v>197.77</v>
      </c>
      <c r="D1993" s="12"/>
    </row>
    <row r="1994" spans="1:4" hidden="1" x14ac:dyDescent="0.2">
      <c r="A1994" s="666" t="s">
        <v>644</v>
      </c>
      <c r="B1994" s="665" t="s">
        <v>13</v>
      </c>
      <c r="C1994" s="664">
        <v>7.88</v>
      </c>
      <c r="D1994" s="12"/>
    </row>
    <row r="1995" spans="1:4" ht="25.5" hidden="1" x14ac:dyDescent="0.2">
      <c r="A1995" s="659" t="s">
        <v>643</v>
      </c>
      <c r="B1995" s="658" t="s">
        <v>13</v>
      </c>
      <c r="C1995" s="657">
        <v>2.82</v>
      </c>
      <c r="D1995" s="12"/>
    </row>
    <row r="1996" spans="1:4" hidden="1" x14ac:dyDescent="0.2">
      <c r="A1996" s="662" t="s">
        <v>598</v>
      </c>
      <c r="B1996" s="661"/>
      <c r="C1996" s="660"/>
      <c r="D1996" s="12"/>
    </row>
    <row r="1997" spans="1:4" hidden="1" x14ac:dyDescent="0.2">
      <c r="A1997" s="666" t="s">
        <v>642</v>
      </c>
      <c r="B1997" s="665" t="s">
        <v>13</v>
      </c>
      <c r="C1997" s="664">
        <v>5.27</v>
      </c>
      <c r="D1997" s="12"/>
    </row>
    <row r="1998" spans="1:4" hidden="1" x14ac:dyDescent="0.2">
      <c r="A1998" s="662" t="s">
        <v>576</v>
      </c>
      <c r="B1998" s="661"/>
      <c r="C1998" s="660"/>
      <c r="D1998" s="12"/>
    </row>
    <row r="1999" spans="1:4" hidden="1" x14ac:dyDescent="0.2">
      <c r="A1999" s="659" t="s">
        <v>575</v>
      </c>
      <c r="B1999" s="658" t="s">
        <v>13</v>
      </c>
      <c r="C1999" s="657">
        <v>546.5</v>
      </c>
      <c r="D1999" s="12"/>
    </row>
    <row r="2000" spans="1:4" hidden="1" x14ac:dyDescent="0.2">
      <c r="A2000" s="666" t="s">
        <v>574</v>
      </c>
      <c r="B2000" s="665" t="s">
        <v>13</v>
      </c>
      <c r="C2000" s="664">
        <v>153.68</v>
      </c>
      <c r="D2000" s="12"/>
    </row>
    <row r="2001" spans="1:4" hidden="1" x14ac:dyDescent="0.2">
      <c r="A2001" s="662" t="s">
        <v>573</v>
      </c>
      <c r="B2001" s="661"/>
      <c r="C2001" s="660"/>
      <c r="D2001" s="12"/>
    </row>
    <row r="2002" spans="1:4" hidden="1" x14ac:dyDescent="0.2">
      <c r="A2002" s="659" t="s">
        <v>572</v>
      </c>
      <c r="B2002" s="658" t="s">
        <v>13</v>
      </c>
      <c r="C2002" s="657">
        <v>700.18</v>
      </c>
      <c r="D2002" s="12"/>
    </row>
    <row r="2003" spans="1:4" hidden="1" x14ac:dyDescent="0.2">
      <c r="A2003" s="662" t="s">
        <v>224</v>
      </c>
      <c r="B2003" s="661"/>
      <c r="C2003" s="660"/>
      <c r="D2003" s="12"/>
    </row>
    <row r="2004" spans="1:4" hidden="1" x14ac:dyDescent="0.2">
      <c r="A2004" s="666" t="s">
        <v>571</v>
      </c>
      <c r="B2004" s="665" t="s">
        <v>13</v>
      </c>
      <c r="C2004" s="664">
        <v>45.24</v>
      </c>
      <c r="D2004" s="12"/>
    </row>
    <row r="2005" spans="1:4" hidden="1" x14ac:dyDescent="0.2">
      <c r="A2005" s="662" t="s">
        <v>218</v>
      </c>
      <c r="B2005" s="661"/>
      <c r="C2005" s="660"/>
      <c r="D2005" s="12"/>
    </row>
    <row r="2006" spans="1:4" hidden="1" x14ac:dyDescent="0.2">
      <c r="A2006" s="659" t="s">
        <v>570</v>
      </c>
      <c r="B2006" s="658" t="s">
        <v>13</v>
      </c>
      <c r="C2006" s="657">
        <v>37.35</v>
      </c>
      <c r="D2006" s="12"/>
    </row>
    <row r="2007" spans="1:4" hidden="1" x14ac:dyDescent="0.2">
      <c r="A2007" s="662" t="s">
        <v>219</v>
      </c>
      <c r="B2007" s="661"/>
      <c r="C2007" s="660"/>
      <c r="D2007" s="12"/>
    </row>
    <row r="2008" spans="1:4" hidden="1" x14ac:dyDescent="0.2">
      <c r="A2008" s="666" t="s">
        <v>641</v>
      </c>
      <c r="B2008" s="665" t="s">
        <v>13</v>
      </c>
      <c r="C2008" s="664">
        <v>187.88</v>
      </c>
      <c r="D2008" s="12"/>
    </row>
    <row r="2009" spans="1:4" hidden="1" x14ac:dyDescent="0.2">
      <c r="A2009" s="662" t="s">
        <v>222</v>
      </c>
      <c r="B2009" s="661"/>
      <c r="C2009" s="660"/>
      <c r="D2009" s="12"/>
    </row>
    <row r="2010" spans="1:4" hidden="1" x14ac:dyDescent="0.2">
      <c r="A2010" s="659" t="s">
        <v>640</v>
      </c>
      <c r="B2010" s="658" t="s">
        <v>13</v>
      </c>
      <c r="C2010" s="657">
        <v>93.11</v>
      </c>
      <c r="D2010" s="12"/>
    </row>
    <row r="2011" spans="1:4" hidden="1" x14ac:dyDescent="0.2">
      <c r="A2011" s="666" t="s">
        <v>639</v>
      </c>
      <c r="B2011" s="665" t="s">
        <v>13</v>
      </c>
      <c r="C2011" s="664">
        <v>23.38</v>
      </c>
      <c r="D2011" s="12"/>
    </row>
    <row r="2012" spans="1:4" hidden="1" x14ac:dyDescent="0.2">
      <c r="A2012" s="659" t="s">
        <v>638</v>
      </c>
      <c r="B2012" s="658" t="s">
        <v>13</v>
      </c>
      <c r="C2012" s="657">
        <v>8.48</v>
      </c>
      <c r="D2012" s="12"/>
    </row>
    <row r="2013" spans="1:4" hidden="1" x14ac:dyDescent="0.2">
      <c r="A2013" s="662" t="s">
        <v>637</v>
      </c>
      <c r="B2013" s="661"/>
      <c r="C2013" s="660"/>
      <c r="D2013" s="12"/>
    </row>
    <row r="2014" spans="1:4" hidden="1" x14ac:dyDescent="0.2">
      <c r="A2014" s="666" t="s">
        <v>636</v>
      </c>
      <c r="B2014" s="665" t="s">
        <v>13</v>
      </c>
      <c r="C2014" s="664">
        <v>63.69</v>
      </c>
      <c r="D2014" s="12"/>
    </row>
    <row r="2015" spans="1:4" hidden="1" x14ac:dyDescent="0.2">
      <c r="A2015" s="662" t="s">
        <v>635</v>
      </c>
      <c r="B2015" s="661"/>
      <c r="C2015" s="660"/>
      <c r="D2015" s="12"/>
    </row>
    <row r="2016" spans="1:4" hidden="1" x14ac:dyDescent="0.2">
      <c r="A2016" s="659" t="s">
        <v>634</v>
      </c>
      <c r="B2016" s="658" t="s">
        <v>3</v>
      </c>
      <c r="C2016" s="657">
        <v>158.85</v>
      </c>
      <c r="D2016" s="12"/>
    </row>
    <row r="2017" spans="1:4" hidden="1" x14ac:dyDescent="0.2">
      <c r="A2017" s="662" t="s">
        <v>346</v>
      </c>
      <c r="B2017" s="661"/>
      <c r="C2017" s="660"/>
      <c r="D2017" s="12"/>
    </row>
    <row r="2018" spans="1:4" hidden="1" x14ac:dyDescent="0.2">
      <c r="A2018" s="666" t="s">
        <v>633</v>
      </c>
      <c r="B2018" s="665" t="s">
        <v>13</v>
      </c>
      <c r="C2018" s="664">
        <v>0.85</v>
      </c>
      <c r="D2018" s="12"/>
    </row>
    <row r="2019" spans="1:4" hidden="1" x14ac:dyDescent="0.2">
      <c r="A2019" s="662" t="s">
        <v>217</v>
      </c>
      <c r="B2019" s="661"/>
      <c r="C2019" s="660"/>
      <c r="D2019" s="12"/>
    </row>
    <row r="2020" spans="1:4" hidden="1" x14ac:dyDescent="0.2">
      <c r="A2020" s="659" t="s">
        <v>632</v>
      </c>
      <c r="B2020" s="658" t="s">
        <v>13</v>
      </c>
      <c r="C2020" s="657">
        <v>3.2</v>
      </c>
      <c r="D2020" s="12"/>
    </row>
    <row r="2021" spans="1:4" hidden="1" x14ac:dyDescent="0.2">
      <c r="A2021" s="662" t="s">
        <v>215</v>
      </c>
      <c r="B2021" s="661"/>
      <c r="C2021" s="660"/>
      <c r="D2021" s="12"/>
    </row>
    <row r="2022" spans="1:4" hidden="1" x14ac:dyDescent="0.2">
      <c r="A2022" s="666" t="s">
        <v>631</v>
      </c>
      <c r="B2022" s="665" t="s">
        <v>13</v>
      </c>
      <c r="C2022" s="664">
        <v>58.23</v>
      </c>
      <c r="D2022" s="12"/>
    </row>
    <row r="2023" spans="1:4" hidden="1" x14ac:dyDescent="0.2">
      <c r="A2023" s="659" t="s">
        <v>630</v>
      </c>
      <c r="B2023" s="658" t="s">
        <v>13</v>
      </c>
      <c r="C2023" s="657">
        <v>108</v>
      </c>
      <c r="D2023" s="12"/>
    </row>
    <row r="2024" spans="1:4" hidden="1" x14ac:dyDescent="0.2">
      <c r="A2024" s="662" t="s">
        <v>231</v>
      </c>
      <c r="B2024" s="661"/>
      <c r="C2024" s="660"/>
      <c r="D2024" s="12"/>
    </row>
    <row r="2025" spans="1:4" hidden="1" x14ac:dyDescent="0.2">
      <c r="A2025" s="666" t="s">
        <v>595</v>
      </c>
      <c r="B2025" s="665" t="s">
        <v>13</v>
      </c>
      <c r="C2025" s="664">
        <v>6.72</v>
      </c>
      <c r="D2025" s="12"/>
    </row>
    <row r="2026" spans="1:4" hidden="1" x14ac:dyDescent="0.2">
      <c r="A2026" s="659" t="s">
        <v>629</v>
      </c>
      <c r="B2026" s="658" t="s">
        <v>13</v>
      </c>
      <c r="C2026" s="657">
        <v>7.88</v>
      </c>
      <c r="D2026" s="12"/>
    </row>
    <row r="2027" spans="1:4" hidden="1" x14ac:dyDescent="0.2">
      <c r="A2027" s="666" t="s">
        <v>594</v>
      </c>
      <c r="B2027" s="665" t="s">
        <v>13</v>
      </c>
      <c r="C2027" s="664">
        <v>17.21</v>
      </c>
      <c r="D2027" s="12"/>
    </row>
    <row r="2028" spans="1:4" hidden="1" x14ac:dyDescent="0.2">
      <c r="A2028" s="662" t="s">
        <v>569</v>
      </c>
      <c r="B2028" s="661"/>
      <c r="C2028" s="660"/>
      <c r="D2028" s="12"/>
    </row>
    <row r="2029" spans="1:4" hidden="1" x14ac:dyDescent="0.2">
      <c r="A2029" s="659" t="s">
        <v>628</v>
      </c>
      <c r="B2029" s="658" t="s">
        <v>13</v>
      </c>
      <c r="C2029" s="657">
        <v>31.33</v>
      </c>
      <c r="D2029" s="12"/>
    </row>
    <row r="2030" spans="1:4" hidden="1" x14ac:dyDescent="0.2">
      <c r="A2030" s="666" t="s">
        <v>627</v>
      </c>
      <c r="B2030" s="665" t="s">
        <v>13</v>
      </c>
      <c r="C2030" s="664">
        <v>420.78</v>
      </c>
      <c r="D2030" s="12"/>
    </row>
    <row r="2031" spans="1:4" hidden="1" x14ac:dyDescent="0.2">
      <c r="A2031" s="659" t="s">
        <v>626</v>
      </c>
      <c r="B2031" s="658" t="s">
        <v>13</v>
      </c>
      <c r="C2031" s="657">
        <v>2.93</v>
      </c>
      <c r="D2031" s="12"/>
    </row>
    <row r="2032" spans="1:4" hidden="1" x14ac:dyDescent="0.2">
      <c r="A2032" s="666" t="s">
        <v>592</v>
      </c>
      <c r="B2032" s="665" t="s">
        <v>13</v>
      </c>
      <c r="C2032" s="664">
        <v>78.91</v>
      </c>
      <c r="D2032" s="12"/>
    </row>
    <row r="2033" spans="1:4" hidden="1" x14ac:dyDescent="0.2">
      <c r="A2033" s="662" t="s">
        <v>567</v>
      </c>
      <c r="B2033" s="661"/>
      <c r="C2033" s="660"/>
      <c r="D2033" s="12"/>
    </row>
    <row r="2034" spans="1:4" hidden="1" x14ac:dyDescent="0.2">
      <c r="A2034" s="659" t="s">
        <v>566</v>
      </c>
      <c r="B2034" s="658" t="s">
        <v>13</v>
      </c>
      <c r="C2034" s="657">
        <v>225.23</v>
      </c>
      <c r="D2034" s="12"/>
    </row>
    <row r="2035" spans="1:4" hidden="1" x14ac:dyDescent="0.2">
      <c r="A2035" s="662" t="s">
        <v>235</v>
      </c>
      <c r="B2035" s="661"/>
      <c r="C2035" s="660"/>
      <c r="D2035" s="12"/>
    </row>
    <row r="2036" spans="1:4" hidden="1" x14ac:dyDescent="0.2">
      <c r="A2036" s="666" t="s">
        <v>554</v>
      </c>
      <c r="B2036" s="665" t="s">
        <v>3</v>
      </c>
      <c r="C2036" s="664">
        <v>108.4</v>
      </c>
      <c r="D2036" s="12"/>
    </row>
    <row r="2037" spans="1:4" hidden="1" x14ac:dyDescent="0.2">
      <c r="A2037" s="662" t="s">
        <v>236</v>
      </c>
      <c r="B2037" s="661"/>
      <c r="C2037" s="660"/>
      <c r="D2037" s="12"/>
    </row>
    <row r="2038" spans="1:4" hidden="1" x14ac:dyDescent="0.2">
      <c r="A2038" s="659" t="s">
        <v>591</v>
      </c>
      <c r="B2038" s="658" t="s">
        <v>13</v>
      </c>
      <c r="C2038" s="657">
        <v>1.04</v>
      </c>
      <c r="D2038" s="12"/>
    </row>
    <row r="2039" spans="1:4" hidden="1" x14ac:dyDescent="0.2">
      <c r="A2039" s="666" t="s">
        <v>590</v>
      </c>
      <c r="B2039" s="665" t="s">
        <v>13</v>
      </c>
      <c r="C2039" s="664">
        <v>1.04</v>
      </c>
      <c r="D2039" s="12"/>
    </row>
    <row r="2040" spans="1:4" hidden="1" x14ac:dyDescent="0.2">
      <c r="A2040" s="659" t="s">
        <v>625</v>
      </c>
      <c r="B2040" s="658" t="s">
        <v>13</v>
      </c>
      <c r="C2040" s="657">
        <v>2.25</v>
      </c>
      <c r="D2040" s="12"/>
    </row>
    <row r="2041" spans="1:4" hidden="1" x14ac:dyDescent="0.2">
      <c r="A2041" s="666" t="s">
        <v>624</v>
      </c>
      <c r="B2041" s="665" t="s">
        <v>13</v>
      </c>
      <c r="C2041" s="664">
        <v>8.86</v>
      </c>
      <c r="D2041" s="12"/>
    </row>
    <row r="2042" spans="1:4" hidden="1" x14ac:dyDescent="0.2">
      <c r="A2042" s="659" t="s">
        <v>623</v>
      </c>
      <c r="B2042" s="658" t="s">
        <v>3</v>
      </c>
      <c r="C2042" s="657">
        <v>2.5</v>
      </c>
      <c r="D2042" s="12"/>
    </row>
    <row r="2043" spans="1:4" hidden="1" x14ac:dyDescent="0.2">
      <c r="A2043" s="666" t="s">
        <v>622</v>
      </c>
      <c r="B2043" s="665" t="s">
        <v>3</v>
      </c>
      <c r="C2043" s="664">
        <v>7.4</v>
      </c>
      <c r="D2043" s="12"/>
    </row>
    <row r="2044" spans="1:4" hidden="1" x14ac:dyDescent="0.2">
      <c r="A2044" s="659" t="s">
        <v>621</v>
      </c>
      <c r="B2044" s="658" t="s">
        <v>13</v>
      </c>
      <c r="C2044" s="657">
        <v>0.36</v>
      </c>
      <c r="D2044" s="12"/>
    </row>
    <row r="2045" spans="1:4" hidden="1" x14ac:dyDescent="0.2">
      <c r="A2045" s="666" t="s">
        <v>620</v>
      </c>
      <c r="B2045" s="665" t="s">
        <v>13</v>
      </c>
      <c r="C2045" s="664">
        <v>1.18</v>
      </c>
      <c r="D2045" s="12"/>
    </row>
    <row r="2046" spans="1:4" hidden="1" x14ac:dyDescent="0.2">
      <c r="A2046" s="659" t="s">
        <v>619</v>
      </c>
      <c r="B2046" s="658" t="s">
        <v>13</v>
      </c>
      <c r="C2046" s="657">
        <v>4.03</v>
      </c>
      <c r="D2046" s="12"/>
    </row>
    <row r="2047" spans="1:4" hidden="1" x14ac:dyDescent="0.2">
      <c r="A2047" s="666" t="s">
        <v>618</v>
      </c>
      <c r="B2047" s="665" t="s">
        <v>13</v>
      </c>
      <c r="C2047" s="664">
        <v>11.09</v>
      </c>
      <c r="D2047" s="12"/>
    </row>
    <row r="2048" spans="1:4" hidden="1" x14ac:dyDescent="0.2">
      <c r="A2048" s="659" t="s">
        <v>617</v>
      </c>
      <c r="B2048" s="658" t="s">
        <v>13</v>
      </c>
      <c r="C2048" s="657">
        <v>0.05</v>
      </c>
      <c r="D2048" s="12"/>
    </row>
    <row r="2049" spans="1:4" hidden="1" x14ac:dyDescent="0.2">
      <c r="A2049" s="666" t="s">
        <v>616</v>
      </c>
      <c r="B2049" s="665" t="s">
        <v>13</v>
      </c>
      <c r="C2049" s="664">
        <v>0.89</v>
      </c>
      <c r="D2049" s="12"/>
    </row>
    <row r="2050" spans="1:4" hidden="1" x14ac:dyDescent="0.2">
      <c r="A2050" s="659" t="s">
        <v>615</v>
      </c>
      <c r="B2050" s="658" t="s">
        <v>13</v>
      </c>
      <c r="C2050" s="657">
        <v>0.02</v>
      </c>
      <c r="D2050" s="12"/>
    </row>
    <row r="2051" spans="1:4" hidden="1" x14ac:dyDescent="0.2">
      <c r="A2051" s="666" t="s">
        <v>614</v>
      </c>
      <c r="B2051" s="665" t="s">
        <v>13</v>
      </c>
      <c r="C2051" s="664">
        <v>0.38</v>
      </c>
      <c r="D2051" s="12"/>
    </row>
    <row r="2052" spans="1:4" hidden="1" x14ac:dyDescent="0.2">
      <c r="A2052" s="662" t="s">
        <v>240</v>
      </c>
      <c r="B2052" s="661"/>
      <c r="C2052" s="660"/>
      <c r="D2052" s="12"/>
    </row>
    <row r="2053" spans="1:4" hidden="1" x14ac:dyDescent="0.2">
      <c r="A2053" s="659" t="s">
        <v>613</v>
      </c>
      <c r="B2053" s="658" t="s">
        <v>3</v>
      </c>
      <c r="C2053" s="657">
        <v>14.53</v>
      </c>
      <c r="D2053" s="12"/>
    </row>
    <row r="2054" spans="1:4" hidden="1" x14ac:dyDescent="0.2">
      <c r="A2054" s="666" t="s">
        <v>612</v>
      </c>
      <c r="B2054" s="665" t="s">
        <v>2</v>
      </c>
      <c r="C2054" s="664">
        <v>8</v>
      </c>
      <c r="D2054" s="12"/>
    </row>
    <row r="2055" spans="1:4" hidden="1" x14ac:dyDescent="0.2">
      <c r="A2055" s="659" t="s">
        <v>611</v>
      </c>
      <c r="B2055" s="658" t="s">
        <v>2</v>
      </c>
      <c r="C2055" s="657">
        <v>6</v>
      </c>
      <c r="D2055" s="12"/>
    </row>
    <row r="2056" spans="1:4" hidden="1" x14ac:dyDescent="0.2">
      <c r="A2056" s="666" t="s">
        <v>610</v>
      </c>
      <c r="B2056" s="665" t="s">
        <v>2</v>
      </c>
      <c r="C2056" s="664">
        <v>3</v>
      </c>
      <c r="D2056" s="12"/>
    </row>
    <row r="2057" spans="1:4" hidden="1" x14ac:dyDescent="0.2">
      <c r="A2057" s="662" t="s">
        <v>244</v>
      </c>
      <c r="B2057" s="661"/>
      <c r="C2057" s="660"/>
      <c r="D2057" s="12"/>
    </row>
    <row r="2058" spans="1:4" hidden="1" x14ac:dyDescent="0.2">
      <c r="A2058" s="659" t="s">
        <v>586</v>
      </c>
      <c r="B2058" s="658" t="s">
        <v>2</v>
      </c>
      <c r="C2058" s="657">
        <v>1</v>
      </c>
      <c r="D2058" s="12"/>
    </row>
    <row r="2059" spans="1:4" hidden="1" x14ac:dyDescent="0.2">
      <c r="A2059" s="666" t="s">
        <v>585</v>
      </c>
      <c r="B2059" s="665" t="s">
        <v>2</v>
      </c>
      <c r="C2059" s="664">
        <v>1</v>
      </c>
      <c r="D2059" s="12"/>
    </row>
    <row r="2060" spans="1:4" hidden="1" x14ac:dyDescent="0.2">
      <c r="A2060" s="659" t="s">
        <v>609</v>
      </c>
      <c r="B2060" s="658" t="s">
        <v>2</v>
      </c>
      <c r="C2060" s="657">
        <v>2</v>
      </c>
      <c r="D2060" s="12"/>
    </row>
    <row r="2061" spans="1:4" hidden="1" x14ac:dyDescent="0.2">
      <c r="A2061" s="662" t="s">
        <v>552</v>
      </c>
      <c r="B2061" s="661"/>
      <c r="C2061" s="660"/>
      <c r="D2061" s="12"/>
    </row>
    <row r="2062" spans="1:4" hidden="1" x14ac:dyDescent="0.2">
      <c r="A2062" s="666" t="s">
        <v>551</v>
      </c>
      <c r="B2062" s="665" t="s">
        <v>13</v>
      </c>
      <c r="C2062" s="664">
        <v>87.85</v>
      </c>
      <c r="D2062" s="12"/>
    </row>
    <row r="2063" spans="1:4" hidden="1" x14ac:dyDescent="0.2">
      <c r="A2063" s="659" t="s">
        <v>565</v>
      </c>
      <c r="B2063" s="658" t="s">
        <v>13</v>
      </c>
      <c r="C2063" s="657">
        <v>82.74</v>
      </c>
      <c r="D2063" s="12"/>
    </row>
    <row r="2064" spans="1:4" hidden="1" x14ac:dyDescent="0.2">
      <c r="A2064" s="662" t="s">
        <v>550</v>
      </c>
      <c r="B2064" s="661"/>
      <c r="C2064" s="660"/>
      <c r="D2064" s="12"/>
    </row>
    <row r="2065" spans="1:4" hidden="1" x14ac:dyDescent="0.2">
      <c r="A2065" s="666" t="s">
        <v>549</v>
      </c>
      <c r="B2065" s="665" t="s">
        <v>13</v>
      </c>
      <c r="C2065" s="664">
        <v>170.59</v>
      </c>
      <c r="D2065" s="12"/>
    </row>
    <row r="2066" spans="1:4" hidden="1" x14ac:dyDescent="0.2">
      <c r="A2066" s="662" t="s">
        <v>273</v>
      </c>
      <c r="B2066" s="661"/>
      <c r="C2066" s="660"/>
      <c r="D2066" s="12"/>
    </row>
    <row r="2067" spans="1:4" hidden="1" x14ac:dyDescent="0.2">
      <c r="A2067" s="659" t="s">
        <v>564</v>
      </c>
      <c r="B2067" s="658" t="s">
        <v>13</v>
      </c>
      <c r="C2067" s="657">
        <v>77.59</v>
      </c>
      <c r="D2067" s="12"/>
    </row>
    <row r="2068" spans="1:4" hidden="1" x14ac:dyDescent="0.2">
      <c r="A2068" s="666" t="s">
        <v>608</v>
      </c>
      <c r="B2068" s="665" t="s">
        <v>13</v>
      </c>
      <c r="C2068" s="664">
        <v>6.04</v>
      </c>
      <c r="D2068" s="12"/>
    </row>
    <row r="2069" spans="1:4" hidden="1" x14ac:dyDescent="0.2">
      <c r="A2069" s="659" t="s">
        <v>607</v>
      </c>
      <c r="B2069" s="658" t="s">
        <v>13</v>
      </c>
      <c r="C2069" s="657">
        <v>5.14</v>
      </c>
      <c r="D2069" s="12"/>
    </row>
    <row r="2070" spans="1:4" hidden="1" x14ac:dyDescent="0.2">
      <c r="A2070" s="666" t="s">
        <v>548</v>
      </c>
      <c r="B2070" s="665" t="s">
        <v>13</v>
      </c>
      <c r="C2070" s="664">
        <v>81.819999999999993</v>
      </c>
      <c r="D2070" s="12"/>
    </row>
    <row r="2071" spans="1:4" hidden="1" x14ac:dyDescent="0.2">
      <c r="A2071" s="669" t="s">
        <v>661</v>
      </c>
      <c r="B2071" s="668"/>
      <c r="C2071" s="667"/>
      <c r="D2071" s="12"/>
    </row>
    <row r="2072" spans="1:4" hidden="1" x14ac:dyDescent="0.2">
      <c r="A2072" s="662" t="s">
        <v>208</v>
      </c>
      <c r="B2072" s="661"/>
      <c r="C2072" s="660"/>
      <c r="D2072" s="12"/>
    </row>
    <row r="2073" spans="1:4" hidden="1" x14ac:dyDescent="0.2">
      <c r="A2073" s="659" t="s">
        <v>656</v>
      </c>
      <c r="B2073" s="658" t="s">
        <v>13</v>
      </c>
      <c r="C2073" s="657">
        <v>2.63</v>
      </c>
      <c r="D2073" s="12"/>
    </row>
    <row r="2074" spans="1:4" hidden="1" x14ac:dyDescent="0.2">
      <c r="A2074" s="666" t="s">
        <v>562</v>
      </c>
      <c r="B2074" s="665" t="s">
        <v>13</v>
      </c>
      <c r="C2074" s="664">
        <v>195.56</v>
      </c>
      <c r="D2074" s="12"/>
    </row>
    <row r="2075" spans="1:4" hidden="1" x14ac:dyDescent="0.2">
      <c r="A2075" s="659" t="s">
        <v>581</v>
      </c>
      <c r="B2075" s="658" t="s">
        <v>13</v>
      </c>
      <c r="C2075" s="657">
        <v>81.11</v>
      </c>
      <c r="D2075" s="12"/>
    </row>
    <row r="2076" spans="1:4" hidden="1" x14ac:dyDescent="0.2">
      <c r="A2076" s="662" t="s">
        <v>376</v>
      </c>
      <c r="B2076" s="661"/>
      <c r="C2076" s="660"/>
      <c r="D2076" s="12"/>
    </row>
    <row r="2077" spans="1:4" hidden="1" x14ac:dyDescent="0.2">
      <c r="A2077" s="666" t="s">
        <v>655</v>
      </c>
      <c r="B2077" s="665" t="s">
        <v>13</v>
      </c>
      <c r="C2077" s="664">
        <v>29.04</v>
      </c>
      <c r="D2077" s="12"/>
    </row>
    <row r="2078" spans="1:4" hidden="1" x14ac:dyDescent="0.2">
      <c r="A2078" s="662" t="s">
        <v>605</v>
      </c>
      <c r="B2078" s="661"/>
      <c r="C2078" s="660"/>
      <c r="D2078" s="12"/>
    </row>
    <row r="2079" spans="1:4" hidden="1" x14ac:dyDescent="0.2">
      <c r="A2079" s="659" t="s">
        <v>604</v>
      </c>
      <c r="B2079" s="658" t="s">
        <v>13</v>
      </c>
      <c r="C2079" s="657">
        <v>85</v>
      </c>
      <c r="D2079" s="12"/>
    </row>
    <row r="2080" spans="1:4" hidden="1" x14ac:dyDescent="0.2">
      <c r="A2080" s="662" t="s">
        <v>561</v>
      </c>
      <c r="B2080" s="661"/>
      <c r="C2080" s="660"/>
      <c r="D2080" s="12"/>
    </row>
    <row r="2081" spans="1:4" hidden="1" x14ac:dyDescent="0.2">
      <c r="A2081" s="666" t="s">
        <v>580</v>
      </c>
      <c r="B2081" s="665" t="s">
        <v>3</v>
      </c>
      <c r="C2081" s="664">
        <v>172.6</v>
      </c>
      <c r="D2081" s="12"/>
    </row>
    <row r="2082" spans="1:4" hidden="1" x14ac:dyDescent="0.2">
      <c r="A2082" s="659" t="s">
        <v>560</v>
      </c>
      <c r="B2082" s="658" t="s">
        <v>13</v>
      </c>
      <c r="C2082" s="657">
        <v>196.67</v>
      </c>
      <c r="D2082" s="12"/>
    </row>
    <row r="2083" spans="1:4" hidden="1" x14ac:dyDescent="0.2">
      <c r="A2083" s="666" t="s">
        <v>559</v>
      </c>
      <c r="B2083" s="665" t="s">
        <v>3</v>
      </c>
      <c r="C2083" s="664">
        <v>98</v>
      </c>
      <c r="D2083" s="12"/>
    </row>
    <row r="2084" spans="1:4" hidden="1" x14ac:dyDescent="0.2">
      <c r="A2084" s="662" t="s">
        <v>212</v>
      </c>
      <c r="B2084" s="661"/>
      <c r="C2084" s="660"/>
      <c r="D2084" s="12"/>
    </row>
    <row r="2085" spans="1:4" hidden="1" x14ac:dyDescent="0.2">
      <c r="A2085" s="659" t="s">
        <v>579</v>
      </c>
      <c r="B2085" s="658" t="s">
        <v>13</v>
      </c>
      <c r="C2085" s="657">
        <v>43.76</v>
      </c>
      <c r="D2085" s="12"/>
    </row>
    <row r="2086" spans="1:4" hidden="1" x14ac:dyDescent="0.2">
      <c r="A2086" s="662" t="s">
        <v>557</v>
      </c>
      <c r="B2086" s="661"/>
      <c r="C2086" s="660"/>
      <c r="D2086" s="12"/>
    </row>
    <row r="2087" spans="1:4" hidden="1" x14ac:dyDescent="0.2">
      <c r="A2087" s="666" t="s">
        <v>654</v>
      </c>
      <c r="B2087" s="665" t="s">
        <v>13</v>
      </c>
      <c r="C2087" s="664">
        <v>12.1</v>
      </c>
      <c r="D2087" s="12"/>
    </row>
    <row r="2088" spans="1:4" hidden="1" x14ac:dyDescent="0.2">
      <c r="A2088" s="659" t="s">
        <v>653</v>
      </c>
      <c r="B2088" s="658" t="s">
        <v>13</v>
      </c>
      <c r="C2088" s="657">
        <v>6.98</v>
      </c>
      <c r="D2088" s="12"/>
    </row>
    <row r="2089" spans="1:4" hidden="1" x14ac:dyDescent="0.2">
      <c r="A2089" s="666" t="s">
        <v>603</v>
      </c>
      <c r="B2089" s="665" t="s">
        <v>13</v>
      </c>
      <c r="C2089" s="664">
        <v>3.31</v>
      </c>
      <c r="D2089" s="12"/>
    </row>
    <row r="2090" spans="1:4" hidden="1" x14ac:dyDescent="0.2">
      <c r="A2090" s="659" t="s">
        <v>602</v>
      </c>
      <c r="B2090" s="658" t="s">
        <v>13</v>
      </c>
      <c r="C2090" s="657">
        <v>6.44</v>
      </c>
      <c r="D2090" s="12"/>
    </row>
    <row r="2091" spans="1:4" hidden="1" x14ac:dyDescent="0.2">
      <c r="A2091" s="666" t="s">
        <v>652</v>
      </c>
      <c r="B2091" s="665" t="s">
        <v>13</v>
      </c>
      <c r="C2091" s="664">
        <v>36.83</v>
      </c>
      <c r="D2091" s="12"/>
    </row>
    <row r="2092" spans="1:4" hidden="1" x14ac:dyDescent="0.2">
      <c r="A2092" s="659" t="s">
        <v>651</v>
      </c>
      <c r="B2092" s="658" t="s">
        <v>13</v>
      </c>
      <c r="C2092" s="657">
        <v>17.95</v>
      </c>
      <c r="D2092" s="12"/>
    </row>
    <row r="2093" spans="1:4" hidden="1" x14ac:dyDescent="0.2">
      <c r="A2093" s="666" t="s">
        <v>650</v>
      </c>
      <c r="B2093" s="665" t="s">
        <v>13</v>
      </c>
      <c r="C2093" s="664">
        <v>22.97</v>
      </c>
      <c r="D2093" s="12"/>
    </row>
    <row r="2094" spans="1:4" hidden="1" x14ac:dyDescent="0.2">
      <c r="A2094" s="659" t="s">
        <v>649</v>
      </c>
      <c r="B2094" s="658" t="s">
        <v>13</v>
      </c>
      <c r="C2094" s="657">
        <v>5.43</v>
      </c>
      <c r="D2094" s="12"/>
    </row>
    <row r="2095" spans="1:4" hidden="1" x14ac:dyDescent="0.2">
      <c r="A2095" s="666" t="s">
        <v>648</v>
      </c>
      <c r="B2095" s="665" t="s">
        <v>13</v>
      </c>
      <c r="C2095" s="664">
        <v>10.6</v>
      </c>
      <c r="D2095" s="12"/>
    </row>
    <row r="2096" spans="1:4" hidden="1" x14ac:dyDescent="0.2">
      <c r="A2096" s="659" t="s">
        <v>647</v>
      </c>
      <c r="B2096" s="658" t="s">
        <v>13</v>
      </c>
      <c r="C2096" s="657">
        <v>6.95</v>
      </c>
      <c r="D2096" s="12"/>
    </row>
    <row r="2097" spans="1:4" hidden="1" x14ac:dyDescent="0.2">
      <c r="A2097" s="666" t="s">
        <v>646</v>
      </c>
      <c r="B2097" s="665" t="s">
        <v>13</v>
      </c>
      <c r="C2097" s="664">
        <v>9.51</v>
      </c>
      <c r="D2097" s="12"/>
    </row>
    <row r="2098" spans="1:4" hidden="1" x14ac:dyDescent="0.2">
      <c r="A2098" s="659" t="s">
        <v>645</v>
      </c>
      <c r="B2098" s="658" t="s">
        <v>13</v>
      </c>
      <c r="C2098" s="657">
        <v>2.99</v>
      </c>
      <c r="D2098" s="12"/>
    </row>
    <row r="2099" spans="1:4" hidden="1" x14ac:dyDescent="0.2">
      <c r="A2099" s="662" t="s">
        <v>220</v>
      </c>
      <c r="B2099" s="661"/>
      <c r="C2099" s="660"/>
      <c r="D2099" s="12"/>
    </row>
    <row r="2100" spans="1:4" hidden="1" x14ac:dyDescent="0.2">
      <c r="A2100" s="666" t="s">
        <v>599</v>
      </c>
      <c r="B2100" s="665" t="s">
        <v>13</v>
      </c>
      <c r="C2100" s="664">
        <v>197.77</v>
      </c>
      <c r="D2100" s="12"/>
    </row>
    <row r="2101" spans="1:4" hidden="1" x14ac:dyDescent="0.2">
      <c r="A2101" s="659" t="s">
        <v>644</v>
      </c>
      <c r="B2101" s="658" t="s">
        <v>13</v>
      </c>
      <c r="C2101" s="657">
        <v>7.88</v>
      </c>
      <c r="D2101" s="12"/>
    </row>
    <row r="2102" spans="1:4" ht="25.5" hidden="1" x14ac:dyDescent="0.2">
      <c r="A2102" s="666" t="s">
        <v>643</v>
      </c>
      <c r="B2102" s="665" t="s">
        <v>13</v>
      </c>
      <c r="C2102" s="664">
        <v>2.82</v>
      </c>
      <c r="D2102" s="12"/>
    </row>
    <row r="2103" spans="1:4" hidden="1" x14ac:dyDescent="0.2">
      <c r="A2103" s="662" t="s">
        <v>598</v>
      </c>
      <c r="B2103" s="661"/>
      <c r="C2103" s="660"/>
      <c r="D2103" s="12"/>
    </row>
    <row r="2104" spans="1:4" hidden="1" x14ac:dyDescent="0.2">
      <c r="A2104" s="659" t="s">
        <v>642</v>
      </c>
      <c r="B2104" s="658" t="s">
        <v>13</v>
      </c>
      <c r="C2104" s="657">
        <v>5.27</v>
      </c>
      <c r="D2104" s="12"/>
    </row>
    <row r="2105" spans="1:4" hidden="1" x14ac:dyDescent="0.2">
      <c r="A2105" s="662" t="s">
        <v>576</v>
      </c>
      <c r="B2105" s="661"/>
      <c r="C2105" s="660"/>
      <c r="D2105" s="12"/>
    </row>
    <row r="2106" spans="1:4" hidden="1" x14ac:dyDescent="0.2">
      <c r="A2106" s="666" t="s">
        <v>575</v>
      </c>
      <c r="B2106" s="665" t="s">
        <v>13</v>
      </c>
      <c r="C2106" s="664">
        <v>546.5</v>
      </c>
      <c r="D2106" s="12"/>
    </row>
    <row r="2107" spans="1:4" hidden="1" x14ac:dyDescent="0.2">
      <c r="A2107" s="659" t="s">
        <v>574</v>
      </c>
      <c r="B2107" s="658" t="s">
        <v>13</v>
      </c>
      <c r="C2107" s="657">
        <v>153.68</v>
      </c>
      <c r="D2107" s="12"/>
    </row>
    <row r="2108" spans="1:4" hidden="1" x14ac:dyDescent="0.2">
      <c r="A2108" s="662" t="s">
        <v>573</v>
      </c>
      <c r="B2108" s="661"/>
      <c r="C2108" s="660"/>
      <c r="D2108" s="12"/>
    </row>
    <row r="2109" spans="1:4" hidden="1" x14ac:dyDescent="0.2">
      <c r="A2109" s="666" t="s">
        <v>572</v>
      </c>
      <c r="B2109" s="665" t="s">
        <v>13</v>
      </c>
      <c r="C2109" s="664">
        <v>700.18</v>
      </c>
      <c r="D2109" s="12"/>
    </row>
    <row r="2110" spans="1:4" hidden="1" x14ac:dyDescent="0.2">
      <c r="A2110" s="662" t="s">
        <v>224</v>
      </c>
      <c r="B2110" s="661"/>
      <c r="C2110" s="660"/>
      <c r="D2110" s="12"/>
    </row>
    <row r="2111" spans="1:4" hidden="1" x14ac:dyDescent="0.2">
      <c r="A2111" s="659" t="s">
        <v>571</v>
      </c>
      <c r="B2111" s="658" t="s">
        <v>13</v>
      </c>
      <c r="C2111" s="657">
        <v>45.24</v>
      </c>
      <c r="D2111" s="12"/>
    </row>
    <row r="2112" spans="1:4" hidden="1" x14ac:dyDescent="0.2">
      <c r="A2112" s="662" t="s">
        <v>218</v>
      </c>
      <c r="B2112" s="661"/>
      <c r="C2112" s="660"/>
      <c r="D2112" s="12"/>
    </row>
    <row r="2113" spans="1:4" hidden="1" x14ac:dyDescent="0.2">
      <c r="A2113" s="666" t="s">
        <v>570</v>
      </c>
      <c r="B2113" s="665" t="s">
        <v>13</v>
      </c>
      <c r="C2113" s="664">
        <v>37.35</v>
      </c>
      <c r="D2113" s="12"/>
    </row>
    <row r="2114" spans="1:4" hidden="1" x14ac:dyDescent="0.2">
      <c r="A2114" s="662" t="s">
        <v>219</v>
      </c>
      <c r="B2114" s="661"/>
      <c r="C2114" s="660"/>
      <c r="D2114" s="12"/>
    </row>
    <row r="2115" spans="1:4" hidden="1" x14ac:dyDescent="0.2">
      <c r="A2115" s="659" t="s">
        <v>641</v>
      </c>
      <c r="B2115" s="658" t="s">
        <v>13</v>
      </c>
      <c r="C2115" s="657">
        <v>187.88</v>
      </c>
      <c r="D2115" s="12"/>
    </row>
    <row r="2116" spans="1:4" hidden="1" x14ac:dyDescent="0.2">
      <c r="A2116" s="662" t="s">
        <v>222</v>
      </c>
      <c r="B2116" s="661"/>
      <c r="C2116" s="660"/>
      <c r="D2116" s="12"/>
    </row>
    <row r="2117" spans="1:4" hidden="1" x14ac:dyDescent="0.2">
      <c r="A2117" s="666" t="s">
        <v>640</v>
      </c>
      <c r="B2117" s="665" t="s">
        <v>13</v>
      </c>
      <c r="C2117" s="664">
        <v>93.11</v>
      </c>
      <c r="D2117" s="12"/>
    </row>
    <row r="2118" spans="1:4" hidden="1" x14ac:dyDescent="0.2">
      <c r="A2118" s="659" t="s">
        <v>639</v>
      </c>
      <c r="B2118" s="658" t="s">
        <v>13</v>
      </c>
      <c r="C2118" s="657">
        <v>23.38</v>
      </c>
      <c r="D2118" s="12"/>
    </row>
    <row r="2119" spans="1:4" hidden="1" x14ac:dyDescent="0.2">
      <c r="A2119" s="666" t="s">
        <v>638</v>
      </c>
      <c r="B2119" s="665" t="s">
        <v>13</v>
      </c>
      <c r="C2119" s="664">
        <v>8.48</v>
      </c>
      <c r="D2119" s="12"/>
    </row>
    <row r="2120" spans="1:4" hidden="1" x14ac:dyDescent="0.2">
      <c r="A2120" s="662" t="s">
        <v>637</v>
      </c>
      <c r="B2120" s="661"/>
      <c r="C2120" s="660"/>
      <c r="D2120" s="12"/>
    </row>
    <row r="2121" spans="1:4" hidden="1" x14ac:dyDescent="0.2">
      <c r="A2121" s="659" t="s">
        <v>636</v>
      </c>
      <c r="B2121" s="658" t="s">
        <v>13</v>
      </c>
      <c r="C2121" s="657">
        <v>63.69</v>
      </c>
      <c r="D2121" s="12"/>
    </row>
    <row r="2122" spans="1:4" hidden="1" x14ac:dyDescent="0.2">
      <c r="A2122" s="662" t="s">
        <v>635</v>
      </c>
      <c r="B2122" s="661"/>
      <c r="C2122" s="660"/>
      <c r="D2122" s="12"/>
    </row>
    <row r="2123" spans="1:4" hidden="1" x14ac:dyDescent="0.2">
      <c r="A2123" s="666" t="s">
        <v>634</v>
      </c>
      <c r="B2123" s="665" t="s">
        <v>3</v>
      </c>
      <c r="C2123" s="664">
        <v>158.85</v>
      </c>
      <c r="D2123" s="12"/>
    </row>
    <row r="2124" spans="1:4" hidden="1" x14ac:dyDescent="0.2">
      <c r="A2124" s="662" t="s">
        <v>346</v>
      </c>
      <c r="B2124" s="661"/>
      <c r="C2124" s="660"/>
      <c r="D2124" s="12"/>
    </row>
    <row r="2125" spans="1:4" hidden="1" x14ac:dyDescent="0.2">
      <c r="A2125" s="659" t="s">
        <v>633</v>
      </c>
      <c r="B2125" s="658" t="s">
        <v>13</v>
      </c>
      <c r="C2125" s="657">
        <v>0.85</v>
      </c>
      <c r="D2125" s="12"/>
    </row>
    <row r="2126" spans="1:4" hidden="1" x14ac:dyDescent="0.2">
      <c r="A2126" s="662" t="s">
        <v>217</v>
      </c>
      <c r="B2126" s="661"/>
      <c r="C2126" s="660"/>
      <c r="D2126" s="12"/>
    </row>
    <row r="2127" spans="1:4" hidden="1" x14ac:dyDescent="0.2">
      <c r="A2127" s="666" t="s">
        <v>632</v>
      </c>
      <c r="B2127" s="665" t="s">
        <v>13</v>
      </c>
      <c r="C2127" s="664">
        <v>3.2</v>
      </c>
      <c r="D2127" s="12"/>
    </row>
    <row r="2128" spans="1:4" hidden="1" x14ac:dyDescent="0.2">
      <c r="A2128" s="662" t="s">
        <v>215</v>
      </c>
      <c r="B2128" s="661"/>
      <c r="C2128" s="660"/>
      <c r="D2128" s="12"/>
    </row>
    <row r="2129" spans="1:4" hidden="1" x14ac:dyDescent="0.2">
      <c r="A2129" s="659" t="s">
        <v>631</v>
      </c>
      <c r="B2129" s="658" t="s">
        <v>13</v>
      </c>
      <c r="C2129" s="657">
        <v>58.23</v>
      </c>
      <c r="D2129" s="12"/>
    </row>
    <row r="2130" spans="1:4" hidden="1" x14ac:dyDescent="0.2">
      <c r="A2130" s="666" t="s">
        <v>630</v>
      </c>
      <c r="B2130" s="665" t="s">
        <v>13</v>
      </c>
      <c r="C2130" s="664">
        <v>108</v>
      </c>
      <c r="D2130" s="12"/>
    </row>
    <row r="2131" spans="1:4" hidden="1" x14ac:dyDescent="0.2">
      <c r="A2131" s="662" t="s">
        <v>231</v>
      </c>
      <c r="B2131" s="661"/>
      <c r="C2131" s="660"/>
      <c r="D2131" s="12"/>
    </row>
    <row r="2132" spans="1:4" hidden="1" x14ac:dyDescent="0.2">
      <c r="A2132" s="659" t="s">
        <v>595</v>
      </c>
      <c r="B2132" s="658" t="s">
        <v>13</v>
      </c>
      <c r="C2132" s="657">
        <v>6.72</v>
      </c>
      <c r="D2132" s="12"/>
    </row>
    <row r="2133" spans="1:4" hidden="1" x14ac:dyDescent="0.2">
      <c r="A2133" s="666" t="s">
        <v>629</v>
      </c>
      <c r="B2133" s="665" t="s">
        <v>13</v>
      </c>
      <c r="C2133" s="664">
        <v>7.88</v>
      </c>
      <c r="D2133" s="12"/>
    </row>
    <row r="2134" spans="1:4" hidden="1" x14ac:dyDescent="0.2">
      <c r="A2134" s="659" t="s">
        <v>594</v>
      </c>
      <c r="B2134" s="658" t="s">
        <v>13</v>
      </c>
      <c r="C2134" s="657">
        <v>17.21</v>
      </c>
      <c r="D2134" s="12"/>
    </row>
    <row r="2135" spans="1:4" hidden="1" x14ac:dyDescent="0.2">
      <c r="A2135" s="662" t="s">
        <v>569</v>
      </c>
      <c r="B2135" s="661"/>
      <c r="C2135" s="660"/>
      <c r="D2135" s="12"/>
    </row>
    <row r="2136" spans="1:4" hidden="1" x14ac:dyDescent="0.2">
      <c r="A2136" s="666" t="s">
        <v>628</v>
      </c>
      <c r="B2136" s="665" t="s">
        <v>13</v>
      </c>
      <c r="C2136" s="664">
        <v>31.33</v>
      </c>
      <c r="D2136" s="12"/>
    </row>
    <row r="2137" spans="1:4" hidden="1" x14ac:dyDescent="0.2">
      <c r="A2137" s="659" t="s">
        <v>627</v>
      </c>
      <c r="B2137" s="658" t="s">
        <v>13</v>
      </c>
      <c r="C2137" s="657">
        <v>420.78</v>
      </c>
      <c r="D2137" s="12"/>
    </row>
    <row r="2138" spans="1:4" hidden="1" x14ac:dyDescent="0.2">
      <c r="A2138" s="666" t="s">
        <v>626</v>
      </c>
      <c r="B2138" s="665" t="s">
        <v>13</v>
      </c>
      <c r="C2138" s="664">
        <v>2.93</v>
      </c>
      <c r="D2138" s="12"/>
    </row>
    <row r="2139" spans="1:4" hidden="1" x14ac:dyDescent="0.2">
      <c r="A2139" s="659" t="s">
        <v>592</v>
      </c>
      <c r="B2139" s="658" t="s">
        <v>13</v>
      </c>
      <c r="C2139" s="657">
        <v>78.91</v>
      </c>
      <c r="D2139" s="12"/>
    </row>
    <row r="2140" spans="1:4" hidden="1" x14ac:dyDescent="0.2">
      <c r="A2140" s="662" t="s">
        <v>567</v>
      </c>
      <c r="B2140" s="661"/>
      <c r="C2140" s="660"/>
      <c r="D2140" s="12"/>
    </row>
    <row r="2141" spans="1:4" hidden="1" x14ac:dyDescent="0.2">
      <c r="A2141" s="666" t="s">
        <v>566</v>
      </c>
      <c r="B2141" s="665" t="s">
        <v>13</v>
      </c>
      <c r="C2141" s="664">
        <v>225.23</v>
      </c>
      <c r="D2141" s="12"/>
    </row>
    <row r="2142" spans="1:4" hidden="1" x14ac:dyDescent="0.2">
      <c r="A2142" s="662" t="s">
        <v>235</v>
      </c>
      <c r="B2142" s="661"/>
      <c r="C2142" s="660"/>
      <c r="D2142" s="12"/>
    </row>
    <row r="2143" spans="1:4" hidden="1" x14ac:dyDescent="0.2">
      <c r="A2143" s="659" t="s">
        <v>554</v>
      </c>
      <c r="B2143" s="658" t="s">
        <v>3</v>
      </c>
      <c r="C2143" s="657">
        <v>108.4</v>
      </c>
      <c r="D2143" s="12"/>
    </row>
    <row r="2144" spans="1:4" hidden="1" x14ac:dyDescent="0.2">
      <c r="A2144" s="662" t="s">
        <v>236</v>
      </c>
      <c r="B2144" s="661"/>
      <c r="C2144" s="660"/>
      <c r="D2144" s="12"/>
    </row>
    <row r="2145" spans="1:4" hidden="1" x14ac:dyDescent="0.2">
      <c r="A2145" s="666" t="s">
        <v>591</v>
      </c>
      <c r="B2145" s="665" t="s">
        <v>13</v>
      </c>
      <c r="C2145" s="664">
        <v>1.04</v>
      </c>
      <c r="D2145" s="12"/>
    </row>
    <row r="2146" spans="1:4" hidden="1" x14ac:dyDescent="0.2">
      <c r="A2146" s="659" t="s">
        <v>590</v>
      </c>
      <c r="B2146" s="658" t="s">
        <v>13</v>
      </c>
      <c r="C2146" s="657">
        <v>1.04</v>
      </c>
      <c r="D2146" s="12"/>
    </row>
    <row r="2147" spans="1:4" hidden="1" x14ac:dyDescent="0.2">
      <c r="A2147" s="666" t="s">
        <v>625</v>
      </c>
      <c r="B2147" s="665" t="s">
        <v>13</v>
      </c>
      <c r="C2147" s="664">
        <v>2.25</v>
      </c>
      <c r="D2147" s="12"/>
    </row>
    <row r="2148" spans="1:4" hidden="1" x14ac:dyDescent="0.2">
      <c r="A2148" s="659" t="s">
        <v>624</v>
      </c>
      <c r="B2148" s="658" t="s">
        <v>13</v>
      </c>
      <c r="C2148" s="657">
        <v>8.86</v>
      </c>
      <c r="D2148" s="12"/>
    </row>
    <row r="2149" spans="1:4" hidden="1" x14ac:dyDescent="0.2">
      <c r="A2149" s="666" t="s">
        <v>623</v>
      </c>
      <c r="B2149" s="665" t="s">
        <v>3</v>
      </c>
      <c r="C2149" s="664">
        <v>2.5</v>
      </c>
      <c r="D2149" s="12"/>
    </row>
    <row r="2150" spans="1:4" hidden="1" x14ac:dyDescent="0.2">
      <c r="A2150" s="659" t="s">
        <v>622</v>
      </c>
      <c r="B2150" s="658" t="s">
        <v>3</v>
      </c>
      <c r="C2150" s="657">
        <v>7.4</v>
      </c>
      <c r="D2150" s="12"/>
    </row>
    <row r="2151" spans="1:4" hidden="1" x14ac:dyDescent="0.2">
      <c r="A2151" s="666" t="s">
        <v>621</v>
      </c>
      <c r="B2151" s="665" t="s">
        <v>13</v>
      </c>
      <c r="C2151" s="664">
        <v>0.36</v>
      </c>
      <c r="D2151" s="12"/>
    </row>
    <row r="2152" spans="1:4" hidden="1" x14ac:dyDescent="0.2">
      <c r="A2152" s="659" t="s">
        <v>620</v>
      </c>
      <c r="B2152" s="658" t="s">
        <v>13</v>
      </c>
      <c r="C2152" s="657">
        <v>1.18</v>
      </c>
      <c r="D2152" s="12"/>
    </row>
    <row r="2153" spans="1:4" hidden="1" x14ac:dyDescent="0.2">
      <c r="A2153" s="666" t="s">
        <v>619</v>
      </c>
      <c r="B2153" s="665" t="s">
        <v>13</v>
      </c>
      <c r="C2153" s="664">
        <v>4.03</v>
      </c>
      <c r="D2153" s="12"/>
    </row>
    <row r="2154" spans="1:4" hidden="1" x14ac:dyDescent="0.2">
      <c r="A2154" s="659" t="s">
        <v>618</v>
      </c>
      <c r="B2154" s="658" t="s">
        <v>13</v>
      </c>
      <c r="C2154" s="657">
        <v>11.09</v>
      </c>
      <c r="D2154" s="12"/>
    </row>
    <row r="2155" spans="1:4" hidden="1" x14ac:dyDescent="0.2">
      <c r="A2155" s="666" t="s">
        <v>617</v>
      </c>
      <c r="B2155" s="665" t="s">
        <v>13</v>
      </c>
      <c r="C2155" s="664">
        <v>0.05</v>
      </c>
      <c r="D2155" s="12"/>
    </row>
    <row r="2156" spans="1:4" hidden="1" x14ac:dyDescent="0.2">
      <c r="A2156" s="659" t="s">
        <v>616</v>
      </c>
      <c r="B2156" s="658" t="s">
        <v>13</v>
      </c>
      <c r="C2156" s="657">
        <v>0.89</v>
      </c>
      <c r="D2156" s="12"/>
    </row>
    <row r="2157" spans="1:4" hidden="1" x14ac:dyDescent="0.2">
      <c r="A2157" s="666" t="s">
        <v>615</v>
      </c>
      <c r="B2157" s="665" t="s">
        <v>13</v>
      </c>
      <c r="C2157" s="664">
        <v>0.02</v>
      </c>
      <c r="D2157" s="12"/>
    </row>
    <row r="2158" spans="1:4" hidden="1" x14ac:dyDescent="0.2">
      <c r="A2158" s="659" t="s">
        <v>614</v>
      </c>
      <c r="B2158" s="658" t="s">
        <v>13</v>
      </c>
      <c r="C2158" s="657">
        <v>0.38</v>
      </c>
      <c r="D2158" s="12"/>
    </row>
    <row r="2159" spans="1:4" hidden="1" x14ac:dyDescent="0.2">
      <c r="A2159" s="662" t="s">
        <v>240</v>
      </c>
      <c r="B2159" s="661"/>
      <c r="C2159" s="660"/>
      <c r="D2159" s="12"/>
    </row>
    <row r="2160" spans="1:4" hidden="1" x14ac:dyDescent="0.2">
      <c r="A2160" s="666" t="s">
        <v>613</v>
      </c>
      <c r="B2160" s="665" t="s">
        <v>3</v>
      </c>
      <c r="C2160" s="664">
        <v>14.53</v>
      </c>
      <c r="D2160" s="12"/>
    </row>
    <row r="2161" spans="1:4" hidden="1" x14ac:dyDescent="0.2">
      <c r="A2161" s="659" t="s">
        <v>612</v>
      </c>
      <c r="B2161" s="658" t="s">
        <v>2</v>
      </c>
      <c r="C2161" s="657">
        <v>8</v>
      </c>
      <c r="D2161" s="12"/>
    </row>
    <row r="2162" spans="1:4" hidden="1" x14ac:dyDescent="0.2">
      <c r="A2162" s="666" t="s">
        <v>611</v>
      </c>
      <c r="B2162" s="665" t="s">
        <v>2</v>
      </c>
      <c r="C2162" s="664">
        <v>6</v>
      </c>
      <c r="D2162" s="12"/>
    </row>
    <row r="2163" spans="1:4" hidden="1" x14ac:dyDescent="0.2">
      <c r="A2163" s="659" t="s">
        <v>610</v>
      </c>
      <c r="B2163" s="658" t="s">
        <v>2</v>
      </c>
      <c r="C2163" s="657">
        <v>3</v>
      </c>
      <c r="D2163" s="12"/>
    </row>
    <row r="2164" spans="1:4" hidden="1" x14ac:dyDescent="0.2">
      <c r="A2164" s="662" t="s">
        <v>244</v>
      </c>
      <c r="B2164" s="661"/>
      <c r="C2164" s="660"/>
      <c r="D2164" s="12"/>
    </row>
    <row r="2165" spans="1:4" hidden="1" x14ac:dyDescent="0.2">
      <c r="A2165" s="666" t="s">
        <v>586</v>
      </c>
      <c r="B2165" s="665" t="s">
        <v>2</v>
      </c>
      <c r="C2165" s="664">
        <v>1</v>
      </c>
      <c r="D2165" s="12"/>
    </row>
    <row r="2166" spans="1:4" hidden="1" x14ac:dyDescent="0.2">
      <c r="A2166" s="659" t="s">
        <v>585</v>
      </c>
      <c r="B2166" s="658" t="s">
        <v>2</v>
      </c>
      <c r="C2166" s="657">
        <v>1</v>
      </c>
      <c r="D2166" s="12"/>
    </row>
    <row r="2167" spans="1:4" hidden="1" x14ac:dyDescent="0.2">
      <c r="A2167" s="666" t="s">
        <v>609</v>
      </c>
      <c r="B2167" s="665" t="s">
        <v>2</v>
      </c>
      <c r="C2167" s="664">
        <v>2</v>
      </c>
      <c r="D2167" s="12"/>
    </row>
    <row r="2168" spans="1:4" hidden="1" x14ac:dyDescent="0.2">
      <c r="A2168" s="662" t="s">
        <v>552</v>
      </c>
      <c r="B2168" s="661"/>
      <c r="C2168" s="660"/>
      <c r="D2168" s="12"/>
    </row>
    <row r="2169" spans="1:4" hidden="1" x14ac:dyDescent="0.2">
      <c r="A2169" s="659" t="s">
        <v>551</v>
      </c>
      <c r="B2169" s="658" t="s">
        <v>13</v>
      </c>
      <c r="C2169" s="657">
        <v>87.85</v>
      </c>
      <c r="D2169" s="12"/>
    </row>
    <row r="2170" spans="1:4" hidden="1" x14ac:dyDescent="0.2">
      <c r="A2170" s="666" t="s">
        <v>565</v>
      </c>
      <c r="B2170" s="665" t="s">
        <v>13</v>
      </c>
      <c r="C2170" s="664">
        <v>82.74</v>
      </c>
      <c r="D2170" s="12"/>
    </row>
    <row r="2171" spans="1:4" hidden="1" x14ac:dyDescent="0.2">
      <c r="A2171" s="662" t="s">
        <v>550</v>
      </c>
      <c r="B2171" s="661"/>
      <c r="C2171" s="660"/>
      <c r="D2171" s="12"/>
    </row>
    <row r="2172" spans="1:4" hidden="1" x14ac:dyDescent="0.2">
      <c r="A2172" s="659" t="s">
        <v>549</v>
      </c>
      <c r="B2172" s="658" t="s">
        <v>13</v>
      </c>
      <c r="C2172" s="657">
        <v>170.59</v>
      </c>
      <c r="D2172" s="12"/>
    </row>
    <row r="2173" spans="1:4" hidden="1" x14ac:dyDescent="0.2">
      <c r="A2173" s="662" t="s">
        <v>273</v>
      </c>
      <c r="B2173" s="661"/>
      <c r="C2173" s="660"/>
      <c r="D2173" s="12"/>
    </row>
    <row r="2174" spans="1:4" hidden="1" x14ac:dyDescent="0.2">
      <c r="A2174" s="666" t="s">
        <v>564</v>
      </c>
      <c r="B2174" s="665" t="s">
        <v>13</v>
      </c>
      <c r="C2174" s="664">
        <v>77.59</v>
      </c>
      <c r="D2174" s="12"/>
    </row>
    <row r="2175" spans="1:4" hidden="1" x14ac:dyDescent="0.2">
      <c r="A2175" s="659" t="s">
        <v>608</v>
      </c>
      <c r="B2175" s="658" t="s">
        <v>13</v>
      </c>
      <c r="C2175" s="657">
        <v>6.04</v>
      </c>
      <c r="D2175" s="12"/>
    </row>
    <row r="2176" spans="1:4" hidden="1" x14ac:dyDescent="0.2">
      <c r="A2176" s="666" t="s">
        <v>607</v>
      </c>
      <c r="B2176" s="665" t="s">
        <v>13</v>
      </c>
      <c r="C2176" s="664">
        <v>5.14</v>
      </c>
      <c r="D2176" s="12"/>
    </row>
    <row r="2177" spans="1:4" hidden="1" x14ac:dyDescent="0.2">
      <c r="A2177" s="659" t="s">
        <v>548</v>
      </c>
      <c r="B2177" s="658" t="s">
        <v>13</v>
      </c>
      <c r="C2177" s="657">
        <v>81.819999999999993</v>
      </c>
      <c r="D2177" s="12"/>
    </row>
    <row r="2178" spans="1:4" hidden="1" x14ac:dyDescent="0.2">
      <c r="A2178" s="669" t="s">
        <v>660</v>
      </c>
      <c r="B2178" s="668"/>
      <c r="C2178" s="667"/>
      <c r="D2178" s="12"/>
    </row>
    <row r="2179" spans="1:4" hidden="1" x14ac:dyDescent="0.2">
      <c r="A2179" s="662" t="s">
        <v>208</v>
      </c>
      <c r="B2179" s="661"/>
      <c r="C2179" s="660"/>
      <c r="D2179" s="12"/>
    </row>
    <row r="2180" spans="1:4" hidden="1" x14ac:dyDescent="0.2">
      <c r="A2180" s="666" t="s">
        <v>656</v>
      </c>
      <c r="B2180" s="665" t="s">
        <v>13</v>
      </c>
      <c r="C2180" s="664">
        <v>2.63</v>
      </c>
      <c r="D2180" s="12"/>
    </row>
    <row r="2181" spans="1:4" hidden="1" x14ac:dyDescent="0.2">
      <c r="A2181" s="659" t="s">
        <v>562</v>
      </c>
      <c r="B2181" s="658" t="s">
        <v>13</v>
      </c>
      <c r="C2181" s="657">
        <v>195.56</v>
      </c>
      <c r="D2181" s="12"/>
    </row>
    <row r="2182" spans="1:4" hidden="1" x14ac:dyDescent="0.2">
      <c r="A2182" s="666" t="s">
        <v>581</v>
      </c>
      <c r="B2182" s="665" t="s">
        <v>13</v>
      </c>
      <c r="C2182" s="664">
        <v>81.11</v>
      </c>
      <c r="D2182" s="12"/>
    </row>
    <row r="2183" spans="1:4" hidden="1" x14ac:dyDescent="0.2">
      <c r="A2183" s="662" t="s">
        <v>376</v>
      </c>
      <c r="B2183" s="661"/>
      <c r="C2183" s="660"/>
      <c r="D2183" s="12"/>
    </row>
    <row r="2184" spans="1:4" hidden="1" x14ac:dyDescent="0.2">
      <c r="A2184" s="659" t="s">
        <v>655</v>
      </c>
      <c r="B2184" s="658" t="s">
        <v>13</v>
      </c>
      <c r="C2184" s="657">
        <v>29.04</v>
      </c>
      <c r="D2184" s="12"/>
    </row>
    <row r="2185" spans="1:4" hidden="1" x14ac:dyDescent="0.2">
      <c r="A2185" s="662" t="s">
        <v>605</v>
      </c>
      <c r="B2185" s="661"/>
      <c r="C2185" s="660"/>
      <c r="D2185" s="12"/>
    </row>
    <row r="2186" spans="1:4" hidden="1" x14ac:dyDescent="0.2">
      <c r="A2186" s="666" t="s">
        <v>604</v>
      </c>
      <c r="B2186" s="665" t="s">
        <v>13</v>
      </c>
      <c r="C2186" s="664">
        <v>85</v>
      </c>
      <c r="D2186" s="12"/>
    </row>
    <row r="2187" spans="1:4" hidden="1" x14ac:dyDescent="0.2">
      <c r="A2187" s="662" t="s">
        <v>561</v>
      </c>
      <c r="B2187" s="661"/>
      <c r="C2187" s="660"/>
      <c r="D2187" s="12"/>
    </row>
    <row r="2188" spans="1:4" hidden="1" x14ac:dyDescent="0.2">
      <c r="A2188" s="659" t="s">
        <v>580</v>
      </c>
      <c r="B2188" s="658" t="s">
        <v>3</v>
      </c>
      <c r="C2188" s="657">
        <v>172.6</v>
      </c>
      <c r="D2188" s="12"/>
    </row>
    <row r="2189" spans="1:4" hidden="1" x14ac:dyDescent="0.2">
      <c r="A2189" s="666" t="s">
        <v>560</v>
      </c>
      <c r="B2189" s="665" t="s">
        <v>13</v>
      </c>
      <c r="C2189" s="664">
        <v>196.67</v>
      </c>
      <c r="D2189" s="12"/>
    </row>
    <row r="2190" spans="1:4" hidden="1" x14ac:dyDescent="0.2">
      <c r="A2190" s="659" t="s">
        <v>559</v>
      </c>
      <c r="B2190" s="658" t="s">
        <v>3</v>
      </c>
      <c r="C2190" s="657">
        <v>98</v>
      </c>
      <c r="D2190" s="12"/>
    </row>
    <row r="2191" spans="1:4" hidden="1" x14ac:dyDescent="0.2">
      <c r="A2191" s="662" t="s">
        <v>212</v>
      </c>
      <c r="B2191" s="661"/>
      <c r="C2191" s="660"/>
      <c r="D2191" s="12"/>
    </row>
    <row r="2192" spans="1:4" hidden="1" x14ac:dyDescent="0.2">
      <c r="A2192" s="666" t="s">
        <v>579</v>
      </c>
      <c r="B2192" s="665" t="s">
        <v>13</v>
      </c>
      <c r="C2192" s="664">
        <v>43.76</v>
      </c>
      <c r="D2192" s="12"/>
    </row>
    <row r="2193" spans="1:4" hidden="1" x14ac:dyDescent="0.2">
      <c r="A2193" s="662" t="s">
        <v>557</v>
      </c>
      <c r="B2193" s="661"/>
      <c r="C2193" s="660"/>
      <c r="D2193" s="12"/>
    </row>
    <row r="2194" spans="1:4" hidden="1" x14ac:dyDescent="0.2">
      <c r="A2194" s="659" t="s">
        <v>654</v>
      </c>
      <c r="B2194" s="658" t="s">
        <v>13</v>
      </c>
      <c r="C2194" s="657">
        <v>12.1</v>
      </c>
      <c r="D2194" s="12"/>
    </row>
    <row r="2195" spans="1:4" hidden="1" x14ac:dyDescent="0.2">
      <c r="A2195" s="666" t="s">
        <v>653</v>
      </c>
      <c r="B2195" s="665" t="s">
        <v>13</v>
      </c>
      <c r="C2195" s="664">
        <v>6.98</v>
      </c>
      <c r="D2195" s="12"/>
    </row>
    <row r="2196" spans="1:4" hidden="1" x14ac:dyDescent="0.2">
      <c r="A2196" s="659" t="s">
        <v>603</v>
      </c>
      <c r="B2196" s="658" t="s">
        <v>13</v>
      </c>
      <c r="C2196" s="657">
        <v>3.31</v>
      </c>
      <c r="D2196" s="12"/>
    </row>
    <row r="2197" spans="1:4" hidden="1" x14ac:dyDescent="0.2">
      <c r="A2197" s="666" t="s">
        <v>602</v>
      </c>
      <c r="B2197" s="665" t="s">
        <v>13</v>
      </c>
      <c r="C2197" s="664">
        <v>6.44</v>
      </c>
      <c r="D2197" s="12"/>
    </row>
    <row r="2198" spans="1:4" hidden="1" x14ac:dyDescent="0.2">
      <c r="A2198" s="659" t="s">
        <v>652</v>
      </c>
      <c r="B2198" s="658" t="s">
        <v>13</v>
      </c>
      <c r="C2198" s="657">
        <v>36.83</v>
      </c>
      <c r="D2198" s="12"/>
    </row>
    <row r="2199" spans="1:4" hidden="1" x14ac:dyDescent="0.2">
      <c r="A2199" s="666" t="s">
        <v>651</v>
      </c>
      <c r="B2199" s="665" t="s">
        <v>13</v>
      </c>
      <c r="C2199" s="664">
        <v>17.95</v>
      </c>
      <c r="D2199" s="12"/>
    </row>
    <row r="2200" spans="1:4" hidden="1" x14ac:dyDescent="0.2">
      <c r="A2200" s="659" t="s">
        <v>650</v>
      </c>
      <c r="B2200" s="658" t="s">
        <v>13</v>
      </c>
      <c r="C2200" s="657">
        <v>22.97</v>
      </c>
      <c r="D2200" s="12"/>
    </row>
    <row r="2201" spans="1:4" hidden="1" x14ac:dyDescent="0.2">
      <c r="A2201" s="666" t="s">
        <v>649</v>
      </c>
      <c r="B2201" s="665" t="s">
        <v>13</v>
      </c>
      <c r="C2201" s="664">
        <v>5.43</v>
      </c>
      <c r="D2201" s="12"/>
    </row>
    <row r="2202" spans="1:4" hidden="1" x14ac:dyDescent="0.2">
      <c r="A2202" s="659" t="s">
        <v>648</v>
      </c>
      <c r="B2202" s="658" t="s">
        <v>13</v>
      </c>
      <c r="C2202" s="657">
        <v>10.6</v>
      </c>
      <c r="D2202" s="12"/>
    </row>
    <row r="2203" spans="1:4" hidden="1" x14ac:dyDescent="0.2">
      <c r="A2203" s="666" t="s">
        <v>647</v>
      </c>
      <c r="B2203" s="665" t="s">
        <v>13</v>
      </c>
      <c r="C2203" s="664">
        <v>6.95</v>
      </c>
      <c r="D2203" s="12"/>
    </row>
    <row r="2204" spans="1:4" hidden="1" x14ac:dyDescent="0.2">
      <c r="A2204" s="659" t="s">
        <v>646</v>
      </c>
      <c r="B2204" s="658" t="s">
        <v>13</v>
      </c>
      <c r="C2204" s="657">
        <v>9.51</v>
      </c>
      <c r="D2204" s="12"/>
    </row>
    <row r="2205" spans="1:4" hidden="1" x14ac:dyDescent="0.2">
      <c r="A2205" s="666" t="s">
        <v>645</v>
      </c>
      <c r="B2205" s="665" t="s">
        <v>13</v>
      </c>
      <c r="C2205" s="664">
        <v>2.99</v>
      </c>
      <c r="D2205" s="12"/>
    </row>
    <row r="2206" spans="1:4" hidden="1" x14ac:dyDescent="0.2">
      <c r="A2206" s="662" t="s">
        <v>220</v>
      </c>
      <c r="B2206" s="661"/>
      <c r="C2206" s="660"/>
      <c r="D2206" s="12"/>
    </row>
    <row r="2207" spans="1:4" hidden="1" x14ac:dyDescent="0.2">
      <c r="A2207" s="659" t="s">
        <v>599</v>
      </c>
      <c r="B2207" s="658" t="s">
        <v>13</v>
      </c>
      <c r="C2207" s="657">
        <v>197.77</v>
      </c>
      <c r="D2207" s="12"/>
    </row>
    <row r="2208" spans="1:4" hidden="1" x14ac:dyDescent="0.2">
      <c r="A2208" s="666" t="s">
        <v>644</v>
      </c>
      <c r="B2208" s="665" t="s">
        <v>13</v>
      </c>
      <c r="C2208" s="664">
        <v>7.88</v>
      </c>
      <c r="D2208" s="12"/>
    </row>
    <row r="2209" spans="1:4" ht="25.5" hidden="1" x14ac:dyDescent="0.2">
      <c r="A2209" s="659" t="s">
        <v>643</v>
      </c>
      <c r="B2209" s="658" t="s">
        <v>13</v>
      </c>
      <c r="C2209" s="657">
        <v>2.82</v>
      </c>
      <c r="D2209" s="12"/>
    </row>
    <row r="2210" spans="1:4" hidden="1" x14ac:dyDescent="0.2">
      <c r="A2210" s="662" t="s">
        <v>598</v>
      </c>
      <c r="B2210" s="661"/>
      <c r="C2210" s="660"/>
      <c r="D2210" s="12"/>
    </row>
    <row r="2211" spans="1:4" hidden="1" x14ac:dyDescent="0.2">
      <c r="A2211" s="666" t="s">
        <v>642</v>
      </c>
      <c r="B2211" s="665" t="s">
        <v>13</v>
      </c>
      <c r="C2211" s="664">
        <v>5.27</v>
      </c>
      <c r="D2211" s="12"/>
    </row>
    <row r="2212" spans="1:4" hidden="1" x14ac:dyDescent="0.2">
      <c r="A2212" s="662" t="s">
        <v>576</v>
      </c>
      <c r="B2212" s="661"/>
      <c r="C2212" s="660"/>
      <c r="D2212" s="12"/>
    </row>
    <row r="2213" spans="1:4" hidden="1" x14ac:dyDescent="0.2">
      <c r="A2213" s="659" t="s">
        <v>575</v>
      </c>
      <c r="B2213" s="658" t="s">
        <v>13</v>
      </c>
      <c r="C2213" s="657">
        <v>546.5</v>
      </c>
      <c r="D2213" s="12"/>
    </row>
    <row r="2214" spans="1:4" hidden="1" x14ac:dyDescent="0.2">
      <c r="A2214" s="666" t="s">
        <v>574</v>
      </c>
      <c r="B2214" s="665" t="s">
        <v>13</v>
      </c>
      <c r="C2214" s="664">
        <v>153.68</v>
      </c>
      <c r="D2214" s="12"/>
    </row>
    <row r="2215" spans="1:4" hidden="1" x14ac:dyDescent="0.2">
      <c r="A2215" s="662" t="s">
        <v>573</v>
      </c>
      <c r="B2215" s="661"/>
      <c r="C2215" s="660"/>
      <c r="D2215" s="12"/>
    </row>
    <row r="2216" spans="1:4" hidden="1" x14ac:dyDescent="0.2">
      <c r="A2216" s="659" t="s">
        <v>572</v>
      </c>
      <c r="B2216" s="658" t="s">
        <v>13</v>
      </c>
      <c r="C2216" s="657">
        <v>700.18</v>
      </c>
      <c r="D2216" s="12"/>
    </row>
    <row r="2217" spans="1:4" hidden="1" x14ac:dyDescent="0.2">
      <c r="A2217" s="662" t="s">
        <v>224</v>
      </c>
      <c r="B2217" s="661"/>
      <c r="C2217" s="660"/>
      <c r="D2217" s="12"/>
    </row>
    <row r="2218" spans="1:4" hidden="1" x14ac:dyDescent="0.2">
      <c r="A2218" s="666" t="s">
        <v>571</v>
      </c>
      <c r="B2218" s="665" t="s">
        <v>13</v>
      </c>
      <c r="C2218" s="664">
        <v>45.24</v>
      </c>
      <c r="D2218" s="12"/>
    </row>
    <row r="2219" spans="1:4" hidden="1" x14ac:dyDescent="0.2">
      <c r="A2219" s="662" t="s">
        <v>218</v>
      </c>
      <c r="B2219" s="661"/>
      <c r="C2219" s="660"/>
      <c r="D2219" s="12"/>
    </row>
    <row r="2220" spans="1:4" hidden="1" x14ac:dyDescent="0.2">
      <c r="A2220" s="659" t="s">
        <v>570</v>
      </c>
      <c r="B2220" s="658" t="s">
        <v>13</v>
      </c>
      <c r="C2220" s="657">
        <v>37.35</v>
      </c>
      <c r="D2220" s="12"/>
    </row>
    <row r="2221" spans="1:4" hidden="1" x14ac:dyDescent="0.2">
      <c r="A2221" s="662" t="s">
        <v>219</v>
      </c>
      <c r="B2221" s="661"/>
      <c r="C2221" s="660"/>
      <c r="D2221" s="12"/>
    </row>
    <row r="2222" spans="1:4" hidden="1" x14ac:dyDescent="0.2">
      <c r="A2222" s="666" t="s">
        <v>641</v>
      </c>
      <c r="B2222" s="665" t="s">
        <v>13</v>
      </c>
      <c r="C2222" s="664">
        <v>187.88</v>
      </c>
      <c r="D2222" s="12"/>
    </row>
    <row r="2223" spans="1:4" hidden="1" x14ac:dyDescent="0.2">
      <c r="A2223" s="662" t="s">
        <v>222</v>
      </c>
      <c r="B2223" s="661"/>
      <c r="C2223" s="660"/>
      <c r="D2223" s="12"/>
    </row>
    <row r="2224" spans="1:4" hidden="1" x14ac:dyDescent="0.2">
      <c r="A2224" s="659" t="s">
        <v>640</v>
      </c>
      <c r="B2224" s="658" t="s">
        <v>13</v>
      </c>
      <c r="C2224" s="657">
        <v>93.11</v>
      </c>
      <c r="D2224" s="12"/>
    </row>
    <row r="2225" spans="1:4" hidden="1" x14ac:dyDescent="0.2">
      <c r="A2225" s="666" t="s">
        <v>639</v>
      </c>
      <c r="B2225" s="665" t="s">
        <v>13</v>
      </c>
      <c r="C2225" s="664">
        <v>23.38</v>
      </c>
      <c r="D2225" s="12"/>
    </row>
    <row r="2226" spans="1:4" hidden="1" x14ac:dyDescent="0.2">
      <c r="A2226" s="659" t="s">
        <v>638</v>
      </c>
      <c r="B2226" s="658" t="s">
        <v>13</v>
      </c>
      <c r="C2226" s="657">
        <v>8.48</v>
      </c>
      <c r="D2226" s="12"/>
    </row>
    <row r="2227" spans="1:4" hidden="1" x14ac:dyDescent="0.2">
      <c r="A2227" s="662" t="s">
        <v>637</v>
      </c>
      <c r="B2227" s="661"/>
      <c r="C2227" s="660"/>
      <c r="D2227" s="12"/>
    </row>
    <row r="2228" spans="1:4" hidden="1" x14ac:dyDescent="0.2">
      <c r="A2228" s="666" t="s">
        <v>636</v>
      </c>
      <c r="B2228" s="665" t="s">
        <v>13</v>
      </c>
      <c r="C2228" s="664">
        <v>63.69</v>
      </c>
      <c r="D2228" s="12"/>
    </row>
    <row r="2229" spans="1:4" hidden="1" x14ac:dyDescent="0.2">
      <c r="A2229" s="662" t="s">
        <v>635</v>
      </c>
      <c r="B2229" s="661"/>
      <c r="C2229" s="660"/>
      <c r="D2229" s="12"/>
    </row>
    <row r="2230" spans="1:4" hidden="1" x14ac:dyDescent="0.2">
      <c r="A2230" s="659" t="s">
        <v>634</v>
      </c>
      <c r="B2230" s="658" t="s">
        <v>3</v>
      </c>
      <c r="C2230" s="657">
        <v>158.85</v>
      </c>
      <c r="D2230" s="12"/>
    </row>
    <row r="2231" spans="1:4" hidden="1" x14ac:dyDescent="0.2">
      <c r="A2231" s="662" t="s">
        <v>346</v>
      </c>
      <c r="B2231" s="661"/>
      <c r="C2231" s="660"/>
      <c r="D2231" s="12"/>
    </row>
    <row r="2232" spans="1:4" hidden="1" x14ac:dyDescent="0.2">
      <c r="A2232" s="666" t="s">
        <v>633</v>
      </c>
      <c r="B2232" s="665" t="s">
        <v>13</v>
      </c>
      <c r="C2232" s="664">
        <v>0.85</v>
      </c>
      <c r="D2232" s="12"/>
    </row>
    <row r="2233" spans="1:4" hidden="1" x14ac:dyDescent="0.2">
      <c r="A2233" s="662" t="s">
        <v>217</v>
      </c>
      <c r="B2233" s="661"/>
      <c r="C2233" s="660"/>
      <c r="D2233" s="12"/>
    </row>
    <row r="2234" spans="1:4" hidden="1" x14ac:dyDescent="0.2">
      <c r="A2234" s="659" t="s">
        <v>632</v>
      </c>
      <c r="B2234" s="658" t="s">
        <v>13</v>
      </c>
      <c r="C2234" s="657">
        <v>3.2</v>
      </c>
      <c r="D2234" s="12"/>
    </row>
    <row r="2235" spans="1:4" hidden="1" x14ac:dyDescent="0.2">
      <c r="A2235" s="662" t="s">
        <v>215</v>
      </c>
      <c r="B2235" s="661"/>
      <c r="C2235" s="660"/>
      <c r="D2235" s="12"/>
    </row>
    <row r="2236" spans="1:4" hidden="1" x14ac:dyDescent="0.2">
      <c r="A2236" s="666" t="s">
        <v>631</v>
      </c>
      <c r="B2236" s="665" t="s">
        <v>13</v>
      </c>
      <c r="C2236" s="664">
        <v>58.23</v>
      </c>
      <c r="D2236" s="12"/>
    </row>
    <row r="2237" spans="1:4" hidden="1" x14ac:dyDescent="0.2">
      <c r="A2237" s="659" t="s">
        <v>630</v>
      </c>
      <c r="B2237" s="658" t="s">
        <v>13</v>
      </c>
      <c r="C2237" s="657">
        <v>108</v>
      </c>
      <c r="D2237" s="12"/>
    </row>
    <row r="2238" spans="1:4" hidden="1" x14ac:dyDescent="0.2">
      <c r="A2238" s="662" t="s">
        <v>231</v>
      </c>
      <c r="B2238" s="661"/>
      <c r="C2238" s="660"/>
      <c r="D2238" s="12"/>
    </row>
    <row r="2239" spans="1:4" hidden="1" x14ac:dyDescent="0.2">
      <c r="A2239" s="666" t="s">
        <v>595</v>
      </c>
      <c r="B2239" s="665" t="s">
        <v>13</v>
      </c>
      <c r="C2239" s="664">
        <v>6.72</v>
      </c>
      <c r="D2239" s="12"/>
    </row>
    <row r="2240" spans="1:4" hidden="1" x14ac:dyDescent="0.2">
      <c r="A2240" s="659" t="s">
        <v>629</v>
      </c>
      <c r="B2240" s="658" t="s">
        <v>13</v>
      </c>
      <c r="C2240" s="657">
        <v>7.88</v>
      </c>
      <c r="D2240" s="12"/>
    </row>
    <row r="2241" spans="1:4" hidden="1" x14ac:dyDescent="0.2">
      <c r="A2241" s="666" t="s">
        <v>594</v>
      </c>
      <c r="B2241" s="665" t="s">
        <v>13</v>
      </c>
      <c r="C2241" s="664">
        <v>17.21</v>
      </c>
      <c r="D2241" s="12"/>
    </row>
    <row r="2242" spans="1:4" hidden="1" x14ac:dyDescent="0.2">
      <c r="A2242" s="662" t="s">
        <v>569</v>
      </c>
      <c r="B2242" s="661"/>
      <c r="C2242" s="660"/>
      <c r="D2242" s="12"/>
    </row>
    <row r="2243" spans="1:4" hidden="1" x14ac:dyDescent="0.2">
      <c r="A2243" s="659" t="s">
        <v>628</v>
      </c>
      <c r="B2243" s="658" t="s">
        <v>13</v>
      </c>
      <c r="C2243" s="657">
        <v>31.33</v>
      </c>
      <c r="D2243" s="12"/>
    </row>
    <row r="2244" spans="1:4" hidden="1" x14ac:dyDescent="0.2">
      <c r="A2244" s="666" t="s">
        <v>627</v>
      </c>
      <c r="B2244" s="665" t="s">
        <v>13</v>
      </c>
      <c r="C2244" s="664">
        <v>420.78</v>
      </c>
      <c r="D2244" s="12"/>
    </row>
    <row r="2245" spans="1:4" hidden="1" x14ac:dyDescent="0.2">
      <c r="A2245" s="659" t="s">
        <v>626</v>
      </c>
      <c r="B2245" s="658" t="s">
        <v>13</v>
      </c>
      <c r="C2245" s="657">
        <v>2.93</v>
      </c>
      <c r="D2245" s="12"/>
    </row>
    <row r="2246" spans="1:4" hidden="1" x14ac:dyDescent="0.2">
      <c r="A2246" s="666" t="s">
        <v>592</v>
      </c>
      <c r="B2246" s="665" t="s">
        <v>13</v>
      </c>
      <c r="C2246" s="664">
        <v>78.91</v>
      </c>
      <c r="D2246" s="12"/>
    </row>
    <row r="2247" spans="1:4" hidden="1" x14ac:dyDescent="0.2">
      <c r="A2247" s="662" t="s">
        <v>567</v>
      </c>
      <c r="B2247" s="661"/>
      <c r="C2247" s="660"/>
      <c r="D2247" s="12"/>
    </row>
    <row r="2248" spans="1:4" hidden="1" x14ac:dyDescent="0.2">
      <c r="A2248" s="659" t="s">
        <v>566</v>
      </c>
      <c r="B2248" s="658" t="s">
        <v>13</v>
      </c>
      <c r="C2248" s="657">
        <v>225.23</v>
      </c>
      <c r="D2248" s="12"/>
    </row>
    <row r="2249" spans="1:4" hidden="1" x14ac:dyDescent="0.2">
      <c r="A2249" s="662" t="s">
        <v>235</v>
      </c>
      <c r="B2249" s="661"/>
      <c r="C2249" s="660"/>
      <c r="D2249" s="12"/>
    </row>
    <row r="2250" spans="1:4" hidden="1" x14ac:dyDescent="0.2">
      <c r="A2250" s="666" t="s">
        <v>554</v>
      </c>
      <c r="B2250" s="665" t="s">
        <v>3</v>
      </c>
      <c r="C2250" s="664">
        <v>108.4</v>
      </c>
      <c r="D2250" s="12"/>
    </row>
    <row r="2251" spans="1:4" hidden="1" x14ac:dyDescent="0.2">
      <c r="A2251" s="662" t="s">
        <v>236</v>
      </c>
      <c r="B2251" s="661"/>
      <c r="C2251" s="660"/>
      <c r="D2251" s="12"/>
    </row>
    <row r="2252" spans="1:4" hidden="1" x14ac:dyDescent="0.2">
      <c r="A2252" s="659" t="s">
        <v>591</v>
      </c>
      <c r="B2252" s="658" t="s">
        <v>13</v>
      </c>
      <c r="C2252" s="657">
        <v>1.04</v>
      </c>
      <c r="D2252" s="12"/>
    </row>
    <row r="2253" spans="1:4" hidden="1" x14ac:dyDescent="0.2">
      <c r="A2253" s="666" t="s">
        <v>590</v>
      </c>
      <c r="B2253" s="665" t="s">
        <v>13</v>
      </c>
      <c r="C2253" s="664">
        <v>1.04</v>
      </c>
      <c r="D2253" s="12"/>
    </row>
    <row r="2254" spans="1:4" hidden="1" x14ac:dyDescent="0.2">
      <c r="A2254" s="659" t="s">
        <v>625</v>
      </c>
      <c r="B2254" s="658" t="s">
        <v>13</v>
      </c>
      <c r="C2254" s="657">
        <v>2.25</v>
      </c>
      <c r="D2254" s="12"/>
    </row>
    <row r="2255" spans="1:4" hidden="1" x14ac:dyDescent="0.2">
      <c r="A2255" s="666" t="s">
        <v>624</v>
      </c>
      <c r="B2255" s="665" t="s">
        <v>13</v>
      </c>
      <c r="C2255" s="664">
        <v>8.86</v>
      </c>
      <c r="D2255" s="12"/>
    </row>
    <row r="2256" spans="1:4" hidden="1" x14ac:dyDescent="0.2">
      <c r="A2256" s="659" t="s">
        <v>623</v>
      </c>
      <c r="B2256" s="658" t="s">
        <v>3</v>
      </c>
      <c r="C2256" s="657">
        <v>2.5</v>
      </c>
      <c r="D2256" s="12"/>
    </row>
    <row r="2257" spans="1:4" hidden="1" x14ac:dyDescent="0.2">
      <c r="A2257" s="666" t="s">
        <v>622</v>
      </c>
      <c r="B2257" s="665" t="s">
        <v>3</v>
      </c>
      <c r="C2257" s="664">
        <v>7.4</v>
      </c>
      <c r="D2257" s="12"/>
    </row>
    <row r="2258" spans="1:4" hidden="1" x14ac:dyDescent="0.2">
      <c r="A2258" s="659" t="s">
        <v>621</v>
      </c>
      <c r="B2258" s="658" t="s">
        <v>13</v>
      </c>
      <c r="C2258" s="657">
        <v>0.36</v>
      </c>
      <c r="D2258" s="12"/>
    </row>
    <row r="2259" spans="1:4" hidden="1" x14ac:dyDescent="0.2">
      <c r="A2259" s="666" t="s">
        <v>620</v>
      </c>
      <c r="B2259" s="665" t="s">
        <v>13</v>
      </c>
      <c r="C2259" s="664">
        <v>1.18</v>
      </c>
      <c r="D2259" s="12"/>
    </row>
    <row r="2260" spans="1:4" hidden="1" x14ac:dyDescent="0.2">
      <c r="A2260" s="659" t="s">
        <v>619</v>
      </c>
      <c r="B2260" s="658" t="s">
        <v>13</v>
      </c>
      <c r="C2260" s="657">
        <v>4.03</v>
      </c>
      <c r="D2260" s="12"/>
    </row>
    <row r="2261" spans="1:4" hidden="1" x14ac:dyDescent="0.2">
      <c r="A2261" s="666" t="s">
        <v>618</v>
      </c>
      <c r="B2261" s="665" t="s">
        <v>13</v>
      </c>
      <c r="C2261" s="664">
        <v>11.09</v>
      </c>
      <c r="D2261" s="12"/>
    </row>
    <row r="2262" spans="1:4" hidden="1" x14ac:dyDescent="0.2">
      <c r="A2262" s="659" t="s">
        <v>617</v>
      </c>
      <c r="B2262" s="658" t="s">
        <v>13</v>
      </c>
      <c r="C2262" s="657">
        <v>0.05</v>
      </c>
      <c r="D2262" s="12"/>
    </row>
    <row r="2263" spans="1:4" hidden="1" x14ac:dyDescent="0.2">
      <c r="A2263" s="666" t="s">
        <v>616</v>
      </c>
      <c r="B2263" s="665" t="s">
        <v>13</v>
      </c>
      <c r="C2263" s="664">
        <v>0.89</v>
      </c>
      <c r="D2263" s="12"/>
    </row>
    <row r="2264" spans="1:4" hidden="1" x14ac:dyDescent="0.2">
      <c r="A2264" s="659" t="s">
        <v>615</v>
      </c>
      <c r="B2264" s="658" t="s">
        <v>13</v>
      </c>
      <c r="C2264" s="657">
        <v>0.02</v>
      </c>
      <c r="D2264" s="12"/>
    </row>
    <row r="2265" spans="1:4" hidden="1" x14ac:dyDescent="0.2">
      <c r="A2265" s="666" t="s">
        <v>614</v>
      </c>
      <c r="B2265" s="665" t="s">
        <v>13</v>
      </c>
      <c r="C2265" s="664">
        <v>0.38</v>
      </c>
      <c r="D2265" s="12"/>
    </row>
    <row r="2266" spans="1:4" hidden="1" x14ac:dyDescent="0.2">
      <c r="A2266" s="662" t="s">
        <v>240</v>
      </c>
      <c r="B2266" s="661"/>
      <c r="C2266" s="660"/>
      <c r="D2266" s="12"/>
    </row>
    <row r="2267" spans="1:4" hidden="1" x14ac:dyDescent="0.2">
      <c r="A2267" s="659" t="s">
        <v>613</v>
      </c>
      <c r="B2267" s="658" t="s">
        <v>3</v>
      </c>
      <c r="C2267" s="657">
        <v>14.53</v>
      </c>
      <c r="D2267" s="12"/>
    </row>
    <row r="2268" spans="1:4" hidden="1" x14ac:dyDescent="0.2">
      <c r="A2268" s="666" t="s">
        <v>612</v>
      </c>
      <c r="B2268" s="665" t="s">
        <v>2</v>
      </c>
      <c r="C2268" s="664">
        <v>8</v>
      </c>
      <c r="D2268" s="12"/>
    </row>
    <row r="2269" spans="1:4" hidden="1" x14ac:dyDescent="0.2">
      <c r="A2269" s="659" t="s">
        <v>611</v>
      </c>
      <c r="B2269" s="658" t="s">
        <v>2</v>
      </c>
      <c r="C2269" s="657">
        <v>6</v>
      </c>
      <c r="D2269" s="12"/>
    </row>
    <row r="2270" spans="1:4" hidden="1" x14ac:dyDescent="0.2">
      <c r="A2270" s="666" t="s">
        <v>610</v>
      </c>
      <c r="B2270" s="665" t="s">
        <v>2</v>
      </c>
      <c r="C2270" s="664">
        <v>3</v>
      </c>
      <c r="D2270" s="12"/>
    </row>
    <row r="2271" spans="1:4" hidden="1" x14ac:dyDescent="0.2">
      <c r="A2271" s="662" t="s">
        <v>244</v>
      </c>
      <c r="B2271" s="661"/>
      <c r="C2271" s="660"/>
      <c r="D2271" s="12"/>
    </row>
    <row r="2272" spans="1:4" hidden="1" x14ac:dyDescent="0.2">
      <c r="A2272" s="659" t="s">
        <v>586</v>
      </c>
      <c r="B2272" s="658" t="s">
        <v>2</v>
      </c>
      <c r="C2272" s="657">
        <v>1</v>
      </c>
      <c r="D2272" s="12"/>
    </row>
    <row r="2273" spans="1:4" hidden="1" x14ac:dyDescent="0.2">
      <c r="A2273" s="666" t="s">
        <v>585</v>
      </c>
      <c r="B2273" s="665" t="s">
        <v>2</v>
      </c>
      <c r="C2273" s="664">
        <v>1</v>
      </c>
      <c r="D2273" s="12"/>
    </row>
    <row r="2274" spans="1:4" hidden="1" x14ac:dyDescent="0.2">
      <c r="A2274" s="659" t="s">
        <v>609</v>
      </c>
      <c r="B2274" s="658" t="s">
        <v>2</v>
      </c>
      <c r="C2274" s="657">
        <v>2</v>
      </c>
      <c r="D2274" s="12"/>
    </row>
    <row r="2275" spans="1:4" hidden="1" x14ac:dyDescent="0.2">
      <c r="A2275" s="662" t="s">
        <v>552</v>
      </c>
      <c r="B2275" s="661"/>
      <c r="C2275" s="660"/>
      <c r="D2275" s="12"/>
    </row>
    <row r="2276" spans="1:4" hidden="1" x14ac:dyDescent="0.2">
      <c r="A2276" s="666" t="s">
        <v>551</v>
      </c>
      <c r="B2276" s="665" t="s">
        <v>13</v>
      </c>
      <c r="C2276" s="664">
        <v>87.85</v>
      </c>
      <c r="D2276" s="12"/>
    </row>
    <row r="2277" spans="1:4" hidden="1" x14ac:dyDescent="0.2">
      <c r="A2277" s="659" t="s">
        <v>565</v>
      </c>
      <c r="B2277" s="658" t="s">
        <v>13</v>
      </c>
      <c r="C2277" s="657">
        <v>82.74</v>
      </c>
      <c r="D2277" s="12"/>
    </row>
    <row r="2278" spans="1:4" hidden="1" x14ac:dyDescent="0.2">
      <c r="A2278" s="662" t="s">
        <v>550</v>
      </c>
      <c r="B2278" s="661"/>
      <c r="C2278" s="660"/>
      <c r="D2278" s="12"/>
    </row>
    <row r="2279" spans="1:4" hidden="1" x14ac:dyDescent="0.2">
      <c r="A2279" s="666" t="s">
        <v>549</v>
      </c>
      <c r="B2279" s="665" t="s">
        <v>13</v>
      </c>
      <c r="C2279" s="664">
        <v>170.59</v>
      </c>
      <c r="D2279" s="12"/>
    </row>
    <row r="2280" spans="1:4" hidden="1" x14ac:dyDescent="0.2">
      <c r="A2280" s="662" t="s">
        <v>273</v>
      </c>
      <c r="B2280" s="661"/>
      <c r="C2280" s="660"/>
      <c r="D2280" s="12"/>
    </row>
    <row r="2281" spans="1:4" hidden="1" x14ac:dyDescent="0.2">
      <c r="A2281" s="659" t="s">
        <v>564</v>
      </c>
      <c r="B2281" s="658" t="s">
        <v>13</v>
      </c>
      <c r="C2281" s="657">
        <v>77.59</v>
      </c>
      <c r="D2281" s="12"/>
    </row>
    <row r="2282" spans="1:4" hidden="1" x14ac:dyDescent="0.2">
      <c r="A2282" s="666" t="s">
        <v>608</v>
      </c>
      <c r="B2282" s="665" t="s">
        <v>13</v>
      </c>
      <c r="C2282" s="664">
        <v>6.04</v>
      </c>
      <c r="D2282" s="12"/>
    </row>
    <row r="2283" spans="1:4" hidden="1" x14ac:dyDescent="0.2">
      <c r="A2283" s="659" t="s">
        <v>607</v>
      </c>
      <c r="B2283" s="658" t="s">
        <v>13</v>
      </c>
      <c r="C2283" s="657">
        <v>5.14</v>
      </c>
      <c r="D2283" s="12"/>
    </row>
    <row r="2284" spans="1:4" hidden="1" x14ac:dyDescent="0.2">
      <c r="A2284" s="666" t="s">
        <v>548</v>
      </c>
      <c r="B2284" s="665" t="s">
        <v>13</v>
      </c>
      <c r="C2284" s="664">
        <v>81.819999999999993</v>
      </c>
      <c r="D2284" s="12"/>
    </row>
    <row r="2285" spans="1:4" hidden="1" x14ac:dyDescent="0.2">
      <c r="A2285" s="669" t="s">
        <v>659</v>
      </c>
      <c r="B2285" s="668"/>
      <c r="C2285" s="667"/>
      <c r="D2285" s="12"/>
    </row>
    <row r="2286" spans="1:4" hidden="1" x14ac:dyDescent="0.2">
      <c r="A2286" s="662" t="s">
        <v>208</v>
      </c>
      <c r="B2286" s="661"/>
      <c r="C2286" s="660"/>
      <c r="D2286" s="12"/>
    </row>
    <row r="2287" spans="1:4" hidden="1" x14ac:dyDescent="0.2">
      <c r="A2287" s="659" t="s">
        <v>656</v>
      </c>
      <c r="B2287" s="658" t="s">
        <v>13</v>
      </c>
      <c r="C2287" s="657">
        <v>3.54</v>
      </c>
      <c r="D2287" s="12"/>
    </row>
    <row r="2288" spans="1:4" hidden="1" x14ac:dyDescent="0.2">
      <c r="A2288" s="666" t="s">
        <v>562</v>
      </c>
      <c r="B2288" s="665" t="s">
        <v>13</v>
      </c>
      <c r="C2288" s="664">
        <v>195.56</v>
      </c>
      <c r="D2288" s="12"/>
    </row>
    <row r="2289" spans="1:4" hidden="1" x14ac:dyDescent="0.2">
      <c r="A2289" s="659" t="s">
        <v>581</v>
      </c>
      <c r="B2289" s="658" t="s">
        <v>13</v>
      </c>
      <c r="C2289" s="657">
        <v>81.11</v>
      </c>
      <c r="D2289" s="12"/>
    </row>
    <row r="2290" spans="1:4" hidden="1" x14ac:dyDescent="0.2">
      <c r="A2290" s="662" t="s">
        <v>376</v>
      </c>
      <c r="B2290" s="661"/>
      <c r="C2290" s="660"/>
      <c r="D2290" s="12"/>
    </row>
    <row r="2291" spans="1:4" hidden="1" x14ac:dyDescent="0.2">
      <c r="A2291" s="666" t="s">
        <v>655</v>
      </c>
      <c r="B2291" s="665" t="s">
        <v>13</v>
      </c>
      <c r="C2291" s="664">
        <v>29.04</v>
      </c>
      <c r="D2291" s="12"/>
    </row>
    <row r="2292" spans="1:4" hidden="1" x14ac:dyDescent="0.2">
      <c r="A2292" s="662" t="s">
        <v>605</v>
      </c>
      <c r="B2292" s="661"/>
      <c r="C2292" s="660"/>
      <c r="D2292" s="12"/>
    </row>
    <row r="2293" spans="1:4" hidden="1" x14ac:dyDescent="0.2">
      <c r="A2293" s="659" t="s">
        <v>604</v>
      </c>
      <c r="B2293" s="658" t="s">
        <v>13</v>
      </c>
      <c r="C2293" s="657">
        <v>85</v>
      </c>
      <c r="D2293" s="12"/>
    </row>
    <row r="2294" spans="1:4" hidden="1" x14ac:dyDescent="0.2">
      <c r="A2294" s="662" t="s">
        <v>561</v>
      </c>
      <c r="B2294" s="661"/>
      <c r="C2294" s="660"/>
      <c r="D2294" s="12"/>
    </row>
    <row r="2295" spans="1:4" hidden="1" x14ac:dyDescent="0.2">
      <c r="A2295" s="666" t="s">
        <v>580</v>
      </c>
      <c r="B2295" s="665" t="s">
        <v>3</v>
      </c>
      <c r="C2295" s="664">
        <v>172.95</v>
      </c>
      <c r="D2295" s="12"/>
    </row>
    <row r="2296" spans="1:4" hidden="1" x14ac:dyDescent="0.2">
      <c r="A2296" s="659" t="s">
        <v>560</v>
      </c>
      <c r="B2296" s="658" t="s">
        <v>13</v>
      </c>
      <c r="C2296" s="657">
        <v>197.13</v>
      </c>
      <c r="D2296" s="12"/>
    </row>
    <row r="2297" spans="1:4" hidden="1" x14ac:dyDescent="0.2">
      <c r="A2297" s="666" t="s">
        <v>559</v>
      </c>
      <c r="B2297" s="665" t="s">
        <v>3</v>
      </c>
      <c r="C2297" s="664">
        <v>98</v>
      </c>
      <c r="D2297" s="12"/>
    </row>
    <row r="2298" spans="1:4" hidden="1" x14ac:dyDescent="0.2">
      <c r="A2298" s="662" t="s">
        <v>212</v>
      </c>
      <c r="B2298" s="661"/>
      <c r="C2298" s="660"/>
      <c r="D2298" s="12"/>
    </row>
    <row r="2299" spans="1:4" hidden="1" x14ac:dyDescent="0.2">
      <c r="A2299" s="659" t="s">
        <v>579</v>
      </c>
      <c r="B2299" s="658" t="s">
        <v>13</v>
      </c>
      <c r="C2299" s="657">
        <v>43.76</v>
      </c>
      <c r="D2299" s="12"/>
    </row>
    <row r="2300" spans="1:4" hidden="1" x14ac:dyDescent="0.2">
      <c r="A2300" s="662" t="s">
        <v>557</v>
      </c>
      <c r="B2300" s="661"/>
      <c r="C2300" s="660"/>
      <c r="D2300" s="12"/>
    </row>
    <row r="2301" spans="1:4" hidden="1" x14ac:dyDescent="0.2">
      <c r="A2301" s="666" t="s">
        <v>654</v>
      </c>
      <c r="B2301" s="665" t="s">
        <v>13</v>
      </c>
      <c r="C2301" s="664">
        <v>12.1</v>
      </c>
      <c r="D2301" s="12"/>
    </row>
    <row r="2302" spans="1:4" hidden="1" x14ac:dyDescent="0.2">
      <c r="A2302" s="659" t="s">
        <v>653</v>
      </c>
      <c r="B2302" s="658" t="s">
        <v>13</v>
      </c>
      <c r="C2302" s="657">
        <v>6.98</v>
      </c>
      <c r="D2302" s="12"/>
    </row>
    <row r="2303" spans="1:4" hidden="1" x14ac:dyDescent="0.2">
      <c r="A2303" s="666" t="s">
        <v>603</v>
      </c>
      <c r="B2303" s="665" t="s">
        <v>13</v>
      </c>
      <c r="C2303" s="664">
        <v>3.31</v>
      </c>
      <c r="D2303" s="12"/>
    </row>
    <row r="2304" spans="1:4" hidden="1" x14ac:dyDescent="0.2">
      <c r="A2304" s="659" t="s">
        <v>602</v>
      </c>
      <c r="B2304" s="658" t="s">
        <v>13</v>
      </c>
      <c r="C2304" s="657">
        <v>6.44</v>
      </c>
      <c r="D2304" s="12"/>
    </row>
    <row r="2305" spans="1:4" hidden="1" x14ac:dyDescent="0.2">
      <c r="A2305" s="666" t="s">
        <v>652</v>
      </c>
      <c r="B2305" s="665" t="s">
        <v>13</v>
      </c>
      <c r="C2305" s="664">
        <v>36.83</v>
      </c>
      <c r="D2305" s="12"/>
    </row>
    <row r="2306" spans="1:4" hidden="1" x14ac:dyDescent="0.2">
      <c r="A2306" s="659" t="s">
        <v>651</v>
      </c>
      <c r="B2306" s="658" t="s">
        <v>13</v>
      </c>
      <c r="C2306" s="657">
        <v>17.95</v>
      </c>
      <c r="D2306" s="12"/>
    </row>
    <row r="2307" spans="1:4" hidden="1" x14ac:dyDescent="0.2">
      <c r="A2307" s="666" t="s">
        <v>650</v>
      </c>
      <c r="B2307" s="665" t="s">
        <v>13</v>
      </c>
      <c r="C2307" s="664">
        <v>22.97</v>
      </c>
      <c r="D2307" s="12"/>
    </row>
    <row r="2308" spans="1:4" hidden="1" x14ac:dyDescent="0.2">
      <c r="A2308" s="659" t="s">
        <v>649</v>
      </c>
      <c r="B2308" s="658" t="s">
        <v>13</v>
      </c>
      <c r="C2308" s="657">
        <v>5.43</v>
      </c>
      <c r="D2308" s="12"/>
    </row>
    <row r="2309" spans="1:4" hidden="1" x14ac:dyDescent="0.2">
      <c r="A2309" s="666" t="s">
        <v>648</v>
      </c>
      <c r="B2309" s="665" t="s">
        <v>13</v>
      </c>
      <c r="C2309" s="664">
        <v>10.6</v>
      </c>
      <c r="D2309" s="12"/>
    </row>
    <row r="2310" spans="1:4" hidden="1" x14ac:dyDescent="0.2">
      <c r="A2310" s="659" t="s">
        <v>647</v>
      </c>
      <c r="B2310" s="658" t="s">
        <v>13</v>
      </c>
      <c r="C2310" s="657">
        <v>6.95</v>
      </c>
      <c r="D2310" s="12"/>
    </row>
    <row r="2311" spans="1:4" hidden="1" x14ac:dyDescent="0.2">
      <c r="A2311" s="666" t="s">
        <v>646</v>
      </c>
      <c r="B2311" s="665" t="s">
        <v>13</v>
      </c>
      <c r="C2311" s="664">
        <v>9.51</v>
      </c>
      <c r="D2311" s="12"/>
    </row>
    <row r="2312" spans="1:4" hidden="1" x14ac:dyDescent="0.2">
      <c r="A2312" s="659" t="s">
        <v>645</v>
      </c>
      <c r="B2312" s="658" t="s">
        <v>13</v>
      </c>
      <c r="C2312" s="657">
        <v>2.99</v>
      </c>
      <c r="D2312" s="12"/>
    </row>
    <row r="2313" spans="1:4" hidden="1" x14ac:dyDescent="0.2">
      <c r="A2313" s="662" t="s">
        <v>220</v>
      </c>
      <c r="B2313" s="661"/>
      <c r="C2313" s="660"/>
      <c r="D2313" s="12"/>
    </row>
    <row r="2314" spans="1:4" hidden="1" x14ac:dyDescent="0.2">
      <c r="A2314" s="666" t="s">
        <v>599</v>
      </c>
      <c r="B2314" s="665" t="s">
        <v>13</v>
      </c>
      <c r="C2314" s="664">
        <v>197.77</v>
      </c>
      <c r="D2314" s="12"/>
    </row>
    <row r="2315" spans="1:4" hidden="1" x14ac:dyDescent="0.2">
      <c r="A2315" s="659" t="s">
        <v>644</v>
      </c>
      <c r="B2315" s="658" t="s">
        <v>13</v>
      </c>
      <c r="C2315" s="657">
        <v>7.88</v>
      </c>
      <c r="D2315" s="12"/>
    </row>
    <row r="2316" spans="1:4" ht="25.5" hidden="1" x14ac:dyDescent="0.2">
      <c r="A2316" s="666" t="s">
        <v>643</v>
      </c>
      <c r="B2316" s="665" t="s">
        <v>13</v>
      </c>
      <c r="C2316" s="664">
        <v>2.82</v>
      </c>
      <c r="D2316" s="12"/>
    </row>
    <row r="2317" spans="1:4" hidden="1" x14ac:dyDescent="0.2">
      <c r="A2317" s="662" t="s">
        <v>598</v>
      </c>
      <c r="B2317" s="661"/>
      <c r="C2317" s="660"/>
      <c r="D2317" s="12"/>
    </row>
    <row r="2318" spans="1:4" hidden="1" x14ac:dyDescent="0.2">
      <c r="A2318" s="659" t="s">
        <v>642</v>
      </c>
      <c r="B2318" s="658" t="s">
        <v>13</v>
      </c>
      <c r="C2318" s="657">
        <v>5.27</v>
      </c>
      <c r="D2318" s="12"/>
    </row>
    <row r="2319" spans="1:4" hidden="1" x14ac:dyDescent="0.2">
      <c r="A2319" s="662" t="s">
        <v>576</v>
      </c>
      <c r="B2319" s="661"/>
      <c r="C2319" s="660"/>
      <c r="D2319" s="12"/>
    </row>
    <row r="2320" spans="1:4" hidden="1" x14ac:dyDescent="0.2">
      <c r="A2320" s="666" t="s">
        <v>575</v>
      </c>
      <c r="B2320" s="665" t="s">
        <v>13</v>
      </c>
      <c r="C2320" s="664">
        <v>546.5</v>
      </c>
      <c r="D2320" s="12"/>
    </row>
    <row r="2321" spans="1:4" hidden="1" x14ac:dyDescent="0.2">
      <c r="A2321" s="659" t="s">
        <v>574</v>
      </c>
      <c r="B2321" s="658" t="s">
        <v>13</v>
      </c>
      <c r="C2321" s="657">
        <v>153.68</v>
      </c>
      <c r="D2321" s="12"/>
    </row>
    <row r="2322" spans="1:4" hidden="1" x14ac:dyDescent="0.2">
      <c r="A2322" s="662" t="s">
        <v>573</v>
      </c>
      <c r="B2322" s="661"/>
      <c r="C2322" s="660"/>
      <c r="D2322" s="12"/>
    </row>
    <row r="2323" spans="1:4" hidden="1" x14ac:dyDescent="0.2">
      <c r="A2323" s="666" t="s">
        <v>572</v>
      </c>
      <c r="B2323" s="665" t="s">
        <v>13</v>
      </c>
      <c r="C2323" s="664">
        <v>700.18</v>
      </c>
      <c r="D2323" s="12"/>
    </row>
    <row r="2324" spans="1:4" hidden="1" x14ac:dyDescent="0.2">
      <c r="A2324" s="662" t="s">
        <v>224</v>
      </c>
      <c r="B2324" s="661"/>
      <c r="C2324" s="660"/>
      <c r="D2324" s="12"/>
    </row>
    <row r="2325" spans="1:4" hidden="1" x14ac:dyDescent="0.2">
      <c r="A2325" s="659" t="s">
        <v>571</v>
      </c>
      <c r="B2325" s="658" t="s">
        <v>13</v>
      </c>
      <c r="C2325" s="657">
        <v>45.24</v>
      </c>
      <c r="D2325" s="12"/>
    </row>
    <row r="2326" spans="1:4" hidden="1" x14ac:dyDescent="0.2">
      <c r="A2326" s="662" t="s">
        <v>218</v>
      </c>
      <c r="B2326" s="661"/>
      <c r="C2326" s="660"/>
      <c r="D2326" s="12"/>
    </row>
    <row r="2327" spans="1:4" hidden="1" x14ac:dyDescent="0.2">
      <c r="A2327" s="666" t="s">
        <v>570</v>
      </c>
      <c r="B2327" s="665" t="s">
        <v>13</v>
      </c>
      <c r="C2327" s="664">
        <v>37.35</v>
      </c>
      <c r="D2327" s="12"/>
    </row>
    <row r="2328" spans="1:4" hidden="1" x14ac:dyDescent="0.2">
      <c r="A2328" s="662" t="s">
        <v>219</v>
      </c>
      <c r="B2328" s="661"/>
      <c r="C2328" s="660"/>
      <c r="D2328" s="12"/>
    </row>
    <row r="2329" spans="1:4" hidden="1" x14ac:dyDescent="0.2">
      <c r="A2329" s="659" t="s">
        <v>641</v>
      </c>
      <c r="B2329" s="658" t="s">
        <v>13</v>
      </c>
      <c r="C2329" s="657">
        <v>187.88</v>
      </c>
      <c r="D2329" s="12"/>
    </row>
    <row r="2330" spans="1:4" hidden="1" x14ac:dyDescent="0.2">
      <c r="A2330" s="662" t="s">
        <v>222</v>
      </c>
      <c r="B2330" s="661"/>
      <c r="C2330" s="660"/>
      <c r="D2330" s="12"/>
    </row>
    <row r="2331" spans="1:4" hidden="1" x14ac:dyDescent="0.2">
      <c r="A2331" s="666" t="s">
        <v>640</v>
      </c>
      <c r="B2331" s="665" t="s">
        <v>13</v>
      </c>
      <c r="C2331" s="664">
        <v>93.11</v>
      </c>
      <c r="D2331" s="12"/>
    </row>
    <row r="2332" spans="1:4" hidden="1" x14ac:dyDescent="0.2">
      <c r="A2332" s="659" t="s">
        <v>639</v>
      </c>
      <c r="B2332" s="658" t="s">
        <v>13</v>
      </c>
      <c r="C2332" s="657">
        <v>23.38</v>
      </c>
      <c r="D2332" s="12"/>
    </row>
    <row r="2333" spans="1:4" hidden="1" x14ac:dyDescent="0.2">
      <c r="A2333" s="666" t="s">
        <v>638</v>
      </c>
      <c r="B2333" s="665" t="s">
        <v>13</v>
      </c>
      <c r="C2333" s="664">
        <v>8.48</v>
      </c>
      <c r="D2333" s="12"/>
    </row>
    <row r="2334" spans="1:4" hidden="1" x14ac:dyDescent="0.2">
      <c r="A2334" s="662" t="s">
        <v>637</v>
      </c>
      <c r="B2334" s="661"/>
      <c r="C2334" s="660"/>
      <c r="D2334" s="12"/>
    </row>
    <row r="2335" spans="1:4" hidden="1" x14ac:dyDescent="0.2">
      <c r="A2335" s="659" t="s">
        <v>636</v>
      </c>
      <c r="B2335" s="658" t="s">
        <v>13</v>
      </c>
      <c r="C2335" s="657">
        <v>63.69</v>
      </c>
      <c r="D2335" s="12"/>
    </row>
    <row r="2336" spans="1:4" hidden="1" x14ac:dyDescent="0.2">
      <c r="A2336" s="662" t="s">
        <v>635</v>
      </c>
      <c r="B2336" s="661"/>
      <c r="C2336" s="660"/>
      <c r="D2336" s="12"/>
    </row>
    <row r="2337" spans="1:4" hidden="1" x14ac:dyDescent="0.2">
      <c r="A2337" s="666" t="s">
        <v>634</v>
      </c>
      <c r="B2337" s="665" t="s">
        <v>3</v>
      </c>
      <c r="C2337" s="664">
        <v>158.85</v>
      </c>
      <c r="D2337" s="12"/>
    </row>
    <row r="2338" spans="1:4" hidden="1" x14ac:dyDescent="0.2">
      <c r="A2338" s="662" t="s">
        <v>346</v>
      </c>
      <c r="B2338" s="661"/>
      <c r="C2338" s="660"/>
      <c r="D2338" s="12"/>
    </row>
    <row r="2339" spans="1:4" hidden="1" x14ac:dyDescent="0.2">
      <c r="A2339" s="659" t="s">
        <v>633</v>
      </c>
      <c r="B2339" s="658" t="s">
        <v>13</v>
      </c>
      <c r="C2339" s="657">
        <v>0.85</v>
      </c>
      <c r="D2339" s="12"/>
    </row>
    <row r="2340" spans="1:4" hidden="1" x14ac:dyDescent="0.2">
      <c r="A2340" s="662" t="s">
        <v>217</v>
      </c>
      <c r="B2340" s="661"/>
      <c r="C2340" s="660"/>
      <c r="D2340" s="12"/>
    </row>
    <row r="2341" spans="1:4" hidden="1" x14ac:dyDescent="0.2">
      <c r="A2341" s="666" t="s">
        <v>632</v>
      </c>
      <c r="B2341" s="665" t="s">
        <v>13</v>
      </c>
      <c r="C2341" s="664">
        <v>3.2</v>
      </c>
      <c r="D2341" s="12"/>
    </row>
    <row r="2342" spans="1:4" hidden="1" x14ac:dyDescent="0.2">
      <c r="A2342" s="662" t="s">
        <v>215</v>
      </c>
      <c r="B2342" s="661"/>
      <c r="C2342" s="660"/>
      <c r="D2342" s="12"/>
    </row>
    <row r="2343" spans="1:4" hidden="1" x14ac:dyDescent="0.2">
      <c r="A2343" s="659" t="s">
        <v>631</v>
      </c>
      <c r="B2343" s="658" t="s">
        <v>13</v>
      </c>
      <c r="C2343" s="657">
        <v>58.23</v>
      </c>
      <c r="D2343" s="12"/>
    </row>
    <row r="2344" spans="1:4" hidden="1" x14ac:dyDescent="0.2">
      <c r="A2344" s="666" t="s">
        <v>630</v>
      </c>
      <c r="B2344" s="665" t="s">
        <v>13</v>
      </c>
      <c r="C2344" s="664">
        <v>108</v>
      </c>
      <c r="D2344" s="12"/>
    </row>
    <row r="2345" spans="1:4" hidden="1" x14ac:dyDescent="0.2">
      <c r="A2345" s="662" t="s">
        <v>231</v>
      </c>
      <c r="B2345" s="661"/>
      <c r="C2345" s="660"/>
      <c r="D2345" s="12"/>
    </row>
    <row r="2346" spans="1:4" hidden="1" x14ac:dyDescent="0.2">
      <c r="A2346" s="659" t="s">
        <v>595</v>
      </c>
      <c r="B2346" s="658" t="s">
        <v>13</v>
      </c>
      <c r="C2346" s="657">
        <v>6.72</v>
      </c>
      <c r="D2346" s="12"/>
    </row>
    <row r="2347" spans="1:4" hidden="1" x14ac:dyDescent="0.2">
      <c r="A2347" s="666" t="s">
        <v>629</v>
      </c>
      <c r="B2347" s="665" t="s">
        <v>13</v>
      </c>
      <c r="C2347" s="664">
        <v>7.88</v>
      </c>
      <c r="D2347" s="12"/>
    </row>
    <row r="2348" spans="1:4" hidden="1" x14ac:dyDescent="0.2">
      <c r="A2348" s="659" t="s">
        <v>594</v>
      </c>
      <c r="B2348" s="658" t="s">
        <v>13</v>
      </c>
      <c r="C2348" s="657">
        <v>17.21</v>
      </c>
      <c r="D2348" s="12"/>
    </row>
    <row r="2349" spans="1:4" hidden="1" x14ac:dyDescent="0.2">
      <c r="A2349" s="662" t="s">
        <v>569</v>
      </c>
      <c r="B2349" s="661"/>
      <c r="C2349" s="660"/>
      <c r="D2349" s="12"/>
    </row>
    <row r="2350" spans="1:4" hidden="1" x14ac:dyDescent="0.2">
      <c r="A2350" s="666" t="s">
        <v>628</v>
      </c>
      <c r="B2350" s="665" t="s">
        <v>13</v>
      </c>
      <c r="C2350" s="664">
        <v>31.33</v>
      </c>
      <c r="D2350" s="12"/>
    </row>
    <row r="2351" spans="1:4" hidden="1" x14ac:dyDescent="0.2">
      <c r="A2351" s="659" t="s">
        <v>627</v>
      </c>
      <c r="B2351" s="658" t="s">
        <v>13</v>
      </c>
      <c r="C2351" s="657">
        <v>420.78</v>
      </c>
      <c r="D2351" s="12"/>
    </row>
    <row r="2352" spans="1:4" hidden="1" x14ac:dyDescent="0.2">
      <c r="A2352" s="666" t="s">
        <v>626</v>
      </c>
      <c r="B2352" s="665" t="s">
        <v>13</v>
      </c>
      <c r="C2352" s="664">
        <v>2.93</v>
      </c>
      <c r="D2352" s="12"/>
    </row>
    <row r="2353" spans="1:4" hidden="1" x14ac:dyDescent="0.2">
      <c r="A2353" s="659" t="s">
        <v>592</v>
      </c>
      <c r="B2353" s="658" t="s">
        <v>13</v>
      </c>
      <c r="C2353" s="657">
        <v>78.91</v>
      </c>
      <c r="D2353" s="12"/>
    </row>
    <row r="2354" spans="1:4" hidden="1" x14ac:dyDescent="0.2">
      <c r="A2354" s="662" t="s">
        <v>567</v>
      </c>
      <c r="B2354" s="661"/>
      <c r="C2354" s="660"/>
      <c r="D2354" s="12"/>
    </row>
    <row r="2355" spans="1:4" hidden="1" x14ac:dyDescent="0.2">
      <c r="A2355" s="666" t="s">
        <v>566</v>
      </c>
      <c r="B2355" s="665" t="s">
        <v>13</v>
      </c>
      <c r="C2355" s="664">
        <v>225.23</v>
      </c>
      <c r="D2355" s="12"/>
    </row>
    <row r="2356" spans="1:4" hidden="1" x14ac:dyDescent="0.2">
      <c r="A2356" s="662" t="s">
        <v>235</v>
      </c>
      <c r="B2356" s="661"/>
      <c r="C2356" s="660"/>
      <c r="D2356" s="12"/>
    </row>
    <row r="2357" spans="1:4" hidden="1" x14ac:dyDescent="0.2">
      <c r="A2357" s="659" t="s">
        <v>554</v>
      </c>
      <c r="B2357" s="658" t="s">
        <v>3</v>
      </c>
      <c r="C2357" s="657">
        <v>108.4</v>
      </c>
      <c r="D2357" s="12"/>
    </row>
    <row r="2358" spans="1:4" hidden="1" x14ac:dyDescent="0.2">
      <c r="A2358" s="662" t="s">
        <v>236</v>
      </c>
      <c r="B2358" s="661"/>
      <c r="C2358" s="660"/>
      <c r="D2358" s="12"/>
    </row>
    <row r="2359" spans="1:4" hidden="1" x14ac:dyDescent="0.2">
      <c r="A2359" s="666" t="s">
        <v>591</v>
      </c>
      <c r="B2359" s="665" t="s">
        <v>13</v>
      </c>
      <c r="C2359" s="664">
        <v>1.04</v>
      </c>
      <c r="D2359" s="12"/>
    </row>
    <row r="2360" spans="1:4" hidden="1" x14ac:dyDescent="0.2">
      <c r="A2360" s="659" t="s">
        <v>590</v>
      </c>
      <c r="B2360" s="658" t="s">
        <v>13</v>
      </c>
      <c r="C2360" s="657">
        <v>1.04</v>
      </c>
      <c r="D2360" s="12"/>
    </row>
    <row r="2361" spans="1:4" hidden="1" x14ac:dyDescent="0.2">
      <c r="A2361" s="666" t="s">
        <v>625</v>
      </c>
      <c r="B2361" s="665" t="s">
        <v>13</v>
      </c>
      <c r="C2361" s="664">
        <v>2.25</v>
      </c>
      <c r="D2361" s="12"/>
    </row>
    <row r="2362" spans="1:4" hidden="1" x14ac:dyDescent="0.2">
      <c r="A2362" s="659" t="s">
        <v>624</v>
      </c>
      <c r="B2362" s="658" t="s">
        <v>13</v>
      </c>
      <c r="C2362" s="657">
        <v>8.86</v>
      </c>
      <c r="D2362" s="12"/>
    </row>
    <row r="2363" spans="1:4" hidden="1" x14ac:dyDescent="0.2">
      <c r="A2363" s="666" t="s">
        <v>623</v>
      </c>
      <c r="B2363" s="665" t="s">
        <v>3</v>
      </c>
      <c r="C2363" s="664">
        <v>2.5</v>
      </c>
      <c r="D2363" s="12"/>
    </row>
    <row r="2364" spans="1:4" hidden="1" x14ac:dyDescent="0.2">
      <c r="A2364" s="659" t="s">
        <v>622</v>
      </c>
      <c r="B2364" s="658" t="s">
        <v>3</v>
      </c>
      <c r="C2364" s="657">
        <v>7.4</v>
      </c>
      <c r="D2364" s="12"/>
    </row>
    <row r="2365" spans="1:4" hidden="1" x14ac:dyDescent="0.2">
      <c r="A2365" s="666" t="s">
        <v>621</v>
      </c>
      <c r="B2365" s="665" t="s">
        <v>13</v>
      </c>
      <c r="C2365" s="664">
        <v>0.36</v>
      </c>
      <c r="D2365" s="12"/>
    </row>
    <row r="2366" spans="1:4" hidden="1" x14ac:dyDescent="0.2">
      <c r="A2366" s="659" t="s">
        <v>620</v>
      </c>
      <c r="B2366" s="658" t="s">
        <v>13</v>
      </c>
      <c r="C2366" s="657">
        <v>1.18</v>
      </c>
      <c r="D2366" s="12"/>
    </row>
    <row r="2367" spans="1:4" hidden="1" x14ac:dyDescent="0.2">
      <c r="A2367" s="666" t="s">
        <v>619</v>
      </c>
      <c r="B2367" s="665" t="s">
        <v>13</v>
      </c>
      <c r="C2367" s="664">
        <v>4.03</v>
      </c>
      <c r="D2367" s="12"/>
    </row>
    <row r="2368" spans="1:4" hidden="1" x14ac:dyDescent="0.2">
      <c r="A2368" s="659" t="s">
        <v>618</v>
      </c>
      <c r="B2368" s="658" t="s">
        <v>13</v>
      </c>
      <c r="C2368" s="657">
        <v>11.09</v>
      </c>
      <c r="D2368" s="12"/>
    </row>
    <row r="2369" spans="1:4" hidden="1" x14ac:dyDescent="0.2">
      <c r="A2369" s="666" t="s">
        <v>617</v>
      </c>
      <c r="B2369" s="665" t="s">
        <v>13</v>
      </c>
      <c r="C2369" s="664">
        <v>0.05</v>
      </c>
      <c r="D2369" s="12"/>
    </row>
    <row r="2370" spans="1:4" hidden="1" x14ac:dyDescent="0.2">
      <c r="A2370" s="659" t="s">
        <v>616</v>
      </c>
      <c r="B2370" s="658" t="s">
        <v>13</v>
      </c>
      <c r="C2370" s="657">
        <v>0.89</v>
      </c>
      <c r="D2370" s="12"/>
    </row>
    <row r="2371" spans="1:4" hidden="1" x14ac:dyDescent="0.2">
      <c r="A2371" s="666" t="s">
        <v>615</v>
      </c>
      <c r="B2371" s="665" t="s">
        <v>13</v>
      </c>
      <c r="C2371" s="664">
        <v>0.02</v>
      </c>
      <c r="D2371" s="12"/>
    </row>
    <row r="2372" spans="1:4" hidden="1" x14ac:dyDescent="0.2">
      <c r="A2372" s="659" t="s">
        <v>614</v>
      </c>
      <c r="B2372" s="658" t="s">
        <v>13</v>
      </c>
      <c r="C2372" s="657">
        <v>0.38</v>
      </c>
      <c r="D2372" s="12"/>
    </row>
    <row r="2373" spans="1:4" hidden="1" x14ac:dyDescent="0.2">
      <c r="A2373" s="662" t="s">
        <v>240</v>
      </c>
      <c r="B2373" s="661"/>
      <c r="C2373" s="660"/>
      <c r="D2373" s="12"/>
    </row>
    <row r="2374" spans="1:4" hidden="1" x14ac:dyDescent="0.2">
      <c r="A2374" s="666" t="s">
        <v>613</v>
      </c>
      <c r="B2374" s="665" t="s">
        <v>3</v>
      </c>
      <c r="C2374" s="664">
        <v>14.53</v>
      </c>
      <c r="D2374" s="12"/>
    </row>
    <row r="2375" spans="1:4" hidden="1" x14ac:dyDescent="0.2">
      <c r="A2375" s="659" t="s">
        <v>612</v>
      </c>
      <c r="B2375" s="658" t="s">
        <v>2</v>
      </c>
      <c r="C2375" s="657">
        <v>8</v>
      </c>
      <c r="D2375" s="12"/>
    </row>
    <row r="2376" spans="1:4" hidden="1" x14ac:dyDescent="0.2">
      <c r="A2376" s="666" t="s">
        <v>611</v>
      </c>
      <c r="B2376" s="665" t="s">
        <v>2</v>
      </c>
      <c r="C2376" s="664">
        <v>6</v>
      </c>
      <c r="D2376" s="12"/>
    </row>
    <row r="2377" spans="1:4" hidden="1" x14ac:dyDescent="0.2">
      <c r="A2377" s="659" t="s">
        <v>610</v>
      </c>
      <c r="B2377" s="658" t="s">
        <v>2</v>
      </c>
      <c r="C2377" s="657">
        <v>3</v>
      </c>
      <c r="D2377" s="12"/>
    </row>
    <row r="2378" spans="1:4" hidden="1" x14ac:dyDescent="0.2">
      <c r="A2378" s="662" t="s">
        <v>244</v>
      </c>
      <c r="B2378" s="661"/>
      <c r="C2378" s="660"/>
      <c r="D2378" s="12"/>
    </row>
    <row r="2379" spans="1:4" hidden="1" x14ac:dyDescent="0.2">
      <c r="A2379" s="666" t="s">
        <v>586</v>
      </c>
      <c r="B2379" s="665" t="s">
        <v>2</v>
      </c>
      <c r="C2379" s="664">
        <v>1</v>
      </c>
      <c r="D2379" s="12"/>
    </row>
    <row r="2380" spans="1:4" hidden="1" x14ac:dyDescent="0.2">
      <c r="A2380" s="659" t="s">
        <v>585</v>
      </c>
      <c r="B2380" s="658" t="s">
        <v>2</v>
      </c>
      <c r="C2380" s="657">
        <v>1</v>
      </c>
      <c r="D2380" s="12"/>
    </row>
    <row r="2381" spans="1:4" hidden="1" x14ac:dyDescent="0.2">
      <c r="A2381" s="666" t="s">
        <v>609</v>
      </c>
      <c r="B2381" s="665" t="s">
        <v>2</v>
      </c>
      <c r="C2381" s="664">
        <v>2</v>
      </c>
      <c r="D2381" s="12"/>
    </row>
    <row r="2382" spans="1:4" hidden="1" x14ac:dyDescent="0.2">
      <c r="A2382" s="662" t="s">
        <v>552</v>
      </c>
      <c r="B2382" s="661"/>
      <c r="C2382" s="660"/>
      <c r="D2382" s="12"/>
    </row>
    <row r="2383" spans="1:4" hidden="1" x14ac:dyDescent="0.2">
      <c r="A2383" s="659" t="s">
        <v>551</v>
      </c>
      <c r="B2383" s="658" t="s">
        <v>13</v>
      </c>
      <c r="C2383" s="657">
        <v>89.87</v>
      </c>
      <c r="D2383" s="12"/>
    </row>
    <row r="2384" spans="1:4" hidden="1" x14ac:dyDescent="0.2">
      <c r="A2384" s="666" t="s">
        <v>565</v>
      </c>
      <c r="B2384" s="665" t="s">
        <v>13</v>
      </c>
      <c r="C2384" s="664">
        <v>82.74</v>
      </c>
      <c r="D2384" s="12"/>
    </row>
    <row r="2385" spans="1:4" hidden="1" x14ac:dyDescent="0.2">
      <c r="A2385" s="662" t="s">
        <v>550</v>
      </c>
      <c r="B2385" s="661"/>
      <c r="C2385" s="660"/>
      <c r="D2385" s="12"/>
    </row>
    <row r="2386" spans="1:4" hidden="1" x14ac:dyDescent="0.2">
      <c r="A2386" s="659" t="s">
        <v>549</v>
      </c>
      <c r="B2386" s="658" t="s">
        <v>13</v>
      </c>
      <c r="C2386" s="657">
        <v>172.6</v>
      </c>
      <c r="D2386" s="12"/>
    </row>
    <row r="2387" spans="1:4" hidden="1" x14ac:dyDescent="0.2">
      <c r="A2387" s="662" t="s">
        <v>273</v>
      </c>
      <c r="B2387" s="661"/>
      <c r="C2387" s="660"/>
      <c r="D2387" s="12"/>
    </row>
    <row r="2388" spans="1:4" hidden="1" x14ac:dyDescent="0.2">
      <c r="A2388" s="666" t="s">
        <v>564</v>
      </c>
      <c r="B2388" s="665" t="s">
        <v>13</v>
      </c>
      <c r="C2388" s="664">
        <v>77.59</v>
      </c>
      <c r="D2388" s="12"/>
    </row>
    <row r="2389" spans="1:4" hidden="1" x14ac:dyDescent="0.2">
      <c r="A2389" s="659" t="s">
        <v>608</v>
      </c>
      <c r="B2389" s="658" t="s">
        <v>13</v>
      </c>
      <c r="C2389" s="657">
        <v>8.0500000000000007</v>
      </c>
      <c r="D2389" s="12"/>
    </row>
    <row r="2390" spans="1:4" hidden="1" x14ac:dyDescent="0.2">
      <c r="A2390" s="666" t="s">
        <v>607</v>
      </c>
      <c r="B2390" s="665" t="s">
        <v>13</v>
      </c>
      <c r="C2390" s="664">
        <v>5.14</v>
      </c>
      <c r="D2390" s="12"/>
    </row>
    <row r="2391" spans="1:4" hidden="1" x14ac:dyDescent="0.2">
      <c r="A2391" s="659" t="s">
        <v>548</v>
      </c>
      <c r="B2391" s="658" t="s">
        <v>13</v>
      </c>
      <c r="C2391" s="657">
        <v>81.819999999999993</v>
      </c>
      <c r="D2391" s="12"/>
    </row>
    <row r="2392" spans="1:4" hidden="1" x14ac:dyDescent="0.2">
      <c r="A2392" s="669" t="s">
        <v>658</v>
      </c>
      <c r="B2392" s="668"/>
      <c r="C2392" s="667"/>
      <c r="D2392" s="12"/>
    </row>
    <row r="2393" spans="1:4" hidden="1" x14ac:dyDescent="0.2">
      <c r="A2393" s="662" t="s">
        <v>208</v>
      </c>
      <c r="B2393" s="661"/>
      <c r="C2393" s="660"/>
      <c r="D2393" s="12"/>
    </row>
    <row r="2394" spans="1:4" hidden="1" x14ac:dyDescent="0.2">
      <c r="A2394" s="666" t="s">
        <v>656</v>
      </c>
      <c r="B2394" s="665" t="s">
        <v>13</v>
      </c>
      <c r="C2394" s="664">
        <v>2.63</v>
      </c>
      <c r="D2394" s="12"/>
    </row>
    <row r="2395" spans="1:4" hidden="1" x14ac:dyDescent="0.2">
      <c r="A2395" s="659" t="s">
        <v>562</v>
      </c>
      <c r="B2395" s="658" t="s">
        <v>13</v>
      </c>
      <c r="C2395" s="657">
        <v>195.56</v>
      </c>
      <c r="D2395" s="12"/>
    </row>
    <row r="2396" spans="1:4" hidden="1" x14ac:dyDescent="0.2">
      <c r="A2396" s="666" t="s">
        <v>581</v>
      </c>
      <c r="B2396" s="665" t="s">
        <v>13</v>
      </c>
      <c r="C2396" s="664">
        <v>81.11</v>
      </c>
      <c r="D2396" s="12"/>
    </row>
    <row r="2397" spans="1:4" hidden="1" x14ac:dyDescent="0.2">
      <c r="A2397" s="662" t="s">
        <v>376</v>
      </c>
      <c r="B2397" s="661"/>
      <c r="C2397" s="660"/>
      <c r="D2397" s="12"/>
    </row>
    <row r="2398" spans="1:4" hidden="1" x14ac:dyDescent="0.2">
      <c r="A2398" s="659" t="s">
        <v>655</v>
      </c>
      <c r="B2398" s="658" t="s">
        <v>13</v>
      </c>
      <c r="C2398" s="657">
        <v>29.04</v>
      </c>
      <c r="D2398" s="12"/>
    </row>
    <row r="2399" spans="1:4" hidden="1" x14ac:dyDescent="0.2">
      <c r="A2399" s="662" t="s">
        <v>605</v>
      </c>
      <c r="B2399" s="661"/>
      <c r="C2399" s="660"/>
      <c r="D2399" s="12"/>
    </row>
    <row r="2400" spans="1:4" hidden="1" x14ac:dyDescent="0.2">
      <c r="A2400" s="666" t="s">
        <v>604</v>
      </c>
      <c r="B2400" s="665" t="s">
        <v>13</v>
      </c>
      <c r="C2400" s="664">
        <v>85</v>
      </c>
      <c r="D2400" s="12"/>
    </row>
    <row r="2401" spans="1:4" hidden="1" x14ac:dyDescent="0.2">
      <c r="A2401" s="662" t="s">
        <v>561</v>
      </c>
      <c r="B2401" s="661"/>
      <c r="C2401" s="660"/>
      <c r="D2401" s="12"/>
    </row>
    <row r="2402" spans="1:4" hidden="1" x14ac:dyDescent="0.2">
      <c r="A2402" s="659" t="s">
        <v>580</v>
      </c>
      <c r="B2402" s="658" t="s">
        <v>3</v>
      </c>
      <c r="C2402" s="657">
        <v>172.6</v>
      </c>
      <c r="D2402" s="12"/>
    </row>
    <row r="2403" spans="1:4" hidden="1" x14ac:dyDescent="0.2">
      <c r="A2403" s="666" t="s">
        <v>560</v>
      </c>
      <c r="B2403" s="665" t="s">
        <v>13</v>
      </c>
      <c r="C2403" s="664">
        <v>196.67</v>
      </c>
      <c r="D2403" s="12"/>
    </row>
    <row r="2404" spans="1:4" hidden="1" x14ac:dyDescent="0.2">
      <c r="A2404" s="659" t="s">
        <v>559</v>
      </c>
      <c r="B2404" s="658" t="s">
        <v>3</v>
      </c>
      <c r="C2404" s="657">
        <v>98</v>
      </c>
      <c r="D2404" s="12"/>
    </row>
    <row r="2405" spans="1:4" hidden="1" x14ac:dyDescent="0.2">
      <c r="A2405" s="662" t="s">
        <v>212</v>
      </c>
      <c r="B2405" s="661"/>
      <c r="C2405" s="660"/>
      <c r="D2405" s="12"/>
    </row>
    <row r="2406" spans="1:4" hidden="1" x14ac:dyDescent="0.2">
      <c r="A2406" s="666" t="s">
        <v>579</v>
      </c>
      <c r="B2406" s="665" t="s">
        <v>13</v>
      </c>
      <c r="C2406" s="664">
        <v>43.76</v>
      </c>
      <c r="D2406" s="12"/>
    </row>
    <row r="2407" spans="1:4" hidden="1" x14ac:dyDescent="0.2">
      <c r="A2407" s="662" t="s">
        <v>557</v>
      </c>
      <c r="B2407" s="661"/>
      <c r="C2407" s="660"/>
      <c r="D2407" s="12"/>
    </row>
    <row r="2408" spans="1:4" hidden="1" x14ac:dyDescent="0.2">
      <c r="A2408" s="659" t="s">
        <v>654</v>
      </c>
      <c r="B2408" s="658" t="s">
        <v>13</v>
      </c>
      <c r="C2408" s="657">
        <v>12.1</v>
      </c>
      <c r="D2408" s="12"/>
    </row>
    <row r="2409" spans="1:4" hidden="1" x14ac:dyDescent="0.2">
      <c r="A2409" s="666" t="s">
        <v>653</v>
      </c>
      <c r="B2409" s="665" t="s">
        <v>13</v>
      </c>
      <c r="C2409" s="664">
        <v>6.98</v>
      </c>
      <c r="D2409" s="12"/>
    </row>
    <row r="2410" spans="1:4" hidden="1" x14ac:dyDescent="0.2">
      <c r="A2410" s="659" t="s">
        <v>603</v>
      </c>
      <c r="B2410" s="658" t="s">
        <v>13</v>
      </c>
      <c r="C2410" s="657">
        <v>3.31</v>
      </c>
      <c r="D2410" s="12"/>
    </row>
    <row r="2411" spans="1:4" hidden="1" x14ac:dyDescent="0.2">
      <c r="A2411" s="666" t="s">
        <v>602</v>
      </c>
      <c r="B2411" s="665" t="s">
        <v>13</v>
      </c>
      <c r="C2411" s="664">
        <v>6.44</v>
      </c>
      <c r="D2411" s="12"/>
    </row>
    <row r="2412" spans="1:4" hidden="1" x14ac:dyDescent="0.2">
      <c r="A2412" s="659" t="s">
        <v>652</v>
      </c>
      <c r="B2412" s="658" t="s">
        <v>13</v>
      </c>
      <c r="C2412" s="657">
        <v>36.83</v>
      </c>
      <c r="D2412" s="12"/>
    </row>
    <row r="2413" spans="1:4" hidden="1" x14ac:dyDescent="0.2">
      <c r="A2413" s="666" t="s">
        <v>651</v>
      </c>
      <c r="B2413" s="665" t="s">
        <v>13</v>
      </c>
      <c r="C2413" s="664">
        <v>17.95</v>
      </c>
      <c r="D2413" s="12"/>
    </row>
    <row r="2414" spans="1:4" hidden="1" x14ac:dyDescent="0.2">
      <c r="A2414" s="659" t="s">
        <v>650</v>
      </c>
      <c r="B2414" s="658" t="s">
        <v>13</v>
      </c>
      <c r="C2414" s="657">
        <v>22.97</v>
      </c>
      <c r="D2414" s="12"/>
    </row>
    <row r="2415" spans="1:4" hidden="1" x14ac:dyDescent="0.2">
      <c r="A2415" s="666" t="s">
        <v>649</v>
      </c>
      <c r="B2415" s="665" t="s">
        <v>13</v>
      </c>
      <c r="C2415" s="664">
        <v>5.43</v>
      </c>
      <c r="D2415" s="12"/>
    </row>
    <row r="2416" spans="1:4" hidden="1" x14ac:dyDescent="0.2">
      <c r="A2416" s="659" t="s">
        <v>648</v>
      </c>
      <c r="B2416" s="658" t="s">
        <v>13</v>
      </c>
      <c r="C2416" s="657">
        <v>10.6</v>
      </c>
      <c r="D2416" s="12"/>
    </row>
    <row r="2417" spans="1:4" hidden="1" x14ac:dyDescent="0.2">
      <c r="A2417" s="666" t="s">
        <v>647</v>
      </c>
      <c r="B2417" s="665" t="s">
        <v>13</v>
      </c>
      <c r="C2417" s="664">
        <v>6.95</v>
      </c>
      <c r="D2417" s="12"/>
    </row>
    <row r="2418" spans="1:4" hidden="1" x14ac:dyDescent="0.2">
      <c r="A2418" s="659" t="s">
        <v>646</v>
      </c>
      <c r="B2418" s="658" t="s">
        <v>13</v>
      </c>
      <c r="C2418" s="657">
        <v>9.51</v>
      </c>
      <c r="D2418" s="12"/>
    </row>
    <row r="2419" spans="1:4" hidden="1" x14ac:dyDescent="0.2">
      <c r="A2419" s="666" t="s">
        <v>645</v>
      </c>
      <c r="B2419" s="665" t="s">
        <v>13</v>
      </c>
      <c r="C2419" s="664">
        <v>2.99</v>
      </c>
      <c r="D2419" s="12"/>
    </row>
    <row r="2420" spans="1:4" hidden="1" x14ac:dyDescent="0.2">
      <c r="A2420" s="662" t="s">
        <v>220</v>
      </c>
      <c r="B2420" s="661"/>
      <c r="C2420" s="660"/>
      <c r="D2420" s="12"/>
    </row>
    <row r="2421" spans="1:4" hidden="1" x14ac:dyDescent="0.2">
      <c r="A2421" s="659" t="s">
        <v>599</v>
      </c>
      <c r="B2421" s="658" t="s">
        <v>13</v>
      </c>
      <c r="C2421" s="657">
        <v>197.77</v>
      </c>
      <c r="D2421" s="12"/>
    </row>
    <row r="2422" spans="1:4" hidden="1" x14ac:dyDescent="0.2">
      <c r="A2422" s="666" t="s">
        <v>644</v>
      </c>
      <c r="B2422" s="665" t="s">
        <v>13</v>
      </c>
      <c r="C2422" s="664">
        <v>7.88</v>
      </c>
      <c r="D2422" s="12"/>
    </row>
    <row r="2423" spans="1:4" ht="25.5" hidden="1" x14ac:dyDescent="0.2">
      <c r="A2423" s="659" t="s">
        <v>643</v>
      </c>
      <c r="B2423" s="658" t="s">
        <v>13</v>
      </c>
      <c r="C2423" s="657">
        <v>2.82</v>
      </c>
      <c r="D2423" s="12"/>
    </row>
    <row r="2424" spans="1:4" hidden="1" x14ac:dyDescent="0.2">
      <c r="A2424" s="662" t="s">
        <v>598</v>
      </c>
      <c r="B2424" s="661"/>
      <c r="C2424" s="660"/>
      <c r="D2424" s="12"/>
    </row>
    <row r="2425" spans="1:4" hidden="1" x14ac:dyDescent="0.2">
      <c r="A2425" s="666" t="s">
        <v>642</v>
      </c>
      <c r="B2425" s="665" t="s">
        <v>13</v>
      </c>
      <c r="C2425" s="664">
        <v>5.27</v>
      </c>
      <c r="D2425" s="12"/>
    </row>
    <row r="2426" spans="1:4" hidden="1" x14ac:dyDescent="0.2">
      <c r="A2426" s="662" t="s">
        <v>576</v>
      </c>
      <c r="B2426" s="661"/>
      <c r="C2426" s="660"/>
      <c r="D2426" s="12"/>
    </row>
    <row r="2427" spans="1:4" hidden="1" x14ac:dyDescent="0.2">
      <c r="A2427" s="659" t="s">
        <v>575</v>
      </c>
      <c r="B2427" s="658" t="s">
        <v>13</v>
      </c>
      <c r="C2427" s="657">
        <v>546.5</v>
      </c>
      <c r="D2427" s="12"/>
    </row>
    <row r="2428" spans="1:4" hidden="1" x14ac:dyDescent="0.2">
      <c r="A2428" s="666" t="s">
        <v>574</v>
      </c>
      <c r="B2428" s="665" t="s">
        <v>13</v>
      </c>
      <c r="C2428" s="664">
        <v>153.68</v>
      </c>
      <c r="D2428" s="12"/>
    </row>
    <row r="2429" spans="1:4" hidden="1" x14ac:dyDescent="0.2">
      <c r="A2429" s="662" t="s">
        <v>573</v>
      </c>
      <c r="B2429" s="661"/>
      <c r="C2429" s="660"/>
      <c r="D2429" s="12"/>
    </row>
    <row r="2430" spans="1:4" hidden="1" x14ac:dyDescent="0.2">
      <c r="A2430" s="659" t="s">
        <v>572</v>
      </c>
      <c r="B2430" s="658" t="s">
        <v>13</v>
      </c>
      <c r="C2430" s="657">
        <v>700.18</v>
      </c>
      <c r="D2430" s="12"/>
    </row>
    <row r="2431" spans="1:4" hidden="1" x14ac:dyDescent="0.2">
      <c r="A2431" s="662" t="s">
        <v>224</v>
      </c>
      <c r="B2431" s="661"/>
      <c r="C2431" s="660"/>
      <c r="D2431" s="12"/>
    </row>
    <row r="2432" spans="1:4" hidden="1" x14ac:dyDescent="0.2">
      <c r="A2432" s="666" t="s">
        <v>571</v>
      </c>
      <c r="B2432" s="665" t="s">
        <v>13</v>
      </c>
      <c r="C2432" s="664">
        <v>45.24</v>
      </c>
      <c r="D2432" s="12"/>
    </row>
    <row r="2433" spans="1:4" hidden="1" x14ac:dyDescent="0.2">
      <c r="A2433" s="662" t="s">
        <v>218</v>
      </c>
      <c r="B2433" s="661"/>
      <c r="C2433" s="660"/>
      <c r="D2433" s="12"/>
    </row>
    <row r="2434" spans="1:4" hidden="1" x14ac:dyDescent="0.2">
      <c r="A2434" s="659" t="s">
        <v>570</v>
      </c>
      <c r="B2434" s="658" t="s">
        <v>13</v>
      </c>
      <c r="C2434" s="657">
        <v>37.35</v>
      </c>
      <c r="D2434" s="12"/>
    </row>
    <row r="2435" spans="1:4" hidden="1" x14ac:dyDescent="0.2">
      <c r="A2435" s="662" t="s">
        <v>219</v>
      </c>
      <c r="B2435" s="661"/>
      <c r="C2435" s="660"/>
      <c r="D2435" s="12"/>
    </row>
    <row r="2436" spans="1:4" hidden="1" x14ac:dyDescent="0.2">
      <c r="A2436" s="666" t="s">
        <v>641</v>
      </c>
      <c r="B2436" s="665" t="s">
        <v>13</v>
      </c>
      <c r="C2436" s="664">
        <v>187.88</v>
      </c>
      <c r="D2436" s="12"/>
    </row>
    <row r="2437" spans="1:4" hidden="1" x14ac:dyDescent="0.2">
      <c r="A2437" s="662" t="s">
        <v>222</v>
      </c>
      <c r="B2437" s="661"/>
      <c r="C2437" s="660"/>
      <c r="D2437" s="12"/>
    </row>
    <row r="2438" spans="1:4" hidden="1" x14ac:dyDescent="0.2">
      <c r="A2438" s="659" t="s">
        <v>640</v>
      </c>
      <c r="B2438" s="658" t="s">
        <v>13</v>
      </c>
      <c r="C2438" s="657">
        <v>93.11</v>
      </c>
      <c r="D2438" s="12"/>
    </row>
    <row r="2439" spans="1:4" hidden="1" x14ac:dyDescent="0.2">
      <c r="A2439" s="666" t="s">
        <v>639</v>
      </c>
      <c r="B2439" s="665" t="s">
        <v>13</v>
      </c>
      <c r="C2439" s="664">
        <v>23.38</v>
      </c>
      <c r="D2439" s="12"/>
    </row>
    <row r="2440" spans="1:4" hidden="1" x14ac:dyDescent="0.2">
      <c r="A2440" s="659" t="s">
        <v>638</v>
      </c>
      <c r="B2440" s="658" t="s">
        <v>13</v>
      </c>
      <c r="C2440" s="657">
        <v>8.48</v>
      </c>
      <c r="D2440" s="12"/>
    </row>
    <row r="2441" spans="1:4" hidden="1" x14ac:dyDescent="0.2">
      <c r="A2441" s="662" t="s">
        <v>637</v>
      </c>
      <c r="B2441" s="661"/>
      <c r="C2441" s="660"/>
      <c r="D2441" s="12"/>
    </row>
    <row r="2442" spans="1:4" hidden="1" x14ac:dyDescent="0.2">
      <c r="A2442" s="666" t="s">
        <v>636</v>
      </c>
      <c r="B2442" s="665" t="s">
        <v>13</v>
      </c>
      <c r="C2442" s="664">
        <v>63.69</v>
      </c>
      <c r="D2442" s="12"/>
    </row>
    <row r="2443" spans="1:4" hidden="1" x14ac:dyDescent="0.2">
      <c r="A2443" s="662" t="s">
        <v>635</v>
      </c>
      <c r="B2443" s="661"/>
      <c r="C2443" s="660"/>
      <c r="D2443" s="12"/>
    </row>
    <row r="2444" spans="1:4" hidden="1" x14ac:dyDescent="0.2">
      <c r="A2444" s="659" t="s">
        <v>634</v>
      </c>
      <c r="B2444" s="658" t="s">
        <v>3</v>
      </c>
      <c r="C2444" s="657">
        <v>158.85</v>
      </c>
      <c r="D2444" s="12"/>
    </row>
    <row r="2445" spans="1:4" hidden="1" x14ac:dyDescent="0.2">
      <c r="A2445" s="662" t="s">
        <v>346</v>
      </c>
      <c r="B2445" s="661"/>
      <c r="C2445" s="660"/>
      <c r="D2445" s="12"/>
    </row>
    <row r="2446" spans="1:4" hidden="1" x14ac:dyDescent="0.2">
      <c r="A2446" s="666" t="s">
        <v>633</v>
      </c>
      <c r="B2446" s="665" t="s">
        <v>13</v>
      </c>
      <c r="C2446" s="664">
        <v>0.85</v>
      </c>
      <c r="D2446" s="12"/>
    </row>
    <row r="2447" spans="1:4" hidden="1" x14ac:dyDescent="0.2">
      <c r="A2447" s="662" t="s">
        <v>217</v>
      </c>
      <c r="B2447" s="661"/>
      <c r="C2447" s="660"/>
      <c r="D2447" s="12"/>
    </row>
    <row r="2448" spans="1:4" hidden="1" x14ac:dyDescent="0.2">
      <c r="A2448" s="659" t="s">
        <v>632</v>
      </c>
      <c r="B2448" s="658" t="s">
        <v>13</v>
      </c>
      <c r="C2448" s="657">
        <v>3.2</v>
      </c>
      <c r="D2448" s="12"/>
    </row>
    <row r="2449" spans="1:4" hidden="1" x14ac:dyDescent="0.2">
      <c r="A2449" s="662" t="s">
        <v>215</v>
      </c>
      <c r="B2449" s="661"/>
      <c r="C2449" s="660"/>
      <c r="D2449" s="12"/>
    </row>
    <row r="2450" spans="1:4" hidden="1" x14ac:dyDescent="0.2">
      <c r="A2450" s="666" t="s">
        <v>631</v>
      </c>
      <c r="B2450" s="665" t="s">
        <v>13</v>
      </c>
      <c r="C2450" s="664">
        <v>58.23</v>
      </c>
      <c r="D2450" s="12"/>
    </row>
    <row r="2451" spans="1:4" hidden="1" x14ac:dyDescent="0.2">
      <c r="A2451" s="659" t="s">
        <v>630</v>
      </c>
      <c r="B2451" s="658" t="s">
        <v>13</v>
      </c>
      <c r="C2451" s="657">
        <v>108</v>
      </c>
      <c r="D2451" s="12"/>
    </row>
    <row r="2452" spans="1:4" hidden="1" x14ac:dyDescent="0.2">
      <c r="A2452" s="662" t="s">
        <v>231</v>
      </c>
      <c r="B2452" s="661"/>
      <c r="C2452" s="660"/>
      <c r="D2452" s="12"/>
    </row>
    <row r="2453" spans="1:4" hidden="1" x14ac:dyDescent="0.2">
      <c r="A2453" s="666" t="s">
        <v>595</v>
      </c>
      <c r="B2453" s="665" t="s">
        <v>13</v>
      </c>
      <c r="C2453" s="664">
        <v>6.72</v>
      </c>
      <c r="D2453" s="12"/>
    </row>
    <row r="2454" spans="1:4" hidden="1" x14ac:dyDescent="0.2">
      <c r="A2454" s="659" t="s">
        <v>629</v>
      </c>
      <c r="B2454" s="658" t="s">
        <v>13</v>
      </c>
      <c r="C2454" s="657">
        <v>7.88</v>
      </c>
      <c r="D2454" s="12"/>
    </row>
    <row r="2455" spans="1:4" hidden="1" x14ac:dyDescent="0.2">
      <c r="A2455" s="666" t="s">
        <v>594</v>
      </c>
      <c r="B2455" s="665" t="s">
        <v>13</v>
      </c>
      <c r="C2455" s="664">
        <v>17.21</v>
      </c>
      <c r="D2455" s="12"/>
    </row>
    <row r="2456" spans="1:4" hidden="1" x14ac:dyDescent="0.2">
      <c r="A2456" s="662" t="s">
        <v>569</v>
      </c>
      <c r="B2456" s="661"/>
      <c r="C2456" s="660"/>
      <c r="D2456" s="12"/>
    </row>
    <row r="2457" spans="1:4" hidden="1" x14ac:dyDescent="0.2">
      <c r="A2457" s="659" t="s">
        <v>628</v>
      </c>
      <c r="B2457" s="658" t="s">
        <v>13</v>
      </c>
      <c r="C2457" s="657">
        <v>31.33</v>
      </c>
      <c r="D2457" s="12"/>
    </row>
    <row r="2458" spans="1:4" hidden="1" x14ac:dyDescent="0.2">
      <c r="A2458" s="666" t="s">
        <v>627</v>
      </c>
      <c r="B2458" s="665" t="s">
        <v>13</v>
      </c>
      <c r="C2458" s="664">
        <v>420.78</v>
      </c>
      <c r="D2458" s="12"/>
    </row>
    <row r="2459" spans="1:4" hidden="1" x14ac:dyDescent="0.2">
      <c r="A2459" s="659" t="s">
        <v>626</v>
      </c>
      <c r="B2459" s="658" t="s">
        <v>13</v>
      </c>
      <c r="C2459" s="657">
        <v>2.93</v>
      </c>
      <c r="D2459" s="12"/>
    </row>
    <row r="2460" spans="1:4" hidden="1" x14ac:dyDescent="0.2">
      <c r="A2460" s="666" t="s">
        <v>592</v>
      </c>
      <c r="B2460" s="665" t="s">
        <v>13</v>
      </c>
      <c r="C2460" s="664">
        <v>78.91</v>
      </c>
      <c r="D2460" s="12"/>
    </row>
    <row r="2461" spans="1:4" hidden="1" x14ac:dyDescent="0.2">
      <c r="A2461" s="662" t="s">
        <v>567</v>
      </c>
      <c r="B2461" s="661"/>
      <c r="C2461" s="660"/>
      <c r="D2461" s="12"/>
    </row>
    <row r="2462" spans="1:4" hidden="1" x14ac:dyDescent="0.2">
      <c r="A2462" s="659" t="s">
        <v>566</v>
      </c>
      <c r="B2462" s="658" t="s">
        <v>13</v>
      </c>
      <c r="C2462" s="657">
        <v>225.23</v>
      </c>
      <c r="D2462" s="12"/>
    </row>
    <row r="2463" spans="1:4" hidden="1" x14ac:dyDescent="0.2">
      <c r="A2463" s="662" t="s">
        <v>235</v>
      </c>
      <c r="B2463" s="661"/>
      <c r="C2463" s="660"/>
      <c r="D2463" s="12"/>
    </row>
    <row r="2464" spans="1:4" hidden="1" x14ac:dyDescent="0.2">
      <c r="A2464" s="666" t="s">
        <v>554</v>
      </c>
      <c r="B2464" s="665" t="s">
        <v>3</v>
      </c>
      <c r="C2464" s="664">
        <v>108.4</v>
      </c>
      <c r="D2464" s="12"/>
    </row>
    <row r="2465" spans="1:4" hidden="1" x14ac:dyDescent="0.2">
      <c r="A2465" s="662" t="s">
        <v>236</v>
      </c>
      <c r="B2465" s="661"/>
      <c r="C2465" s="660"/>
      <c r="D2465" s="12"/>
    </row>
    <row r="2466" spans="1:4" hidden="1" x14ac:dyDescent="0.2">
      <c r="A2466" s="659" t="s">
        <v>591</v>
      </c>
      <c r="B2466" s="658" t="s">
        <v>13</v>
      </c>
      <c r="C2466" s="657">
        <v>1.04</v>
      </c>
      <c r="D2466" s="12"/>
    </row>
    <row r="2467" spans="1:4" hidden="1" x14ac:dyDescent="0.2">
      <c r="A2467" s="666" t="s">
        <v>590</v>
      </c>
      <c r="B2467" s="665" t="s">
        <v>13</v>
      </c>
      <c r="C2467" s="664">
        <v>1.04</v>
      </c>
      <c r="D2467" s="12"/>
    </row>
    <row r="2468" spans="1:4" hidden="1" x14ac:dyDescent="0.2">
      <c r="A2468" s="659" t="s">
        <v>625</v>
      </c>
      <c r="B2468" s="658" t="s">
        <v>13</v>
      </c>
      <c r="C2468" s="657">
        <v>2.25</v>
      </c>
      <c r="D2468" s="12"/>
    </row>
    <row r="2469" spans="1:4" hidden="1" x14ac:dyDescent="0.2">
      <c r="A2469" s="666" t="s">
        <v>624</v>
      </c>
      <c r="B2469" s="665" t="s">
        <v>13</v>
      </c>
      <c r="C2469" s="664">
        <v>8.86</v>
      </c>
      <c r="D2469" s="12"/>
    </row>
    <row r="2470" spans="1:4" hidden="1" x14ac:dyDescent="0.2">
      <c r="A2470" s="659" t="s">
        <v>623</v>
      </c>
      <c r="B2470" s="658" t="s">
        <v>3</v>
      </c>
      <c r="C2470" s="657">
        <v>2.5</v>
      </c>
      <c r="D2470" s="12"/>
    </row>
    <row r="2471" spans="1:4" hidden="1" x14ac:dyDescent="0.2">
      <c r="A2471" s="666" t="s">
        <v>622</v>
      </c>
      <c r="B2471" s="665" t="s">
        <v>3</v>
      </c>
      <c r="C2471" s="664">
        <v>7.4</v>
      </c>
      <c r="D2471" s="12"/>
    </row>
    <row r="2472" spans="1:4" hidden="1" x14ac:dyDescent="0.2">
      <c r="A2472" s="659" t="s">
        <v>621</v>
      </c>
      <c r="B2472" s="658" t="s">
        <v>13</v>
      </c>
      <c r="C2472" s="657">
        <v>0.36</v>
      </c>
      <c r="D2472" s="12"/>
    </row>
    <row r="2473" spans="1:4" hidden="1" x14ac:dyDescent="0.2">
      <c r="A2473" s="666" t="s">
        <v>620</v>
      </c>
      <c r="B2473" s="665" t="s">
        <v>13</v>
      </c>
      <c r="C2473" s="664">
        <v>1.18</v>
      </c>
      <c r="D2473" s="12"/>
    </row>
    <row r="2474" spans="1:4" hidden="1" x14ac:dyDescent="0.2">
      <c r="A2474" s="659" t="s">
        <v>619</v>
      </c>
      <c r="B2474" s="658" t="s">
        <v>13</v>
      </c>
      <c r="C2474" s="657">
        <v>4.03</v>
      </c>
      <c r="D2474" s="12"/>
    </row>
    <row r="2475" spans="1:4" hidden="1" x14ac:dyDescent="0.2">
      <c r="A2475" s="666" t="s">
        <v>618</v>
      </c>
      <c r="B2475" s="665" t="s">
        <v>13</v>
      </c>
      <c r="C2475" s="664">
        <v>11.09</v>
      </c>
      <c r="D2475" s="12"/>
    </row>
    <row r="2476" spans="1:4" hidden="1" x14ac:dyDescent="0.2">
      <c r="A2476" s="659" t="s">
        <v>617</v>
      </c>
      <c r="B2476" s="658" t="s">
        <v>13</v>
      </c>
      <c r="C2476" s="657">
        <v>0.05</v>
      </c>
      <c r="D2476" s="12"/>
    </row>
    <row r="2477" spans="1:4" hidden="1" x14ac:dyDescent="0.2">
      <c r="A2477" s="666" t="s">
        <v>616</v>
      </c>
      <c r="B2477" s="665" t="s">
        <v>13</v>
      </c>
      <c r="C2477" s="664">
        <v>0.89</v>
      </c>
      <c r="D2477" s="12"/>
    </row>
    <row r="2478" spans="1:4" hidden="1" x14ac:dyDescent="0.2">
      <c r="A2478" s="659" t="s">
        <v>615</v>
      </c>
      <c r="B2478" s="658" t="s">
        <v>13</v>
      </c>
      <c r="C2478" s="657">
        <v>0.02</v>
      </c>
      <c r="D2478" s="12"/>
    </row>
    <row r="2479" spans="1:4" hidden="1" x14ac:dyDescent="0.2">
      <c r="A2479" s="666" t="s">
        <v>614</v>
      </c>
      <c r="B2479" s="665" t="s">
        <v>13</v>
      </c>
      <c r="C2479" s="664">
        <v>0.38</v>
      </c>
      <c r="D2479" s="12"/>
    </row>
    <row r="2480" spans="1:4" hidden="1" x14ac:dyDescent="0.2">
      <c r="A2480" s="662" t="s">
        <v>240</v>
      </c>
      <c r="B2480" s="661"/>
      <c r="C2480" s="660"/>
      <c r="D2480" s="12"/>
    </row>
    <row r="2481" spans="1:4" hidden="1" x14ac:dyDescent="0.2">
      <c r="A2481" s="659" t="s">
        <v>613</v>
      </c>
      <c r="B2481" s="658" t="s">
        <v>3</v>
      </c>
      <c r="C2481" s="657">
        <v>14.53</v>
      </c>
      <c r="D2481" s="12"/>
    </row>
    <row r="2482" spans="1:4" hidden="1" x14ac:dyDescent="0.2">
      <c r="A2482" s="666" t="s">
        <v>612</v>
      </c>
      <c r="B2482" s="665" t="s">
        <v>2</v>
      </c>
      <c r="C2482" s="664">
        <v>8</v>
      </c>
      <c r="D2482" s="12"/>
    </row>
    <row r="2483" spans="1:4" hidden="1" x14ac:dyDescent="0.2">
      <c r="A2483" s="659" t="s">
        <v>611</v>
      </c>
      <c r="B2483" s="658" t="s">
        <v>2</v>
      </c>
      <c r="C2483" s="657">
        <v>6</v>
      </c>
      <c r="D2483" s="12"/>
    </row>
    <row r="2484" spans="1:4" hidden="1" x14ac:dyDescent="0.2">
      <c r="A2484" s="666" t="s">
        <v>610</v>
      </c>
      <c r="B2484" s="665" t="s">
        <v>2</v>
      </c>
      <c r="C2484" s="664">
        <v>3</v>
      </c>
      <c r="D2484" s="12"/>
    </row>
    <row r="2485" spans="1:4" hidden="1" x14ac:dyDescent="0.2">
      <c r="A2485" s="662" t="s">
        <v>244</v>
      </c>
      <c r="B2485" s="661"/>
      <c r="C2485" s="660"/>
      <c r="D2485" s="12"/>
    </row>
    <row r="2486" spans="1:4" hidden="1" x14ac:dyDescent="0.2">
      <c r="A2486" s="659" t="s">
        <v>586</v>
      </c>
      <c r="B2486" s="658" t="s">
        <v>2</v>
      </c>
      <c r="C2486" s="657">
        <v>1</v>
      </c>
      <c r="D2486" s="12"/>
    </row>
    <row r="2487" spans="1:4" hidden="1" x14ac:dyDescent="0.2">
      <c r="A2487" s="666" t="s">
        <v>585</v>
      </c>
      <c r="B2487" s="665" t="s">
        <v>2</v>
      </c>
      <c r="C2487" s="664">
        <v>1</v>
      </c>
      <c r="D2487" s="12"/>
    </row>
    <row r="2488" spans="1:4" hidden="1" x14ac:dyDescent="0.2">
      <c r="A2488" s="659" t="s">
        <v>609</v>
      </c>
      <c r="B2488" s="658" t="s">
        <v>2</v>
      </c>
      <c r="C2488" s="657">
        <v>2</v>
      </c>
      <c r="D2488" s="12"/>
    </row>
    <row r="2489" spans="1:4" hidden="1" x14ac:dyDescent="0.2">
      <c r="A2489" s="662" t="s">
        <v>552</v>
      </c>
      <c r="B2489" s="661"/>
      <c r="C2489" s="660"/>
      <c r="D2489" s="12"/>
    </row>
    <row r="2490" spans="1:4" hidden="1" x14ac:dyDescent="0.2">
      <c r="A2490" s="666" t="s">
        <v>551</v>
      </c>
      <c r="B2490" s="665" t="s">
        <v>13</v>
      </c>
      <c r="C2490" s="664">
        <v>87.85</v>
      </c>
      <c r="D2490" s="12"/>
    </row>
    <row r="2491" spans="1:4" hidden="1" x14ac:dyDescent="0.2">
      <c r="A2491" s="659" t="s">
        <v>565</v>
      </c>
      <c r="B2491" s="658" t="s">
        <v>13</v>
      </c>
      <c r="C2491" s="657">
        <v>82.74</v>
      </c>
      <c r="D2491" s="12"/>
    </row>
    <row r="2492" spans="1:4" hidden="1" x14ac:dyDescent="0.2">
      <c r="A2492" s="662" t="s">
        <v>550</v>
      </c>
      <c r="B2492" s="661"/>
      <c r="C2492" s="660"/>
      <c r="D2492" s="12"/>
    </row>
    <row r="2493" spans="1:4" hidden="1" x14ac:dyDescent="0.2">
      <c r="A2493" s="666" t="s">
        <v>549</v>
      </c>
      <c r="B2493" s="665" t="s">
        <v>13</v>
      </c>
      <c r="C2493" s="664">
        <v>170.59</v>
      </c>
      <c r="D2493" s="12"/>
    </row>
    <row r="2494" spans="1:4" hidden="1" x14ac:dyDescent="0.2">
      <c r="A2494" s="662" t="s">
        <v>273</v>
      </c>
      <c r="B2494" s="661"/>
      <c r="C2494" s="660"/>
      <c r="D2494" s="12"/>
    </row>
    <row r="2495" spans="1:4" hidden="1" x14ac:dyDescent="0.2">
      <c r="A2495" s="659" t="s">
        <v>564</v>
      </c>
      <c r="B2495" s="658" t="s">
        <v>13</v>
      </c>
      <c r="C2495" s="657">
        <v>77.59</v>
      </c>
      <c r="D2495" s="12"/>
    </row>
    <row r="2496" spans="1:4" hidden="1" x14ac:dyDescent="0.2">
      <c r="A2496" s="666" t="s">
        <v>608</v>
      </c>
      <c r="B2496" s="665" t="s">
        <v>13</v>
      </c>
      <c r="C2496" s="664">
        <v>6.04</v>
      </c>
      <c r="D2496" s="12"/>
    </row>
    <row r="2497" spans="1:4" hidden="1" x14ac:dyDescent="0.2">
      <c r="A2497" s="659" t="s">
        <v>607</v>
      </c>
      <c r="B2497" s="658" t="s">
        <v>13</v>
      </c>
      <c r="C2497" s="657">
        <v>5.14</v>
      </c>
      <c r="D2497" s="12"/>
    </row>
    <row r="2498" spans="1:4" hidden="1" x14ac:dyDescent="0.2">
      <c r="A2498" s="666" t="s">
        <v>548</v>
      </c>
      <c r="B2498" s="665" t="s">
        <v>13</v>
      </c>
      <c r="C2498" s="664">
        <v>81.819999999999993</v>
      </c>
      <c r="D2498" s="12"/>
    </row>
    <row r="2499" spans="1:4" hidden="1" x14ac:dyDescent="0.2">
      <c r="A2499" s="669" t="s">
        <v>657</v>
      </c>
      <c r="B2499" s="668"/>
      <c r="C2499" s="667"/>
      <c r="D2499" s="12"/>
    </row>
    <row r="2500" spans="1:4" hidden="1" x14ac:dyDescent="0.2">
      <c r="A2500" s="662" t="s">
        <v>208</v>
      </c>
      <c r="B2500" s="661"/>
      <c r="C2500" s="660"/>
      <c r="D2500" s="12"/>
    </row>
    <row r="2501" spans="1:4" hidden="1" x14ac:dyDescent="0.2">
      <c r="A2501" s="659" t="s">
        <v>656</v>
      </c>
      <c r="B2501" s="658" t="s">
        <v>13</v>
      </c>
      <c r="C2501" s="657">
        <v>2.63</v>
      </c>
      <c r="D2501" s="12"/>
    </row>
    <row r="2502" spans="1:4" hidden="1" x14ac:dyDescent="0.2">
      <c r="A2502" s="666" t="s">
        <v>562</v>
      </c>
      <c r="B2502" s="665" t="s">
        <v>13</v>
      </c>
      <c r="C2502" s="664">
        <v>195.56</v>
      </c>
      <c r="D2502" s="12"/>
    </row>
    <row r="2503" spans="1:4" hidden="1" x14ac:dyDescent="0.2">
      <c r="A2503" s="659" t="s">
        <v>581</v>
      </c>
      <c r="B2503" s="658" t="s">
        <v>13</v>
      </c>
      <c r="C2503" s="657">
        <v>81.11</v>
      </c>
      <c r="D2503" s="12"/>
    </row>
    <row r="2504" spans="1:4" hidden="1" x14ac:dyDescent="0.2">
      <c r="A2504" s="662" t="s">
        <v>376</v>
      </c>
      <c r="B2504" s="661"/>
      <c r="C2504" s="660"/>
      <c r="D2504" s="12"/>
    </row>
    <row r="2505" spans="1:4" hidden="1" x14ac:dyDescent="0.2">
      <c r="A2505" s="666" t="s">
        <v>655</v>
      </c>
      <c r="B2505" s="665" t="s">
        <v>13</v>
      </c>
      <c r="C2505" s="664">
        <v>29.04</v>
      </c>
      <c r="D2505" s="12"/>
    </row>
    <row r="2506" spans="1:4" hidden="1" x14ac:dyDescent="0.2">
      <c r="A2506" s="662" t="s">
        <v>605</v>
      </c>
      <c r="B2506" s="661"/>
      <c r="C2506" s="660"/>
      <c r="D2506" s="12"/>
    </row>
    <row r="2507" spans="1:4" hidden="1" x14ac:dyDescent="0.2">
      <c r="A2507" s="659" t="s">
        <v>604</v>
      </c>
      <c r="B2507" s="658" t="s">
        <v>13</v>
      </c>
      <c r="C2507" s="657">
        <v>85</v>
      </c>
      <c r="D2507" s="12"/>
    </row>
    <row r="2508" spans="1:4" hidden="1" x14ac:dyDescent="0.2">
      <c r="A2508" s="662" t="s">
        <v>561</v>
      </c>
      <c r="B2508" s="661"/>
      <c r="C2508" s="660"/>
      <c r="D2508" s="12"/>
    </row>
    <row r="2509" spans="1:4" hidden="1" x14ac:dyDescent="0.2">
      <c r="A2509" s="666" t="s">
        <v>580</v>
      </c>
      <c r="B2509" s="665" t="s">
        <v>3</v>
      </c>
      <c r="C2509" s="664">
        <v>172.6</v>
      </c>
      <c r="D2509" s="12"/>
    </row>
    <row r="2510" spans="1:4" hidden="1" x14ac:dyDescent="0.2">
      <c r="A2510" s="659" t="s">
        <v>560</v>
      </c>
      <c r="B2510" s="658" t="s">
        <v>13</v>
      </c>
      <c r="C2510" s="657">
        <v>196.67</v>
      </c>
      <c r="D2510" s="12"/>
    </row>
    <row r="2511" spans="1:4" hidden="1" x14ac:dyDescent="0.2">
      <c r="A2511" s="666" t="s">
        <v>559</v>
      </c>
      <c r="B2511" s="665" t="s">
        <v>3</v>
      </c>
      <c r="C2511" s="664">
        <v>98</v>
      </c>
      <c r="D2511" s="12"/>
    </row>
    <row r="2512" spans="1:4" hidden="1" x14ac:dyDescent="0.2">
      <c r="A2512" s="662" t="s">
        <v>212</v>
      </c>
      <c r="B2512" s="661"/>
      <c r="C2512" s="660"/>
      <c r="D2512" s="12"/>
    </row>
    <row r="2513" spans="1:4" hidden="1" x14ac:dyDescent="0.2">
      <c r="A2513" s="659" t="s">
        <v>579</v>
      </c>
      <c r="B2513" s="658" t="s">
        <v>13</v>
      </c>
      <c r="C2513" s="657">
        <v>43.76</v>
      </c>
      <c r="D2513" s="12"/>
    </row>
    <row r="2514" spans="1:4" hidden="1" x14ac:dyDescent="0.2">
      <c r="A2514" s="662" t="s">
        <v>557</v>
      </c>
      <c r="B2514" s="661"/>
      <c r="C2514" s="660"/>
      <c r="D2514" s="12"/>
    </row>
    <row r="2515" spans="1:4" hidden="1" x14ac:dyDescent="0.2">
      <c r="A2515" s="666" t="s">
        <v>654</v>
      </c>
      <c r="B2515" s="665" t="s">
        <v>13</v>
      </c>
      <c r="C2515" s="664">
        <v>12.1</v>
      </c>
      <c r="D2515" s="12"/>
    </row>
    <row r="2516" spans="1:4" hidden="1" x14ac:dyDescent="0.2">
      <c r="A2516" s="659" t="s">
        <v>653</v>
      </c>
      <c r="B2516" s="658" t="s">
        <v>13</v>
      </c>
      <c r="C2516" s="657">
        <v>6.98</v>
      </c>
      <c r="D2516" s="12"/>
    </row>
    <row r="2517" spans="1:4" hidden="1" x14ac:dyDescent="0.2">
      <c r="A2517" s="666" t="s">
        <v>603</v>
      </c>
      <c r="B2517" s="665" t="s">
        <v>13</v>
      </c>
      <c r="C2517" s="664">
        <v>3.31</v>
      </c>
      <c r="D2517" s="12"/>
    </row>
    <row r="2518" spans="1:4" hidden="1" x14ac:dyDescent="0.2">
      <c r="A2518" s="659" t="s">
        <v>602</v>
      </c>
      <c r="B2518" s="658" t="s">
        <v>13</v>
      </c>
      <c r="C2518" s="657">
        <v>6.44</v>
      </c>
      <c r="D2518" s="12"/>
    </row>
    <row r="2519" spans="1:4" hidden="1" x14ac:dyDescent="0.2">
      <c r="A2519" s="666" t="s">
        <v>652</v>
      </c>
      <c r="B2519" s="665" t="s">
        <v>13</v>
      </c>
      <c r="C2519" s="664">
        <v>36.83</v>
      </c>
      <c r="D2519" s="12"/>
    </row>
    <row r="2520" spans="1:4" hidden="1" x14ac:dyDescent="0.2">
      <c r="A2520" s="659" t="s">
        <v>651</v>
      </c>
      <c r="B2520" s="658" t="s">
        <v>13</v>
      </c>
      <c r="C2520" s="657">
        <v>17.95</v>
      </c>
      <c r="D2520" s="12"/>
    </row>
    <row r="2521" spans="1:4" hidden="1" x14ac:dyDescent="0.2">
      <c r="A2521" s="666" t="s">
        <v>650</v>
      </c>
      <c r="B2521" s="665" t="s">
        <v>13</v>
      </c>
      <c r="C2521" s="664">
        <v>22.97</v>
      </c>
      <c r="D2521" s="12"/>
    </row>
    <row r="2522" spans="1:4" hidden="1" x14ac:dyDescent="0.2">
      <c r="A2522" s="659" t="s">
        <v>649</v>
      </c>
      <c r="B2522" s="658" t="s">
        <v>13</v>
      </c>
      <c r="C2522" s="657">
        <v>5.43</v>
      </c>
      <c r="D2522" s="12"/>
    </row>
    <row r="2523" spans="1:4" hidden="1" x14ac:dyDescent="0.2">
      <c r="A2523" s="666" t="s">
        <v>648</v>
      </c>
      <c r="B2523" s="665" t="s">
        <v>13</v>
      </c>
      <c r="C2523" s="664">
        <v>10.6</v>
      </c>
      <c r="D2523" s="12"/>
    </row>
    <row r="2524" spans="1:4" hidden="1" x14ac:dyDescent="0.2">
      <c r="A2524" s="659" t="s">
        <v>647</v>
      </c>
      <c r="B2524" s="658" t="s">
        <v>13</v>
      </c>
      <c r="C2524" s="657">
        <v>6.95</v>
      </c>
      <c r="D2524" s="12"/>
    </row>
    <row r="2525" spans="1:4" hidden="1" x14ac:dyDescent="0.2">
      <c r="A2525" s="666" t="s">
        <v>646</v>
      </c>
      <c r="B2525" s="665" t="s">
        <v>13</v>
      </c>
      <c r="C2525" s="664">
        <v>9.51</v>
      </c>
      <c r="D2525" s="12"/>
    </row>
    <row r="2526" spans="1:4" hidden="1" x14ac:dyDescent="0.2">
      <c r="A2526" s="659" t="s">
        <v>645</v>
      </c>
      <c r="B2526" s="658" t="s">
        <v>13</v>
      </c>
      <c r="C2526" s="657">
        <v>2.99</v>
      </c>
      <c r="D2526" s="12"/>
    </row>
    <row r="2527" spans="1:4" hidden="1" x14ac:dyDescent="0.2">
      <c r="A2527" s="662" t="s">
        <v>220</v>
      </c>
      <c r="B2527" s="661"/>
      <c r="C2527" s="660"/>
      <c r="D2527" s="12"/>
    </row>
    <row r="2528" spans="1:4" hidden="1" x14ac:dyDescent="0.2">
      <c r="A2528" s="666" t="s">
        <v>599</v>
      </c>
      <c r="B2528" s="665" t="s">
        <v>13</v>
      </c>
      <c r="C2528" s="664">
        <v>197.77</v>
      </c>
      <c r="D2528" s="12"/>
    </row>
    <row r="2529" spans="1:4" hidden="1" x14ac:dyDescent="0.2">
      <c r="A2529" s="659" t="s">
        <v>644</v>
      </c>
      <c r="B2529" s="658" t="s">
        <v>13</v>
      </c>
      <c r="C2529" s="657">
        <v>7.88</v>
      </c>
      <c r="D2529" s="12"/>
    </row>
    <row r="2530" spans="1:4" ht="25.5" hidden="1" x14ac:dyDescent="0.2">
      <c r="A2530" s="666" t="s">
        <v>643</v>
      </c>
      <c r="B2530" s="665" t="s">
        <v>13</v>
      </c>
      <c r="C2530" s="664">
        <v>2.82</v>
      </c>
      <c r="D2530" s="12"/>
    </row>
    <row r="2531" spans="1:4" hidden="1" x14ac:dyDescent="0.2">
      <c r="A2531" s="662" t="s">
        <v>598</v>
      </c>
      <c r="B2531" s="661"/>
      <c r="C2531" s="660"/>
      <c r="D2531" s="12"/>
    </row>
    <row r="2532" spans="1:4" hidden="1" x14ac:dyDescent="0.2">
      <c r="A2532" s="659" t="s">
        <v>642</v>
      </c>
      <c r="B2532" s="658" t="s">
        <v>13</v>
      </c>
      <c r="C2532" s="657">
        <v>5.27</v>
      </c>
      <c r="D2532" s="12"/>
    </row>
    <row r="2533" spans="1:4" hidden="1" x14ac:dyDescent="0.2">
      <c r="A2533" s="662" t="s">
        <v>576</v>
      </c>
      <c r="B2533" s="661"/>
      <c r="C2533" s="660"/>
      <c r="D2533" s="12"/>
    </row>
    <row r="2534" spans="1:4" hidden="1" x14ac:dyDescent="0.2">
      <c r="A2534" s="666" t="s">
        <v>575</v>
      </c>
      <c r="B2534" s="665" t="s">
        <v>13</v>
      </c>
      <c r="C2534" s="664">
        <v>546.5</v>
      </c>
      <c r="D2534" s="12"/>
    </row>
    <row r="2535" spans="1:4" hidden="1" x14ac:dyDescent="0.2">
      <c r="A2535" s="659" t="s">
        <v>574</v>
      </c>
      <c r="B2535" s="658" t="s">
        <v>13</v>
      </c>
      <c r="C2535" s="657">
        <v>153.68</v>
      </c>
      <c r="D2535" s="12"/>
    </row>
    <row r="2536" spans="1:4" hidden="1" x14ac:dyDescent="0.2">
      <c r="A2536" s="662" t="s">
        <v>573</v>
      </c>
      <c r="B2536" s="661"/>
      <c r="C2536" s="660"/>
      <c r="D2536" s="12"/>
    </row>
    <row r="2537" spans="1:4" hidden="1" x14ac:dyDescent="0.2">
      <c r="A2537" s="666" t="s">
        <v>572</v>
      </c>
      <c r="B2537" s="665" t="s">
        <v>13</v>
      </c>
      <c r="C2537" s="664">
        <v>700.18</v>
      </c>
      <c r="D2537" s="12"/>
    </row>
    <row r="2538" spans="1:4" hidden="1" x14ac:dyDescent="0.2">
      <c r="A2538" s="662" t="s">
        <v>224</v>
      </c>
      <c r="B2538" s="661"/>
      <c r="C2538" s="660"/>
      <c r="D2538" s="12"/>
    </row>
    <row r="2539" spans="1:4" hidden="1" x14ac:dyDescent="0.2">
      <c r="A2539" s="659" t="s">
        <v>571</v>
      </c>
      <c r="B2539" s="658" t="s">
        <v>13</v>
      </c>
      <c r="C2539" s="657">
        <v>45.24</v>
      </c>
      <c r="D2539" s="12"/>
    </row>
    <row r="2540" spans="1:4" hidden="1" x14ac:dyDescent="0.2">
      <c r="A2540" s="662" t="s">
        <v>218</v>
      </c>
      <c r="B2540" s="661"/>
      <c r="C2540" s="660"/>
      <c r="D2540" s="12"/>
    </row>
    <row r="2541" spans="1:4" hidden="1" x14ac:dyDescent="0.2">
      <c r="A2541" s="666" t="s">
        <v>570</v>
      </c>
      <c r="B2541" s="665" t="s">
        <v>13</v>
      </c>
      <c r="C2541" s="664">
        <v>37.35</v>
      </c>
      <c r="D2541" s="12"/>
    </row>
    <row r="2542" spans="1:4" hidden="1" x14ac:dyDescent="0.2">
      <c r="A2542" s="662" t="s">
        <v>219</v>
      </c>
      <c r="B2542" s="661"/>
      <c r="C2542" s="660"/>
      <c r="D2542" s="12"/>
    </row>
    <row r="2543" spans="1:4" hidden="1" x14ac:dyDescent="0.2">
      <c r="A2543" s="659" t="s">
        <v>641</v>
      </c>
      <c r="B2543" s="658" t="s">
        <v>13</v>
      </c>
      <c r="C2543" s="657">
        <v>187.88</v>
      </c>
      <c r="D2543" s="12"/>
    </row>
    <row r="2544" spans="1:4" hidden="1" x14ac:dyDescent="0.2">
      <c r="A2544" s="662" t="s">
        <v>222</v>
      </c>
      <c r="B2544" s="661"/>
      <c r="C2544" s="660"/>
      <c r="D2544" s="12"/>
    </row>
    <row r="2545" spans="1:4" hidden="1" x14ac:dyDescent="0.2">
      <c r="A2545" s="666" t="s">
        <v>640</v>
      </c>
      <c r="B2545" s="665" t="s">
        <v>13</v>
      </c>
      <c r="C2545" s="664">
        <v>93.11</v>
      </c>
      <c r="D2545" s="12"/>
    </row>
    <row r="2546" spans="1:4" hidden="1" x14ac:dyDescent="0.2">
      <c r="A2546" s="659" t="s">
        <v>639</v>
      </c>
      <c r="B2546" s="658" t="s">
        <v>13</v>
      </c>
      <c r="C2546" s="657">
        <v>23.38</v>
      </c>
      <c r="D2546" s="12"/>
    </row>
    <row r="2547" spans="1:4" hidden="1" x14ac:dyDescent="0.2">
      <c r="A2547" s="666" t="s">
        <v>638</v>
      </c>
      <c r="B2547" s="665" t="s">
        <v>13</v>
      </c>
      <c r="C2547" s="664">
        <v>8.48</v>
      </c>
      <c r="D2547" s="12"/>
    </row>
    <row r="2548" spans="1:4" hidden="1" x14ac:dyDescent="0.2">
      <c r="A2548" s="662" t="s">
        <v>637</v>
      </c>
      <c r="B2548" s="661"/>
      <c r="C2548" s="660"/>
      <c r="D2548" s="12"/>
    </row>
    <row r="2549" spans="1:4" hidden="1" x14ac:dyDescent="0.2">
      <c r="A2549" s="659" t="s">
        <v>636</v>
      </c>
      <c r="B2549" s="658" t="s">
        <v>13</v>
      </c>
      <c r="C2549" s="657">
        <v>63.69</v>
      </c>
      <c r="D2549" s="12"/>
    </row>
    <row r="2550" spans="1:4" hidden="1" x14ac:dyDescent="0.2">
      <c r="A2550" s="662" t="s">
        <v>635</v>
      </c>
      <c r="B2550" s="661"/>
      <c r="C2550" s="660"/>
      <c r="D2550" s="12"/>
    </row>
    <row r="2551" spans="1:4" hidden="1" x14ac:dyDescent="0.2">
      <c r="A2551" s="666" t="s">
        <v>634</v>
      </c>
      <c r="B2551" s="665" t="s">
        <v>3</v>
      </c>
      <c r="C2551" s="664">
        <v>158.85</v>
      </c>
      <c r="D2551" s="12"/>
    </row>
    <row r="2552" spans="1:4" hidden="1" x14ac:dyDescent="0.2">
      <c r="A2552" s="662" t="s">
        <v>346</v>
      </c>
      <c r="B2552" s="661"/>
      <c r="C2552" s="660"/>
      <c r="D2552" s="12"/>
    </row>
    <row r="2553" spans="1:4" hidden="1" x14ac:dyDescent="0.2">
      <c r="A2553" s="659" t="s">
        <v>633</v>
      </c>
      <c r="B2553" s="658" t="s">
        <v>13</v>
      </c>
      <c r="C2553" s="657">
        <v>0.85</v>
      </c>
      <c r="D2553" s="12"/>
    </row>
    <row r="2554" spans="1:4" hidden="1" x14ac:dyDescent="0.2">
      <c r="A2554" s="662" t="s">
        <v>217</v>
      </c>
      <c r="B2554" s="661"/>
      <c r="C2554" s="660"/>
      <c r="D2554" s="12"/>
    </row>
    <row r="2555" spans="1:4" hidden="1" x14ac:dyDescent="0.2">
      <c r="A2555" s="666" t="s">
        <v>632</v>
      </c>
      <c r="B2555" s="665" t="s">
        <v>13</v>
      </c>
      <c r="C2555" s="664">
        <v>3.2</v>
      </c>
      <c r="D2555" s="12"/>
    </row>
    <row r="2556" spans="1:4" hidden="1" x14ac:dyDescent="0.2">
      <c r="A2556" s="662" t="s">
        <v>215</v>
      </c>
      <c r="B2556" s="661"/>
      <c r="C2556" s="660"/>
      <c r="D2556" s="12"/>
    </row>
    <row r="2557" spans="1:4" hidden="1" x14ac:dyDescent="0.2">
      <c r="A2557" s="659" t="s">
        <v>631</v>
      </c>
      <c r="B2557" s="658" t="s">
        <v>13</v>
      </c>
      <c r="C2557" s="657">
        <v>58.23</v>
      </c>
      <c r="D2557" s="12"/>
    </row>
    <row r="2558" spans="1:4" hidden="1" x14ac:dyDescent="0.2">
      <c r="A2558" s="666" t="s">
        <v>630</v>
      </c>
      <c r="B2558" s="665" t="s">
        <v>13</v>
      </c>
      <c r="C2558" s="664">
        <v>108</v>
      </c>
      <c r="D2558" s="12"/>
    </row>
    <row r="2559" spans="1:4" hidden="1" x14ac:dyDescent="0.2">
      <c r="A2559" s="662" t="s">
        <v>231</v>
      </c>
      <c r="B2559" s="661"/>
      <c r="C2559" s="660"/>
      <c r="D2559" s="12"/>
    </row>
    <row r="2560" spans="1:4" hidden="1" x14ac:dyDescent="0.2">
      <c r="A2560" s="659" t="s">
        <v>595</v>
      </c>
      <c r="B2560" s="658" t="s">
        <v>13</v>
      </c>
      <c r="C2560" s="657">
        <v>6.72</v>
      </c>
      <c r="D2560" s="12"/>
    </row>
    <row r="2561" spans="1:4" hidden="1" x14ac:dyDescent="0.2">
      <c r="A2561" s="666" t="s">
        <v>629</v>
      </c>
      <c r="B2561" s="665" t="s">
        <v>13</v>
      </c>
      <c r="C2561" s="664">
        <v>7.88</v>
      </c>
      <c r="D2561" s="12"/>
    </row>
    <row r="2562" spans="1:4" hidden="1" x14ac:dyDescent="0.2">
      <c r="A2562" s="659" t="s">
        <v>594</v>
      </c>
      <c r="B2562" s="658" t="s">
        <v>13</v>
      </c>
      <c r="C2562" s="657">
        <v>17.21</v>
      </c>
      <c r="D2562" s="12"/>
    </row>
    <row r="2563" spans="1:4" hidden="1" x14ac:dyDescent="0.2">
      <c r="A2563" s="662" t="s">
        <v>569</v>
      </c>
      <c r="B2563" s="661"/>
      <c r="C2563" s="660"/>
      <c r="D2563" s="12"/>
    </row>
    <row r="2564" spans="1:4" hidden="1" x14ac:dyDescent="0.2">
      <c r="A2564" s="666" t="s">
        <v>628</v>
      </c>
      <c r="B2564" s="665" t="s">
        <v>13</v>
      </c>
      <c r="C2564" s="664">
        <v>31.33</v>
      </c>
      <c r="D2564" s="12"/>
    </row>
    <row r="2565" spans="1:4" hidden="1" x14ac:dyDescent="0.2">
      <c r="A2565" s="659" t="s">
        <v>627</v>
      </c>
      <c r="B2565" s="658" t="s">
        <v>13</v>
      </c>
      <c r="C2565" s="657">
        <v>420.78</v>
      </c>
      <c r="D2565" s="12"/>
    </row>
    <row r="2566" spans="1:4" hidden="1" x14ac:dyDescent="0.2">
      <c r="A2566" s="666" t="s">
        <v>626</v>
      </c>
      <c r="B2566" s="665" t="s">
        <v>13</v>
      </c>
      <c r="C2566" s="664">
        <v>2.93</v>
      </c>
      <c r="D2566" s="12"/>
    </row>
    <row r="2567" spans="1:4" hidden="1" x14ac:dyDescent="0.2">
      <c r="A2567" s="659" t="s">
        <v>592</v>
      </c>
      <c r="B2567" s="658" t="s">
        <v>13</v>
      </c>
      <c r="C2567" s="657">
        <v>78.91</v>
      </c>
      <c r="D2567" s="12"/>
    </row>
    <row r="2568" spans="1:4" hidden="1" x14ac:dyDescent="0.2">
      <c r="A2568" s="662" t="s">
        <v>567</v>
      </c>
      <c r="B2568" s="661"/>
      <c r="C2568" s="660"/>
      <c r="D2568" s="12"/>
    </row>
    <row r="2569" spans="1:4" hidden="1" x14ac:dyDescent="0.2">
      <c r="A2569" s="666" t="s">
        <v>566</v>
      </c>
      <c r="B2569" s="665" t="s">
        <v>13</v>
      </c>
      <c r="C2569" s="664">
        <v>225.23</v>
      </c>
      <c r="D2569" s="12"/>
    </row>
    <row r="2570" spans="1:4" hidden="1" x14ac:dyDescent="0.2">
      <c r="A2570" s="662" t="s">
        <v>235</v>
      </c>
      <c r="B2570" s="661"/>
      <c r="C2570" s="660"/>
      <c r="D2570" s="12"/>
    </row>
    <row r="2571" spans="1:4" hidden="1" x14ac:dyDescent="0.2">
      <c r="A2571" s="659" t="s">
        <v>554</v>
      </c>
      <c r="B2571" s="658" t="s">
        <v>3</v>
      </c>
      <c r="C2571" s="657">
        <v>108.4</v>
      </c>
      <c r="D2571" s="12"/>
    </row>
    <row r="2572" spans="1:4" hidden="1" x14ac:dyDescent="0.2">
      <c r="A2572" s="662" t="s">
        <v>236</v>
      </c>
      <c r="B2572" s="661"/>
      <c r="C2572" s="660"/>
      <c r="D2572" s="12"/>
    </row>
    <row r="2573" spans="1:4" hidden="1" x14ac:dyDescent="0.2">
      <c r="A2573" s="666" t="s">
        <v>591</v>
      </c>
      <c r="B2573" s="665" t="s">
        <v>13</v>
      </c>
      <c r="C2573" s="664">
        <v>1.04</v>
      </c>
      <c r="D2573" s="12"/>
    </row>
    <row r="2574" spans="1:4" hidden="1" x14ac:dyDescent="0.2">
      <c r="A2574" s="659" t="s">
        <v>590</v>
      </c>
      <c r="B2574" s="658" t="s">
        <v>13</v>
      </c>
      <c r="C2574" s="657">
        <v>1.04</v>
      </c>
      <c r="D2574" s="12"/>
    </row>
    <row r="2575" spans="1:4" hidden="1" x14ac:dyDescent="0.2">
      <c r="A2575" s="666" t="s">
        <v>625</v>
      </c>
      <c r="B2575" s="665" t="s">
        <v>13</v>
      </c>
      <c r="C2575" s="664">
        <v>2.25</v>
      </c>
      <c r="D2575" s="12"/>
    </row>
    <row r="2576" spans="1:4" hidden="1" x14ac:dyDescent="0.2">
      <c r="A2576" s="659" t="s">
        <v>624</v>
      </c>
      <c r="B2576" s="658" t="s">
        <v>13</v>
      </c>
      <c r="C2576" s="657">
        <v>8.86</v>
      </c>
      <c r="D2576" s="12"/>
    </row>
    <row r="2577" spans="1:4" hidden="1" x14ac:dyDescent="0.2">
      <c r="A2577" s="666" t="s">
        <v>623</v>
      </c>
      <c r="B2577" s="665" t="s">
        <v>3</v>
      </c>
      <c r="C2577" s="664">
        <v>2.5</v>
      </c>
      <c r="D2577" s="12"/>
    </row>
    <row r="2578" spans="1:4" hidden="1" x14ac:dyDescent="0.2">
      <c r="A2578" s="659" t="s">
        <v>622</v>
      </c>
      <c r="B2578" s="658" t="s">
        <v>3</v>
      </c>
      <c r="C2578" s="657">
        <v>7.4</v>
      </c>
      <c r="D2578" s="12"/>
    </row>
    <row r="2579" spans="1:4" hidden="1" x14ac:dyDescent="0.2">
      <c r="A2579" s="666" t="s">
        <v>621</v>
      </c>
      <c r="B2579" s="665" t="s">
        <v>13</v>
      </c>
      <c r="C2579" s="664">
        <v>0.36</v>
      </c>
      <c r="D2579" s="12"/>
    </row>
    <row r="2580" spans="1:4" hidden="1" x14ac:dyDescent="0.2">
      <c r="A2580" s="659" t="s">
        <v>620</v>
      </c>
      <c r="B2580" s="658" t="s">
        <v>13</v>
      </c>
      <c r="C2580" s="657">
        <v>1.18</v>
      </c>
      <c r="D2580" s="12"/>
    </row>
    <row r="2581" spans="1:4" hidden="1" x14ac:dyDescent="0.2">
      <c r="A2581" s="666" t="s">
        <v>619</v>
      </c>
      <c r="B2581" s="665" t="s">
        <v>13</v>
      </c>
      <c r="C2581" s="664">
        <v>4.03</v>
      </c>
      <c r="D2581" s="12"/>
    </row>
    <row r="2582" spans="1:4" hidden="1" x14ac:dyDescent="0.2">
      <c r="A2582" s="659" t="s">
        <v>618</v>
      </c>
      <c r="B2582" s="658" t="s">
        <v>13</v>
      </c>
      <c r="C2582" s="657">
        <v>11.09</v>
      </c>
      <c r="D2582" s="12"/>
    </row>
    <row r="2583" spans="1:4" hidden="1" x14ac:dyDescent="0.2">
      <c r="A2583" s="666" t="s">
        <v>617</v>
      </c>
      <c r="B2583" s="665" t="s">
        <v>13</v>
      </c>
      <c r="C2583" s="664">
        <v>0.05</v>
      </c>
      <c r="D2583" s="12"/>
    </row>
    <row r="2584" spans="1:4" hidden="1" x14ac:dyDescent="0.2">
      <c r="A2584" s="659" t="s">
        <v>616</v>
      </c>
      <c r="B2584" s="658" t="s">
        <v>13</v>
      </c>
      <c r="C2584" s="657">
        <v>0.89</v>
      </c>
      <c r="D2584" s="12"/>
    </row>
    <row r="2585" spans="1:4" hidden="1" x14ac:dyDescent="0.2">
      <c r="A2585" s="666" t="s">
        <v>615</v>
      </c>
      <c r="B2585" s="665" t="s">
        <v>13</v>
      </c>
      <c r="C2585" s="664">
        <v>0.02</v>
      </c>
      <c r="D2585" s="12"/>
    </row>
    <row r="2586" spans="1:4" hidden="1" x14ac:dyDescent="0.2">
      <c r="A2586" s="659" t="s">
        <v>614</v>
      </c>
      <c r="B2586" s="658" t="s">
        <v>13</v>
      </c>
      <c r="C2586" s="657">
        <v>0.38</v>
      </c>
      <c r="D2586" s="12"/>
    </row>
    <row r="2587" spans="1:4" hidden="1" x14ac:dyDescent="0.2">
      <c r="A2587" s="662" t="s">
        <v>240</v>
      </c>
      <c r="B2587" s="661"/>
      <c r="C2587" s="660"/>
      <c r="D2587" s="12"/>
    </row>
    <row r="2588" spans="1:4" hidden="1" x14ac:dyDescent="0.2">
      <c r="A2588" s="666" t="s">
        <v>613</v>
      </c>
      <c r="B2588" s="665" t="s">
        <v>3</v>
      </c>
      <c r="C2588" s="664">
        <v>14.53</v>
      </c>
      <c r="D2588" s="12"/>
    </row>
    <row r="2589" spans="1:4" hidden="1" x14ac:dyDescent="0.2">
      <c r="A2589" s="659" t="s">
        <v>612</v>
      </c>
      <c r="B2589" s="658" t="s">
        <v>2</v>
      </c>
      <c r="C2589" s="657">
        <v>8</v>
      </c>
      <c r="D2589" s="12"/>
    </row>
    <row r="2590" spans="1:4" hidden="1" x14ac:dyDescent="0.2">
      <c r="A2590" s="666" t="s">
        <v>611</v>
      </c>
      <c r="B2590" s="665" t="s">
        <v>2</v>
      </c>
      <c r="C2590" s="664">
        <v>6</v>
      </c>
      <c r="D2590" s="12"/>
    </row>
    <row r="2591" spans="1:4" hidden="1" x14ac:dyDescent="0.2">
      <c r="A2591" s="659" t="s">
        <v>610</v>
      </c>
      <c r="B2591" s="658" t="s">
        <v>2</v>
      </c>
      <c r="C2591" s="657">
        <v>3</v>
      </c>
      <c r="D2591" s="12"/>
    </row>
    <row r="2592" spans="1:4" hidden="1" x14ac:dyDescent="0.2">
      <c r="A2592" s="662" t="s">
        <v>244</v>
      </c>
      <c r="B2592" s="661"/>
      <c r="C2592" s="660"/>
      <c r="D2592" s="12"/>
    </row>
    <row r="2593" spans="1:4" hidden="1" x14ac:dyDescent="0.2">
      <c r="A2593" s="666" t="s">
        <v>586</v>
      </c>
      <c r="B2593" s="665" t="s">
        <v>2</v>
      </c>
      <c r="C2593" s="664">
        <v>1</v>
      </c>
      <c r="D2593" s="12"/>
    </row>
    <row r="2594" spans="1:4" hidden="1" x14ac:dyDescent="0.2">
      <c r="A2594" s="659" t="s">
        <v>585</v>
      </c>
      <c r="B2594" s="658" t="s">
        <v>2</v>
      </c>
      <c r="C2594" s="657">
        <v>1</v>
      </c>
      <c r="D2594" s="12"/>
    </row>
    <row r="2595" spans="1:4" hidden="1" x14ac:dyDescent="0.2">
      <c r="A2595" s="666" t="s">
        <v>609</v>
      </c>
      <c r="B2595" s="665" t="s">
        <v>2</v>
      </c>
      <c r="C2595" s="664">
        <v>2</v>
      </c>
      <c r="D2595" s="12"/>
    </row>
    <row r="2596" spans="1:4" hidden="1" x14ac:dyDescent="0.2">
      <c r="A2596" s="662" t="s">
        <v>552</v>
      </c>
      <c r="B2596" s="661"/>
      <c r="C2596" s="660"/>
      <c r="D2596" s="12"/>
    </row>
    <row r="2597" spans="1:4" hidden="1" x14ac:dyDescent="0.2">
      <c r="A2597" s="659" t="s">
        <v>551</v>
      </c>
      <c r="B2597" s="658" t="s">
        <v>13</v>
      </c>
      <c r="C2597" s="657">
        <v>87.85</v>
      </c>
      <c r="D2597" s="12"/>
    </row>
    <row r="2598" spans="1:4" hidden="1" x14ac:dyDescent="0.2">
      <c r="A2598" s="666" t="s">
        <v>565</v>
      </c>
      <c r="B2598" s="665" t="s">
        <v>13</v>
      </c>
      <c r="C2598" s="664">
        <v>82.74</v>
      </c>
      <c r="D2598" s="12"/>
    </row>
    <row r="2599" spans="1:4" hidden="1" x14ac:dyDescent="0.2">
      <c r="A2599" s="662" t="s">
        <v>550</v>
      </c>
      <c r="B2599" s="661"/>
      <c r="C2599" s="660"/>
      <c r="D2599" s="12"/>
    </row>
    <row r="2600" spans="1:4" hidden="1" x14ac:dyDescent="0.2">
      <c r="A2600" s="659" t="s">
        <v>549</v>
      </c>
      <c r="B2600" s="658" t="s">
        <v>13</v>
      </c>
      <c r="C2600" s="657">
        <v>170.59</v>
      </c>
      <c r="D2600" s="12"/>
    </row>
    <row r="2601" spans="1:4" hidden="1" x14ac:dyDescent="0.2">
      <c r="A2601" s="662" t="s">
        <v>273</v>
      </c>
      <c r="B2601" s="661"/>
      <c r="C2601" s="660"/>
      <c r="D2601" s="12"/>
    </row>
    <row r="2602" spans="1:4" hidden="1" x14ac:dyDescent="0.2">
      <c r="A2602" s="666" t="s">
        <v>564</v>
      </c>
      <c r="B2602" s="665" t="s">
        <v>13</v>
      </c>
      <c r="C2602" s="664">
        <v>77.59</v>
      </c>
      <c r="D2602" s="12"/>
    </row>
    <row r="2603" spans="1:4" hidden="1" x14ac:dyDescent="0.2">
      <c r="A2603" s="659" t="s">
        <v>608</v>
      </c>
      <c r="B2603" s="658" t="s">
        <v>13</v>
      </c>
      <c r="C2603" s="657">
        <v>6.04</v>
      </c>
      <c r="D2603" s="12"/>
    </row>
    <row r="2604" spans="1:4" hidden="1" x14ac:dyDescent="0.2">
      <c r="A2604" s="666" t="s">
        <v>607</v>
      </c>
      <c r="B2604" s="665" t="s">
        <v>13</v>
      </c>
      <c r="C2604" s="664">
        <v>5.14</v>
      </c>
      <c r="D2604" s="12"/>
    </row>
    <row r="2605" spans="1:4" hidden="1" x14ac:dyDescent="0.2">
      <c r="A2605" s="659" t="s">
        <v>548</v>
      </c>
      <c r="B2605" s="658" t="s">
        <v>13</v>
      </c>
      <c r="C2605" s="657">
        <v>81.819999999999993</v>
      </c>
      <c r="D2605" s="12"/>
    </row>
    <row r="2606" spans="1:4" x14ac:dyDescent="0.2">
      <c r="A2606" s="669" t="s">
        <v>606</v>
      </c>
      <c r="B2606" s="668"/>
      <c r="C2606" s="667"/>
      <c r="D2606" s="12"/>
    </row>
    <row r="2607" spans="1:4" x14ac:dyDescent="0.2">
      <c r="A2607" s="662" t="s">
        <v>208</v>
      </c>
      <c r="B2607" s="661"/>
      <c r="C2607" s="660"/>
      <c r="D2607" s="12"/>
    </row>
    <row r="2608" spans="1:4" x14ac:dyDescent="0.2">
      <c r="A2608" s="666" t="s">
        <v>562</v>
      </c>
      <c r="B2608" s="665" t="s">
        <v>13</v>
      </c>
      <c r="C2608" s="664">
        <v>30.58</v>
      </c>
      <c r="D2608" s="12"/>
    </row>
    <row r="2609" spans="1:4" x14ac:dyDescent="0.2">
      <c r="A2609" s="659" t="s">
        <v>581</v>
      </c>
      <c r="B2609" s="658" t="s">
        <v>13</v>
      </c>
      <c r="C2609" s="657">
        <v>124.14</v>
      </c>
      <c r="D2609" s="12"/>
    </row>
    <row r="2610" spans="1:4" x14ac:dyDescent="0.2">
      <c r="A2610" s="662" t="s">
        <v>605</v>
      </c>
      <c r="B2610" s="661"/>
      <c r="C2610" s="660"/>
      <c r="D2610" s="12"/>
    </row>
    <row r="2611" spans="1:4" x14ac:dyDescent="0.2">
      <c r="A2611" s="666" t="s">
        <v>604</v>
      </c>
      <c r="B2611" s="665" t="s">
        <v>13</v>
      </c>
      <c r="C2611" s="664">
        <v>105.55</v>
      </c>
      <c r="D2611" s="12"/>
    </row>
    <row r="2612" spans="1:4" x14ac:dyDescent="0.2">
      <c r="A2612" s="662" t="s">
        <v>561</v>
      </c>
      <c r="B2612" s="661"/>
      <c r="C2612" s="660"/>
      <c r="D2612" s="12"/>
    </row>
    <row r="2613" spans="1:4" x14ac:dyDescent="0.2">
      <c r="A2613" s="659" t="s">
        <v>580</v>
      </c>
      <c r="B2613" s="658" t="s">
        <v>3</v>
      </c>
      <c r="C2613" s="657">
        <v>59.16</v>
      </c>
      <c r="D2613" s="12"/>
    </row>
    <row r="2614" spans="1:4" x14ac:dyDescent="0.2">
      <c r="A2614" s="666" t="s">
        <v>560</v>
      </c>
      <c r="B2614" s="665" t="s">
        <v>13</v>
      </c>
      <c r="C2614" s="664">
        <v>131</v>
      </c>
      <c r="D2614" s="12"/>
    </row>
    <row r="2615" spans="1:4" x14ac:dyDescent="0.2">
      <c r="A2615" s="659" t="s">
        <v>559</v>
      </c>
      <c r="B2615" s="658" t="s">
        <v>3</v>
      </c>
      <c r="C2615" s="657">
        <v>15.88</v>
      </c>
      <c r="D2615" s="12"/>
    </row>
    <row r="2616" spans="1:4" x14ac:dyDescent="0.2">
      <c r="A2616" s="662" t="s">
        <v>212</v>
      </c>
      <c r="B2616" s="661"/>
      <c r="C2616" s="660"/>
      <c r="D2616" s="12"/>
    </row>
    <row r="2617" spans="1:4" x14ac:dyDescent="0.2">
      <c r="A2617" s="659" t="s">
        <v>579</v>
      </c>
      <c r="B2617" s="658" t="s">
        <v>13</v>
      </c>
      <c r="C2617" s="657">
        <v>6.53</v>
      </c>
      <c r="D2617" s="12"/>
    </row>
    <row r="2618" spans="1:4" x14ac:dyDescent="0.2">
      <c r="A2618" s="666" t="s">
        <v>558</v>
      </c>
      <c r="B2618" s="665" t="s">
        <v>13</v>
      </c>
      <c r="C2618" s="664">
        <v>184.71</v>
      </c>
      <c r="D2618" s="12"/>
    </row>
    <row r="2619" spans="1:4" x14ac:dyDescent="0.2">
      <c r="A2619" s="662" t="s">
        <v>557</v>
      </c>
      <c r="B2619" s="661"/>
      <c r="C2619" s="660"/>
      <c r="D2619" s="12"/>
    </row>
    <row r="2620" spans="1:4" x14ac:dyDescent="0.2">
      <c r="A2620" s="666" t="s">
        <v>603</v>
      </c>
      <c r="B2620" s="665" t="s">
        <v>13</v>
      </c>
      <c r="C2620" s="664">
        <v>58.21</v>
      </c>
      <c r="D2620" s="12"/>
    </row>
    <row r="2621" spans="1:4" x14ac:dyDescent="0.2">
      <c r="A2621" s="659" t="s">
        <v>602</v>
      </c>
      <c r="B2621" s="658" t="s">
        <v>13</v>
      </c>
      <c r="C2621" s="657">
        <v>6.53</v>
      </c>
      <c r="D2621" s="12"/>
    </row>
    <row r="2622" spans="1:4" x14ac:dyDescent="0.2">
      <c r="A2622" s="666" t="s">
        <v>601</v>
      </c>
      <c r="B2622" s="665" t="s">
        <v>13</v>
      </c>
      <c r="C2622" s="664">
        <v>82.11</v>
      </c>
      <c r="D2622" s="12"/>
    </row>
    <row r="2623" spans="1:4" x14ac:dyDescent="0.2">
      <c r="A2623" s="659" t="s">
        <v>600</v>
      </c>
      <c r="B2623" s="658" t="s">
        <v>13</v>
      </c>
      <c r="C2623" s="657">
        <v>184.71</v>
      </c>
      <c r="D2623" s="12"/>
    </row>
    <row r="2624" spans="1:4" x14ac:dyDescent="0.2">
      <c r="A2624" s="662" t="s">
        <v>220</v>
      </c>
      <c r="B2624" s="661"/>
      <c r="C2624" s="660"/>
      <c r="D2624" s="12"/>
    </row>
    <row r="2625" spans="1:4" x14ac:dyDescent="0.2">
      <c r="A2625" s="666" t="s">
        <v>599</v>
      </c>
      <c r="B2625" s="665" t="s">
        <v>13</v>
      </c>
      <c r="C2625" s="664">
        <v>13.46</v>
      </c>
      <c r="D2625" s="12"/>
    </row>
    <row r="2626" spans="1:4" x14ac:dyDescent="0.2">
      <c r="A2626" s="662" t="s">
        <v>598</v>
      </c>
      <c r="B2626" s="661"/>
      <c r="C2626" s="660"/>
      <c r="D2626" s="12"/>
    </row>
    <row r="2627" spans="1:4" x14ac:dyDescent="0.2">
      <c r="A2627" s="659" t="s">
        <v>597</v>
      </c>
      <c r="B2627" s="658" t="s">
        <v>13</v>
      </c>
      <c r="C2627" s="657">
        <v>12.12</v>
      </c>
      <c r="D2627" s="12"/>
    </row>
    <row r="2628" spans="1:4" x14ac:dyDescent="0.2">
      <c r="A2628" s="662" t="s">
        <v>576</v>
      </c>
      <c r="B2628" s="661"/>
      <c r="C2628" s="660"/>
      <c r="D2628" s="12"/>
    </row>
    <row r="2629" spans="1:4" x14ac:dyDescent="0.2">
      <c r="A2629" s="666" t="s">
        <v>575</v>
      </c>
      <c r="B2629" s="665" t="s">
        <v>13</v>
      </c>
      <c r="C2629" s="664">
        <v>213.17</v>
      </c>
      <c r="D2629" s="12"/>
    </row>
    <row r="2630" spans="1:4" x14ac:dyDescent="0.2">
      <c r="A2630" s="659" t="s">
        <v>574</v>
      </c>
      <c r="B2630" s="658" t="s">
        <v>13</v>
      </c>
      <c r="C2630" s="657">
        <v>64.41</v>
      </c>
      <c r="D2630" s="12"/>
    </row>
    <row r="2631" spans="1:4" x14ac:dyDescent="0.2">
      <c r="A2631" s="662" t="s">
        <v>573</v>
      </c>
      <c r="B2631" s="661"/>
      <c r="C2631" s="660"/>
      <c r="D2631" s="12"/>
    </row>
    <row r="2632" spans="1:4" x14ac:dyDescent="0.2">
      <c r="A2632" s="666" t="s">
        <v>572</v>
      </c>
      <c r="B2632" s="665" t="s">
        <v>13</v>
      </c>
      <c r="C2632" s="664">
        <v>277.58</v>
      </c>
      <c r="D2632" s="12"/>
    </row>
    <row r="2633" spans="1:4" x14ac:dyDescent="0.2">
      <c r="A2633" s="662" t="s">
        <v>218</v>
      </c>
      <c r="B2633" s="661"/>
      <c r="C2633" s="660"/>
      <c r="D2633" s="12"/>
    </row>
    <row r="2634" spans="1:4" x14ac:dyDescent="0.2">
      <c r="A2634" s="659" t="s">
        <v>570</v>
      </c>
      <c r="B2634" s="658" t="s">
        <v>13</v>
      </c>
      <c r="C2634" s="657">
        <v>33.11</v>
      </c>
      <c r="D2634" s="12"/>
    </row>
    <row r="2635" spans="1:4" x14ac:dyDescent="0.2">
      <c r="A2635" s="662" t="s">
        <v>231</v>
      </c>
      <c r="B2635" s="661"/>
      <c r="C2635" s="660"/>
      <c r="D2635" s="12"/>
    </row>
    <row r="2636" spans="1:4" x14ac:dyDescent="0.2">
      <c r="A2636" s="666" t="s">
        <v>596</v>
      </c>
      <c r="B2636" s="665" t="s">
        <v>13</v>
      </c>
      <c r="C2636" s="664">
        <v>7.81</v>
      </c>
      <c r="D2636" s="12"/>
    </row>
    <row r="2637" spans="1:4" x14ac:dyDescent="0.2">
      <c r="A2637" s="659" t="s">
        <v>595</v>
      </c>
      <c r="B2637" s="658" t="s">
        <v>13</v>
      </c>
      <c r="C2637" s="657">
        <v>14.8</v>
      </c>
      <c r="D2637" s="12"/>
    </row>
    <row r="2638" spans="1:4" x14ac:dyDescent="0.2">
      <c r="A2638" s="666" t="s">
        <v>594</v>
      </c>
      <c r="B2638" s="665" t="s">
        <v>13</v>
      </c>
      <c r="C2638" s="664">
        <v>10.18</v>
      </c>
      <c r="D2638" s="12"/>
    </row>
    <row r="2639" spans="1:4" x14ac:dyDescent="0.2">
      <c r="A2639" s="662" t="s">
        <v>569</v>
      </c>
      <c r="B2639" s="661"/>
      <c r="C2639" s="660"/>
      <c r="D2639" s="12"/>
    </row>
    <row r="2640" spans="1:4" x14ac:dyDescent="0.2">
      <c r="A2640" s="659" t="s">
        <v>593</v>
      </c>
      <c r="B2640" s="658" t="s">
        <v>13</v>
      </c>
      <c r="C2640" s="657">
        <v>24.18</v>
      </c>
      <c r="D2640" s="12"/>
    </row>
    <row r="2641" spans="1:4" x14ac:dyDescent="0.2">
      <c r="A2641" s="666" t="s">
        <v>592</v>
      </c>
      <c r="B2641" s="665" t="s">
        <v>13</v>
      </c>
      <c r="C2641" s="664">
        <v>94.81</v>
      </c>
      <c r="D2641" s="12"/>
    </row>
    <row r="2642" spans="1:4" x14ac:dyDescent="0.2">
      <c r="A2642" s="659" t="s">
        <v>568</v>
      </c>
      <c r="B2642" s="658" t="s">
        <v>13</v>
      </c>
      <c r="C2642" s="657">
        <v>158.59</v>
      </c>
      <c r="D2642" s="12"/>
    </row>
    <row r="2643" spans="1:4" x14ac:dyDescent="0.2">
      <c r="A2643" s="662" t="s">
        <v>567</v>
      </c>
      <c r="B2643" s="661"/>
      <c r="C2643" s="660"/>
      <c r="D2643" s="12"/>
    </row>
    <row r="2644" spans="1:4" x14ac:dyDescent="0.2">
      <c r="A2644" s="666" t="s">
        <v>566</v>
      </c>
      <c r="B2644" s="665" t="s">
        <v>13</v>
      </c>
      <c r="C2644" s="664">
        <v>33.11</v>
      </c>
      <c r="D2644" s="12"/>
    </row>
    <row r="2645" spans="1:4" x14ac:dyDescent="0.2">
      <c r="A2645" s="662" t="s">
        <v>235</v>
      </c>
      <c r="B2645" s="661"/>
      <c r="C2645" s="660"/>
      <c r="D2645" s="12"/>
    </row>
    <row r="2646" spans="1:4" x14ac:dyDescent="0.2">
      <c r="A2646" s="659" t="s">
        <v>554</v>
      </c>
      <c r="B2646" s="658" t="s">
        <v>3</v>
      </c>
      <c r="C2646" s="657">
        <v>41.96</v>
      </c>
      <c r="D2646" s="12"/>
    </row>
    <row r="2647" spans="1:4" x14ac:dyDescent="0.2">
      <c r="A2647" s="662" t="s">
        <v>236</v>
      </c>
      <c r="B2647" s="661"/>
      <c r="C2647" s="660"/>
      <c r="D2647" s="12"/>
    </row>
    <row r="2648" spans="1:4" x14ac:dyDescent="0.2">
      <c r="A2648" s="666" t="s">
        <v>591</v>
      </c>
      <c r="B2648" s="665" t="s">
        <v>13</v>
      </c>
      <c r="C2648" s="664">
        <v>1.04</v>
      </c>
      <c r="D2648" s="12"/>
    </row>
    <row r="2649" spans="1:4" x14ac:dyDescent="0.2">
      <c r="A2649" s="659" t="s">
        <v>590</v>
      </c>
      <c r="B2649" s="658" t="s">
        <v>13</v>
      </c>
      <c r="C2649" s="657">
        <v>1.04</v>
      </c>
      <c r="D2649" s="12"/>
    </row>
    <row r="2650" spans="1:4" x14ac:dyDescent="0.2">
      <c r="A2650" s="666" t="s">
        <v>589</v>
      </c>
      <c r="B2650" s="665" t="s">
        <v>13</v>
      </c>
      <c r="C2650" s="664">
        <v>5.67</v>
      </c>
      <c r="D2650" s="12"/>
    </row>
    <row r="2651" spans="1:4" x14ac:dyDescent="0.2">
      <c r="A2651" s="659" t="s">
        <v>588</v>
      </c>
      <c r="B2651" s="658" t="s">
        <v>13</v>
      </c>
      <c r="C2651" s="657">
        <v>1.53</v>
      </c>
      <c r="D2651" s="12"/>
    </row>
    <row r="2652" spans="1:4" x14ac:dyDescent="0.2">
      <c r="A2652" s="666" t="s">
        <v>587</v>
      </c>
      <c r="B2652" s="665" t="s">
        <v>13</v>
      </c>
      <c r="C2652" s="664">
        <v>3.06</v>
      </c>
      <c r="D2652" s="12"/>
    </row>
    <row r="2653" spans="1:4" x14ac:dyDescent="0.2">
      <c r="A2653" s="662" t="s">
        <v>244</v>
      </c>
      <c r="B2653" s="661"/>
      <c r="C2653" s="660"/>
      <c r="D2653" s="12"/>
    </row>
    <row r="2654" spans="1:4" x14ac:dyDescent="0.2">
      <c r="A2654" s="659" t="s">
        <v>586</v>
      </c>
      <c r="B2654" s="658" t="s">
        <v>2</v>
      </c>
      <c r="C2654" s="657">
        <v>1</v>
      </c>
      <c r="D2654" s="12"/>
    </row>
    <row r="2655" spans="1:4" x14ac:dyDescent="0.2">
      <c r="A2655" s="666" t="s">
        <v>585</v>
      </c>
      <c r="B2655" s="665" t="s">
        <v>2</v>
      </c>
      <c r="C2655" s="664">
        <v>1</v>
      </c>
      <c r="D2655" s="12"/>
    </row>
    <row r="2656" spans="1:4" x14ac:dyDescent="0.2">
      <c r="A2656" s="662" t="s">
        <v>552</v>
      </c>
      <c r="B2656" s="661"/>
      <c r="C2656" s="660"/>
      <c r="D2656" s="12"/>
    </row>
    <row r="2657" spans="1:6" x14ac:dyDescent="0.2">
      <c r="A2657" s="659" t="s">
        <v>551</v>
      </c>
      <c r="B2657" s="658" t="s">
        <v>13</v>
      </c>
      <c r="C2657" s="657">
        <v>218.47</v>
      </c>
      <c r="D2657" s="12"/>
    </row>
    <row r="2658" spans="1:6" x14ac:dyDescent="0.2">
      <c r="A2658" s="666" t="s">
        <v>565</v>
      </c>
      <c r="B2658" s="665" t="s">
        <v>13</v>
      </c>
      <c r="C2658" s="664">
        <v>51.62</v>
      </c>
      <c r="D2658" s="12"/>
    </row>
    <row r="2659" spans="1:6" x14ac:dyDescent="0.2">
      <c r="A2659" s="662" t="s">
        <v>584</v>
      </c>
      <c r="B2659" s="661"/>
      <c r="C2659" s="660"/>
      <c r="D2659" s="12"/>
    </row>
    <row r="2660" spans="1:6" x14ac:dyDescent="0.2">
      <c r="A2660" s="659" t="s">
        <v>583</v>
      </c>
      <c r="B2660" s="658" t="s">
        <v>3</v>
      </c>
      <c r="C2660" s="657">
        <v>19.68</v>
      </c>
      <c r="D2660" s="12"/>
    </row>
    <row r="2661" spans="1:6" x14ac:dyDescent="0.2">
      <c r="A2661" s="662" t="s">
        <v>550</v>
      </c>
      <c r="B2661" s="661"/>
      <c r="C2661" s="660"/>
      <c r="D2661" s="12"/>
    </row>
    <row r="2662" spans="1:6" x14ac:dyDescent="0.2">
      <c r="A2662" s="666" t="s">
        <v>549</v>
      </c>
      <c r="B2662" s="665" t="s">
        <v>13</v>
      </c>
      <c r="C2662" s="664">
        <v>270.08999999999997</v>
      </c>
      <c r="D2662" s="12"/>
    </row>
    <row r="2663" spans="1:6" x14ac:dyDescent="0.2">
      <c r="A2663" s="662" t="s">
        <v>273</v>
      </c>
      <c r="B2663" s="661"/>
      <c r="C2663" s="660"/>
      <c r="D2663" s="12"/>
    </row>
    <row r="2664" spans="1:6" x14ac:dyDescent="0.2">
      <c r="A2664" s="659" t="s">
        <v>564</v>
      </c>
      <c r="B2664" s="658" t="s">
        <v>13</v>
      </c>
      <c r="C2664" s="657">
        <v>51.62</v>
      </c>
      <c r="D2664" s="12"/>
    </row>
    <row r="2665" spans="1:6" x14ac:dyDescent="0.2">
      <c r="A2665" s="666" t="s">
        <v>548</v>
      </c>
      <c r="B2665" s="665" t="s">
        <v>13</v>
      </c>
      <c r="C2665" s="664">
        <v>218.47</v>
      </c>
      <c r="D2665" s="12"/>
    </row>
    <row r="2666" spans="1:6" x14ac:dyDescent="0.2">
      <c r="A2666" s="669" t="s">
        <v>582</v>
      </c>
      <c r="B2666" s="668"/>
      <c r="C2666" s="667"/>
      <c r="D2666" s="12"/>
      <c r="E2666" s="1362" t="s">
        <v>404</v>
      </c>
      <c r="F2666" s="1363"/>
    </row>
    <row r="2667" spans="1:6" x14ac:dyDescent="0.2">
      <c r="A2667" s="662" t="s">
        <v>208</v>
      </c>
      <c r="B2667" s="661"/>
      <c r="C2667" s="660"/>
      <c r="D2667" s="12"/>
      <c r="E2667" s="663" t="s">
        <v>208</v>
      </c>
    </row>
    <row r="2668" spans="1:6" x14ac:dyDescent="0.2">
      <c r="A2668" s="659" t="s">
        <v>581</v>
      </c>
      <c r="B2668" s="658" t="s">
        <v>13</v>
      </c>
      <c r="C2668" s="673">
        <v>24.44</v>
      </c>
      <c r="D2668" s="12"/>
      <c r="E2668" s="671" t="str">
        <f>A2700</f>
        <v>BLOCO CERAMICO, 11,5 cm</v>
      </c>
      <c r="F2668" s="26">
        <f>C2700</f>
        <v>3.45</v>
      </c>
    </row>
    <row r="2669" spans="1:6" x14ac:dyDescent="0.2">
      <c r="A2669" s="662" t="s">
        <v>561</v>
      </c>
      <c r="B2669" s="661"/>
      <c r="C2669" s="660"/>
      <c r="D2669" s="12"/>
      <c r="E2669" s="672" t="str">
        <f>A2668</f>
        <v>BLOCO CERAMICO, 14 cm</v>
      </c>
      <c r="F2669" s="26">
        <f>C2668</f>
        <v>24.44</v>
      </c>
    </row>
    <row r="2670" spans="1:6" x14ac:dyDescent="0.2">
      <c r="A2670" s="666" t="s">
        <v>580</v>
      </c>
      <c r="B2670" s="665" t="s">
        <v>3</v>
      </c>
      <c r="C2670" s="673">
        <v>13.76</v>
      </c>
      <c r="D2670" s="12"/>
      <c r="E2670" s="663" t="s">
        <v>561</v>
      </c>
    </row>
    <row r="2671" spans="1:6" x14ac:dyDescent="0.2">
      <c r="A2671" s="659" t="s">
        <v>560</v>
      </c>
      <c r="B2671" s="658" t="s">
        <v>13</v>
      </c>
      <c r="C2671" s="673">
        <v>13</v>
      </c>
      <c r="D2671" s="12"/>
      <c r="E2671" s="672" t="s">
        <v>580</v>
      </c>
      <c r="F2671" s="26">
        <f>C2670</f>
        <v>13.76</v>
      </c>
    </row>
    <row r="2672" spans="1:6" x14ac:dyDescent="0.2">
      <c r="A2672" s="662" t="s">
        <v>212</v>
      </c>
      <c r="B2672" s="661"/>
      <c r="C2672" s="660"/>
      <c r="D2672" s="12"/>
      <c r="E2672" s="672" t="s">
        <v>560</v>
      </c>
      <c r="F2672" s="26">
        <f>C2671+C2702</f>
        <v>15</v>
      </c>
    </row>
    <row r="2673" spans="1:6" x14ac:dyDescent="0.2">
      <c r="A2673" s="666" t="s">
        <v>579</v>
      </c>
      <c r="B2673" s="665" t="s">
        <v>13</v>
      </c>
      <c r="C2673" s="673">
        <v>38.799999999999997</v>
      </c>
      <c r="D2673" s="12"/>
      <c r="E2673" s="672" t="s">
        <v>559</v>
      </c>
      <c r="F2673" s="26">
        <f>C2703</f>
        <v>12.88</v>
      </c>
    </row>
    <row r="2674" spans="1:6" x14ac:dyDescent="0.2">
      <c r="A2674" s="662" t="s">
        <v>557</v>
      </c>
      <c r="B2674" s="661"/>
      <c r="C2674" s="660"/>
      <c r="D2674" s="12"/>
      <c r="E2674" s="663" t="s">
        <v>212</v>
      </c>
    </row>
    <row r="2675" spans="1:6" x14ac:dyDescent="0.2">
      <c r="A2675" s="659" t="s">
        <v>578</v>
      </c>
      <c r="B2675" s="658" t="s">
        <v>13</v>
      </c>
      <c r="C2675" s="673">
        <v>69.17</v>
      </c>
      <c r="D2675" s="12"/>
      <c r="E2675" s="672" t="s">
        <v>579</v>
      </c>
      <c r="F2675" s="26">
        <f>C2673</f>
        <v>38.799999999999997</v>
      </c>
    </row>
    <row r="2676" spans="1:6" x14ac:dyDescent="0.2">
      <c r="A2676" s="666" t="s">
        <v>577</v>
      </c>
      <c r="B2676" s="665" t="s">
        <v>13</v>
      </c>
      <c r="C2676" s="673">
        <v>38.799999999999997</v>
      </c>
      <c r="D2676" s="12"/>
      <c r="E2676" s="672" t="s">
        <v>558</v>
      </c>
      <c r="F2676" s="26">
        <f>C2705</f>
        <v>64.430000000000007</v>
      </c>
    </row>
    <row r="2677" spans="1:6" x14ac:dyDescent="0.2">
      <c r="A2677" s="662" t="s">
        <v>576</v>
      </c>
      <c r="B2677" s="661"/>
      <c r="C2677" s="660"/>
      <c r="D2677" s="12"/>
      <c r="E2677" s="663" t="s">
        <v>557</v>
      </c>
    </row>
    <row r="2678" spans="1:6" x14ac:dyDescent="0.2">
      <c r="A2678" s="659" t="s">
        <v>575</v>
      </c>
      <c r="B2678" s="658" t="s">
        <v>13</v>
      </c>
      <c r="C2678" s="673">
        <v>26.32</v>
      </c>
      <c r="D2678" s="12"/>
      <c r="E2678" s="672" t="str">
        <f>A2675</f>
        <v>IMPERMEABILIZAÇAO EM RESERVATORIOS</v>
      </c>
      <c r="F2678" s="26">
        <f>C2675+C2676</f>
        <v>107.97</v>
      </c>
    </row>
    <row r="2679" spans="1:6" x14ac:dyDescent="0.2">
      <c r="A2679" s="666" t="s">
        <v>574</v>
      </c>
      <c r="B2679" s="665" t="s">
        <v>13</v>
      </c>
      <c r="C2679" s="673">
        <v>19.03</v>
      </c>
      <c r="D2679" s="12"/>
      <c r="E2679" s="672" t="str">
        <f>A2707</f>
        <v xml:space="preserve">IMPERMEABILIZAÇAO EM TAMPA DE RESERVATÓRIOS // </v>
      </c>
      <c r="F2679" s="26">
        <f>C2707</f>
        <v>64.430000000000007</v>
      </c>
    </row>
    <row r="2680" spans="1:6" x14ac:dyDescent="0.2">
      <c r="A2680" s="662" t="s">
        <v>573</v>
      </c>
      <c r="B2680" s="661"/>
      <c r="C2680" s="660"/>
      <c r="D2680" s="12"/>
      <c r="E2680" s="662" t="s">
        <v>220</v>
      </c>
    </row>
    <row r="2681" spans="1:6" x14ac:dyDescent="0.2">
      <c r="A2681" s="659" t="s">
        <v>572</v>
      </c>
      <c r="B2681" s="658" t="s">
        <v>13</v>
      </c>
      <c r="C2681" s="673">
        <v>45.35</v>
      </c>
      <c r="D2681" s="12"/>
      <c r="E2681" s="672" t="s">
        <v>555</v>
      </c>
      <c r="F2681" s="26">
        <f>C2709</f>
        <v>9.68</v>
      </c>
    </row>
    <row r="2682" spans="1:6" x14ac:dyDescent="0.2">
      <c r="A2682" s="662" t="s">
        <v>224</v>
      </c>
      <c r="B2682" s="661"/>
      <c r="C2682" s="660"/>
      <c r="D2682" s="12"/>
      <c r="E2682" s="662" t="s">
        <v>576</v>
      </c>
    </row>
    <row r="2683" spans="1:6" x14ac:dyDescent="0.2">
      <c r="A2683" s="666" t="s">
        <v>571</v>
      </c>
      <c r="B2683" s="665" t="s">
        <v>13</v>
      </c>
      <c r="C2683" s="673">
        <v>71.47</v>
      </c>
      <c r="D2683" s="12"/>
      <c r="E2683" s="672" t="s">
        <v>575</v>
      </c>
      <c r="F2683" s="674">
        <f>C2678</f>
        <v>26.32</v>
      </c>
    </row>
    <row r="2684" spans="1:6" x14ac:dyDescent="0.2">
      <c r="A2684" s="662" t="s">
        <v>218</v>
      </c>
      <c r="B2684" s="661"/>
      <c r="C2684" s="660"/>
      <c r="D2684" s="12"/>
      <c r="E2684" s="672" t="s">
        <v>574</v>
      </c>
      <c r="F2684" s="674">
        <f>C2679</f>
        <v>19.03</v>
      </c>
    </row>
    <row r="2685" spans="1:6" x14ac:dyDescent="0.2">
      <c r="A2685" s="659" t="s">
        <v>570</v>
      </c>
      <c r="B2685" s="658" t="s">
        <v>13</v>
      </c>
      <c r="C2685" s="673">
        <v>47.95</v>
      </c>
      <c r="D2685" s="12"/>
      <c r="E2685" s="663" t="s">
        <v>573</v>
      </c>
    </row>
    <row r="2686" spans="1:6" x14ac:dyDescent="0.2">
      <c r="A2686" s="662" t="s">
        <v>569</v>
      </c>
      <c r="B2686" s="661"/>
      <c r="C2686" s="660"/>
      <c r="D2686" s="12"/>
      <c r="E2686" s="672" t="s">
        <v>572</v>
      </c>
      <c r="F2686" s="26">
        <f>C2681</f>
        <v>45.35</v>
      </c>
    </row>
    <row r="2687" spans="1:6" x14ac:dyDescent="0.2">
      <c r="A2687" s="666" t="s">
        <v>568</v>
      </c>
      <c r="B2687" s="665" t="s">
        <v>13</v>
      </c>
      <c r="C2687" s="673">
        <v>45.35</v>
      </c>
      <c r="D2687" s="12"/>
      <c r="E2687" s="663" t="s">
        <v>224</v>
      </c>
    </row>
    <row r="2688" spans="1:6" x14ac:dyDescent="0.2">
      <c r="A2688" s="662" t="s">
        <v>567</v>
      </c>
      <c r="B2688" s="661"/>
      <c r="C2688" s="660"/>
      <c r="D2688" s="12"/>
      <c r="E2688" s="672" t="s">
        <v>571</v>
      </c>
      <c r="F2688" s="26">
        <f>C2683</f>
        <v>71.47</v>
      </c>
    </row>
    <row r="2689" spans="1:6" x14ac:dyDescent="0.2">
      <c r="A2689" s="659" t="s">
        <v>566</v>
      </c>
      <c r="B2689" s="658" t="s">
        <v>13</v>
      </c>
      <c r="C2689" s="673">
        <v>47.95</v>
      </c>
      <c r="D2689" s="12"/>
      <c r="E2689" s="663" t="s">
        <v>218</v>
      </c>
    </row>
    <row r="2690" spans="1:6" x14ac:dyDescent="0.2">
      <c r="A2690" s="662" t="s">
        <v>552</v>
      </c>
      <c r="B2690" s="661"/>
      <c r="C2690" s="660"/>
      <c r="D2690" s="12"/>
      <c r="E2690" s="672" t="s">
        <v>570</v>
      </c>
      <c r="F2690" s="26">
        <f>C2685</f>
        <v>47.95</v>
      </c>
    </row>
    <row r="2691" spans="1:6" x14ac:dyDescent="0.2">
      <c r="A2691" s="666" t="s">
        <v>551</v>
      </c>
      <c r="B2691" s="665" t="s">
        <v>13</v>
      </c>
      <c r="C2691" s="673">
        <v>22.25</v>
      </c>
      <c r="D2691" s="12"/>
      <c r="E2691" s="663" t="s">
        <v>569</v>
      </c>
    </row>
    <row r="2692" spans="1:6" x14ac:dyDescent="0.2">
      <c r="A2692" s="659" t="s">
        <v>565</v>
      </c>
      <c r="B2692" s="658" t="s">
        <v>13</v>
      </c>
      <c r="C2692" s="673">
        <v>48.84</v>
      </c>
      <c r="D2692" s="12"/>
      <c r="E2692" s="672" t="s">
        <v>568</v>
      </c>
      <c r="F2692" s="26">
        <f>C2687</f>
        <v>45.35</v>
      </c>
    </row>
    <row r="2693" spans="1:6" x14ac:dyDescent="0.2">
      <c r="A2693" s="662" t="s">
        <v>550</v>
      </c>
      <c r="B2693" s="661"/>
      <c r="C2693" s="660"/>
      <c r="D2693" s="12"/>
      <c r="E2693" s="663" t="s">
        <v>567</v>
      </c>
    </row>
    <row r="2694" spans="1:6" x14ac:dyDescent="0.2">
      <c r="A2694" s="666" t="s">
        <v>549</v>
      </c>
      <c r="B2694" s="665" t="s">
        <v>13</v>
      </c>
      <c r="C2694" s="673">
        <v>71.09</v>
      </c>
      <c r="D2694" s="12"/>
      <c r="E2694" s="672" t="s">
        <v>566</v>
      </c>
      <c r="F2694" s="26">
        <f>C2689</f>
        <v>47.95</v>
      </c>
    </row>
    <row r="2695" spans="1:6" x14ac:dyDescent="0.2">
      <c r="A2695" s="662" t="s">
        <v>273</v>
      </c>
      <c r="B2695" s="661"/>
      <c r="C2695" s="660"/>
      <c r="D2695" s="12"/>
      <c r="E2695" s="663" t="s">
        <v>235</v>
      </c>
    </row>
    <row r="2696" spans="1:6" x14ac:dyDescent="0.2">
      <c r="A2696" s="659" t="s">
        <v>564</v>
      </c>
      <c r="B2696" s="658" t="s">
        <v>13</v>
      </c>
      <c r="C2696" s="657">
        <v>48.84</v>
      </c>
      <c r="D2696" s="12"/>
      <c r="E2696" s="672" t="s">
        <v>554</v>
      </c>
      <c r="F2696" s="26">
        <f>C2711</f>
        <v>13.96</v>
      </c>
    </row>
    <row r="2697" spans="1:6" x14ac:dyDescent="0.2">
      <c r="A2697" s="666" t="s">
        <v>548</v>
      </c>
      <c r="B2697" s="665" t="s">
        <v>13</v>
      </c>
      <c r="C2697" s="664">
        <v>22.25</v>
      </c>
      <c r="D2697" s="12"/>
      <c r="E2697" s="663" t="s">
        <v>552</v>
      </c>
    </row>
    <row r="2698" spans="1:6" x14ac:dyDescent="0.2">
      <c r="A2698" s="669" t="s">
        <v>563</v>
      </c>
      <c r="B2698" s="668"/>
      <c r="C2698" s="667"/>
      <c r="D2698" s="12"/>
      <c r="E2698" s="672" t="s">
        <v>551</v>
      </c>
      <c r="F2698" s="26">
        <f>C2691+C2715</f>
        <v>26.25</v>
      </c>
    </row>
    <row r="2699" spans="1:6" x14ac:dyDescent="0.2">
      <c r="A2699" s="662" t="s">
        <v>208</v>
      </c>
      <c r="B2699" s="661"/>
      <c r="C2699" s="660"/>
      <c r="D2699" s="12"/>
      <c r="E2699" s="672" t="s">
        <v>565</v>
      </c>
      <c r="F2699" s="26">
        <f>C2692</f>
        <v>48.84</v>
      </c>
    </row>
    <row r="2700" spans="1:6" x14ac:dyDescent="0.2">
      <c r="A2700" s="659" t="s">
        <v>562</v>
      </c>
      <c r="B2700" s="658" t="s">
        <v>13</v>
      </c>
      <c r="C2700" s="673">
        <v>3.45</v>
      </c>
      <c r="D2700" s="12"/>
      <c r="E2700" s="675" t="s">
        <v>550</v>
      </c>
    </row>
    <row r="2701" spans="1:6" x14ac:dyDescent="0.2">
      <c r="A2701" s="662" t="s">
        <v>561</v>
      </c>
      <c r="B2701" s="661"/>
      <c r="C2701" s="660"/>
      <c r="D2701" s="12"/>
      <c r="E2701" s="672" t="s">
        <v>549</v>
      </c>
      <c r="F2701" s="26">
        <f>C2694+C2717</f>
        <v>75.09</v>
      </c>
    </row>
    <row r="2702" spans="1:6" x14ac:dyDescent="0.2">
      <c r="A2702" s="666" t="s">
        <v>560</v>
      </c>
      <c r="B2702" s="665" t="s">
        <v>13</v>
      </c>
      <c r="C2702" s="673">
        <v>2</v>
      </c>
      <c r="D2702" s="12"/>
    </row>
    <row r="2703" spans="1:6" x14ac:dyDescent="0.2">
      <c r="A2703" s="659" t="s">
        <v>559</v>
      </c>
      <c r="B2703" s="658" t="s">
        <v>3</v>
      </c>
      <c r="C2703" s="673">
        <v>12.88</v>
      </c>
      <c r="D2703" s="12"/>
    </row>
    <row r="2704" spans="1:6" x14ac:dyDescent="0.2">
      <c r="A2704" s="662" t="s">
        <v>212</v>
      </c>
      <c r="B2704" s="661"/>
      <c r="C2704" s="660"/>
      <c r="D2704" s="12"/>
    </row>
    <row r="2705" spans="1:4" x14ac:dyDescent="0.2">
      <c r="A2705" s="666" t="s">
        <v>558</v>
      </c>
      <c r="B2705" s="665" t="s">
        <v>13</v>
      </c>
      <c r="C2705" s="673">
        <v>64.430000000000007</v>
      </c>
      <c r="D2705" s="12"/>
    </row>
    <row r="2706" spans="1:4" x14ac:dyDescent="0.2">
      <c r="A2706" s="662" t="s">
        <v>557</v>
      </c>
      <c r="B2706" s="661"/>
      <c r="C2706" s="660"/>
      <c r="D2706" s="12"/>
    </row>
    <row r="2707" spans="1:4" x14ac:dyDescent="0.2">
      <c r="A2707" s="659" t="s">
        <v>556</v>
      </c>
      <c r="B2707" s="658" t="s">
        <v>13</v>
      </c>
      <c r="C2707" s="673">
        <v>64.430000000000007</v>
      </c>
      <c r="D2707" s="12"/>
    </row>
    <row r="2708" spans="1:4" x14ac:dyDescent="0.2">
      <c r="A2708" s="662" t="s">
        <v>220</v>
      </c>
      <c r="B2708" s="661"/>
      <c r="C2708" s="660"/>
      <c r="D2708" s="12"/>
    </row>
    <row r="2709" spans="1:4" x14ac:dyDescent="0.2">
      <c r="A2709" s="666" t="s">
        <v>555</v>
      </c>
      <c r="B2709" s="665" t="s">
        <v>13</v>
      </c>
      <c r="C2709" s="673">
        <v>9.68</v>
      </c>
      <c r="D2709" s="12"/>
    </row>
    <row r="2710" spans="1:4" x14ac:dyDescent="0.2">
      <c r="A2710" s="662" t="s">
        <v>235</v>
      </c>
      <c r="B2710" s="661"/>
      <c r="C2710" s="660"/>
      <c r="D2710" s="12"/>
    </row>
    <row r="2711" spans="1:4" x14ac:dyDescent="0.2">
      <c r="A2711" s="659" t="s">
        <v>554</v>
      </c>
      <c r="B2711" s="658" t="s">
        <v>3</v>
      </c>
      <c r="C2711" s="673">
        <v>13.96</v>
      </c>
      <c r="D2711" s="12"/>
    </row>
    <row r="2712" spans="1:4" x14ac:dyDescent="0.2">
      <c r="A2712" s="662" t="s">
        <v>236</v>
      </c>
      <c r="B2712" s="661"/>
      <c r="C2712" s="660"/>
      <c r="D2712" s="12"/>
    </row>
    <row r="2713" spans="1:4" x14ac:dyDescent="0.2">
      <c r="A2713" s="666" t="s">
        <v>553</v>
      </c>
      <c r="B2713" s="665" t="s">
        <v>13</v>
      </c>
      <c r="C2713" s="664">
        <v>5.65</v>
      </c>
      <c r="D2713" s="12"/>
    </row>
    <row r="2714" spans="1:4" x14ac:dyDescent="0.2">
      <c r="A2714" s="662" t="s">
        <v>552</v>
      </c>
      <c r="B2714" s="661"/>
      <c r="C2714" s="660"/>
      <c r="D2714" s="12"/>
    </row>
    <row r="2715" spans="1:4" x14ac:dyDescent="0.2">
      <c r="A2715" s="659" t="s">
        <v>551</v>
      </c>
      <c r="B2715" s="658" t="s">
        <v>13</v>
      </c>
      <c r="C2715" s="673">
        <v>4</v>
      </c>
      <c r="D2715" s="12"/>
    </row>
    <row r="2716" spans="1:4" x14ac:dyDescent="0.2">
      <c r="A2716" s="662" t="s">
        <v>550</v>
      </c>
      <c r="B2716" s="661"/>
      <c r="C2716" s="660"/>
      <c r="D2716" s="12"/>
    </row>
    <row r="2717" spans="1:4" x14ac:dyDescent="0.2">
      <c r="A2717" s="666" t="s">
        <v>549</v>
      </c>
      <c r="B2717" s="665" t="s">
        <v>13</v>
      </c>
      <c r="C2717" s="673">
        <v>4</v>
      </c>
      <c r="D2717" s="12"/>
    </row>
    <row r="2718" spans="1:4" x14ac:dyDescent="0.2">
      <c r="A2718" s="662" t="s">
        <v>273</v>
      </c>
      <c r="B2718" s="661"/>
      <c r="C2718" s="660"/>
      <c r="D2718" s="12"/>
    </row>
    <row r="2719" spans="1:4" x14ac:dyDescent="0.2">
      <c r="A2719" s="659" t="s">
        <v>548</v>
      </c>
      <c r="B2719" s="658" t="s">
        <v>13</v>
      </c>
      <c r="C2719" s="657">
        <v>4</v>
      </c>
      <c r="D2719" s="12"/>
    </row>
  </sheetData>
  <mergeCells count="5">
    <mergeCell ref="E2666:F2666"/>
    <mergeCell ref="A2:A3"/>
    <mergeCell ref="B2:B3"/>
    <mergeCell ref="C2:C3"/>
    <mergeCell ref="A1:C1"/>
  </mergeCells>
  <conditionalFormatting sqref="A1:A1048576">
    <cfRule type="cellIs" dxfId="7569" priority="1" operator="equal">
      <formula>$A$12</formula>
    </cfRule>
  </conditionalFormatting>
  <pageMargins left="0.78749999999999998" right="0.78749999999999998" top="1.05277777777778" bottom="1.05277777777778" header="0.78749999999999998" footer="0.78749999999999998"/>
  <pageSetup paperSize="9" scale="53" orientation="landscape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851D6"/>
    <pageSetUpPr fitToPage="1"/>
  </sheetPr>
  <dimension ref="A1:AE114"/>
  <sheetViews>
    <sheetView showGridLines="0" topLeftCell="B1" zoomScale="85" zoomScaleNormal="85" zoomScalePageLayoutView="55" workbookViewId="0">
      <selection activeCell="B14" activeCellId="1" sqref="B10:B11 B14"/>
    </sheetView>
  </sheetViews>
  <sheetFormatPr defaultColWidth="11.5703125" defaultRowHeight="12.75" x14ac:dyDescent="0.2"/>
  <cols>
    <col min="1" max="1" width="51.140625" style="12" customWidth="1"/>
    <col min="2" max="2" width="51.85546875" style="683" bestFit="1" customWidth="1"/>
    <col min="3" max="3" width="48.28515625" style="689" customWidth="1"/>
    <col min="5" max="5" width="14.140625" style="12" customWidth="1"/>
    <col min="6" max="6" width="72.85546875" style="12" bestFit="1" customWidth="1"/>
    <col min="7" max="7" width="9.7109375" style="12" bestFit="1" customWidth="1"/>
    <col min="8" max="8" width="8.85546875" style="12" bestFit="1" customWidth="1"/>
    <col min="9" max="9" width="21" style="12" customWidth="1"/>
    <col min="10" max="16384" width="11.5703125" style="12"/>
  </cols>
  <sheetData>
    <row r="1" spans="1:24" s="550" customFormat="1" ht="15" x14ac:dyDescent="0.25">
      <c r="A1" s="343"/>
      <c r="B1" s="362" t="s">
        <v>172</v>
      </c>
      <c r="C1" s="339" t="str">
        <f>ORÇAMENTO!I4</f>
        <v>SENSE106</v>
      </c>
      <c r="D1" s="339"/>
      <c r="E1" s="338"/>
      <c r="F1" s="338"/>
      <c r="G1" s="338"/>
      <c r="H1" s="338"/>
      <c r="I1" s="538"/>
      <c r="J1" s="549"/>
      <c r="K1" s="549"/>
      <c r="L1" s="549"/>
    </row>
    <row r="2" spans="1:24" s="550" customFormat="1" ht="15" x14ac:dyDescent="0.25">
      <c r="A2" s="397"/>
      <c r="B2" s="362" t="s">
        <v>173</v>
      </c>
      <c r="C2" s="363" t="str">
        <f>ORÇAMENTO!I5</f>
        <v>HOLZE EMPREENDIMENTOS</v>
      </c>
      <c r="D2" s="541"/>
      <c r="E2" s="339"/>
      <c r="F2" s="339"/>
      <c r="G2" s="339"/>
      <c r="H2" s="339"/>
      <c r="I2" s="540"/>
      <c r="J2" s="551"/>
      <c r="K2" s="551"/>
      <c r="L2" s="551"/>
      <c r="M2" s="551"/>
      <c r="N2" s="551"/>
      <c r="O2" s="551"/>
      <c r="P2" s="551"/>
      <c r="Q2" s="551"/>
      <c r="R2" s="551"/>
      <c r="S2" s="551"/>
      <c r="T2" s="551"/>
      <c r="U2" s="551"/>
      <c r="V2" s="551"/>
      <c r="W2" s="551"/>
      <c r="X2" s="551"/>
    </row>
    <row r="3" spans="1:24" s="550" customFormat="1" ht="15" x14ac:dyDescent="0.25">
      <c r="A3" s="397"/>
      <c r="B3" s="362" t="s">
        <v>190</v>
      </c>
      <c r="C3" s="541">
        <f>ORÇAMENTO!P5</f>
        <v>45608</v>
      </c>
      <c r="D3" s="541"/>
      <c r="E3" s="339"/>
      <c r="F3" s="339"/>
      <c r="G3" s="339"/>
      <c r="H3" s="339"/>
      <c r="I3" s="540"/>
      <c r="J3" s="551"/>
      <c r="K3" s="551"/>
      <c r="L3" s="551"/>
      <c r="M3" s="551"/>
      <c r="N3" s="551"/>
      <c r="O3" s="551"/>
      <c r="P3" s="551"/>
      <c r="Q3" s="551"/>
      <c r="R3" s="551"/>
      <c r="S3" s="551"/>
      <c r="T3" s="551"/>
      <c r="U3" s="551"/>
      <c r="V3" s="551"/>
      <c r="W3" s="551"/>
      <c r="X3" s="551"/>
    </row>
    <row r="4" spans="1:24" s="550" customFormat="1" ht="15" x14ac:dyDescent="0.25">
      <c r="A4" s="344"/>
      <c r="B4" s="362" t="s">
        <v>174</v>
      </c>
      <c r="C4" s="633" t="str">
        <f>ORÇAMENTO!O5</f>
        <v>R01 - Edileni Silva</v>
      </c>
      <c r="D4" s="339"/>
      <c r="E4" s="339"/>
      <c r="F4" s="339"/>
      <c r="G4" s="339"/>
      <c r="H4" s="339"/>
      <c r="I4" s="539"/>
      <c r="J4" s="552"/>
      <c r="K4" s="552"/>
      <c r="L4" s="552"/>
    </row>
    <row r="5" spans="1:24" s="549" customFormat="1" ht="19.5" thickBot="1" x14ac:dyDescent="0.25">
      <c r="A5" s="1366" t="s">
        <v>1538</v>
      </c>
      <c r="B5" s="1366"/>
      <c r="C5" s="1366"/>
      <c r="D5" s="1366"/>
      <c r="E5" s="1366"/>
      <c r="F5" s="1366"/>
      <c r="G5" s="1366"/>
      <c r="H5" s="1366"/>
      <c r="I5" s="1366"/>
    </row>
    <row r="6" spans="1:24" x14ac:dyDescent="0.2">
      <c r="B6" s="12"/>
      <c r="C6" s="12"/>
      <c r="D6" s="12"/>
    </row>
    <row r="7" spans="1:24" x14ac:dyDescent="0.2">
      <c r="B7" s="1364" t="s">
        <v>0</v>
      </c>
      <c r="C7" s="1368" t="s">
        <v>889</v>
      </c>
      <c r="D7" s="1367" t="s">
        <v>93</v>
      </c>
      <c r="F7" s="691" t="s">
        <v>891</v>
      </c>
    </row>
    <row r="8" spans="1:24" x14ac:dyDescent="0.2">
      <c r="B8" s="1364"/>
      <c r="C8" s="1369"/>
      <c r="D8" s="1367"/>
      <c r="F8" s="690" t="s">
        <v>603</v>
      </c>
      <c r="G8" s="690">
        <f ca="1">SUMIF($B$9:$D$89,F8,$D$9:$D$89)</f>
        <v>300.06999999999994</v>
      </c>
      <c r="H8" s="12" t="s">
        <v>13</v>
      </c>
    </row>
    <row r="9" spans="1:24" x14ac:dyDescent="0.2">
      <c r="B9" s="883" t="s">
        <v>1528</v>
      </c>
      <c r="C9" s="679"/>
      <c r="D9" s="684"/>
      <c r="F9" s="690" t="s">
        <v>652</v>
      </c>
      <c r="G9" s="690">
        <f t="shared" ref="G9:G27" ca="1" si="0">SUMIF($B$9:$D$89,F9,$D$9:$D$89)</f>
        <v>1152.3200000000002</v>
      </c>
      <c r="H9" s="12" t="s">
        <v>13</v>
      </c>
    </row>
    <row r="10" spans="1:24" x14ac:dyDescent="0.2">
      <c r="B10" s="884" t="s">
        <v>1529</v>
      </c>
      <c r="C10" s="843" t="s">
        <v>1530</v>
      </c>
      <c r="D10" s="687">
        <f>2.8*4.7*2-0.6*0.6+2.3*2.8*2+2.3*4.7*2</f>
        <v>60.46</v>
      </c>
      <c r="F10" s="690" t="s">
        <v>766</v>
      </c>
      <c r="G10" s="690">
        <f t="shared" ca="1" si="0"/>
        <v>68.7</v>
      </c>
      <c r="H10" s="12" t="s">
        <v>13</v>
      </c>
    </row>
    <row r="11" spans="1:24" x14ac:dyDescent="0.2">
      <c r="B11" s="844" t="s">
        <v>1531</v>
      </c>
      <c r="C11" s="845" t="s">
        <v>1532</v>
      </c>
      <c r="D11" s="686">
        <f>51.7827*2+53.4477*1.7+5.6375*2+7.55*2.05+2.05*0.35</f>
        <v>221.89649</v>
      </c>
      <c r="F11" s="690" t="s">
        <v>712</v>
      </c>
      <c r="G11" s="690">
        <f t="shared" ca="1" si="0"/>
        <v>120.03999999999999</v>
      </c>
      <c r="H11" s="12" t="s">
        <v>13</v>
      </c>
    </row>
    <row r="12" spans="1:24" x14ac:dyDescent="0.2">
      <c r="B12" s="884" t="s">
        <v>1533</v>
      </c>
      <c r="C12" s="843" t="s">
        <v>1534</v>
      </c>
      <c r="D12" s="687">
        <f>E93+E94+E95+E96</f>
        <v>70.685834705770347</v>
      </c>
      <c r="F12" s="690" t="s">
        <v>764</v>
      </c>
      <c r="G12" s="690">
        <f t="shared" ca="1" si="0"/>
        <v>100.92999999999999</v>
      </c>
      <c r="H12" s="12" t="s">
        <v>13</v>
      </c>
    </row>
    <row r="13" spans="1:24" x14ac:dyDescent="0.2">
      <c r="B13" s="844" t="s">
        <v>1535</v>
      </c>
      <c r="C13" s="845" t="s">
        <v>1534</v>
      </c>
      <c r="D13" s="686">
        <f>E97</f>
        <v>31.573006168577422</v>
      </c>
      <c r="F13" s="690" t="s">
        <v>601</v>
      </c>
      <c r="G13" s="690">
        <f t="shared" ca="1" si="0"/>
        <v>582.05000000000007</v>
      </c>
      <c r="H13" s="12" t="s">
        <v>13</v>
      </c>
    </row>
    <row r="14" spans="1:24" x14ac:dyDescent="0.2">
      <c r="B14" s="885" t="s">
        <v>1536</v>
      </c>
      <c r="C14" s="886" t="s">
        <v>1537</v>
      </c>
      <c r="D14" s="887">
        <f>E99</f>
        <v>14.137166941154069</v>
      </c>
      <c r="F14" s="690" t="s">
        <v>762</v>
      </c>
      <c r="G14" s="690">
        <f t="shared" ca="1" si="0"/>
        <v>353.36</v>
      </c>
      <c r="H14" s="12" t="s">
        <v>13</v>
      </c>
    </row>
    <row r="15" spans="1:24" x14ac:dyDescent="0.2">
      <c r="B15" s="669" t="s">
        <v>767</v>
      </c>
      <c r="C15" s="679"/>
      <c r="D15" s="684"/>
      <c r="F15" s="690" t="s">
        <v>646</v>
      </c>
      <c r="G15" s="690">
        <f t="shared" ca="1" si="0"/>
        <v>250.3</v>
      </c>
      <c r="H15" s="12" t="s">
        <v>13</v>
      </c>
    </row>
    <row r="16" spans="1:24" x14ac:dyDescent="0.2">
      <c r="B16" s="662" t="s">
        <v>212</v>
      </c>
      <c r="C16" s="680"/>
      <c r="D16" s="685"/>
      <c r="F16" s="690" t="s">
        <v>696</v>
      </c>
      <c r="G16" s="690">
        <f t="shared" ca="1" si="0"/>
        <v>131.51</v>
      </c>
      <c r="H16" s="12" t="s">
        <v>13</v>
      </c>
    </row>
    <row r="17" spans="2:8" x14ac:dyDescent="0.2">
      <c r="B17" s="659" t="s">
        <v>579</v>
      </c>
      <c r="C17" s="681"/>
      <c r="D17" s="686">
        <v>23.42</v>
      </c>
      <c r="F17" s="690" t="s">
        <v>654</v>
      </c>
      <c r="G17" s="690">
        <f t="shared" ca="1" si="0"/>
        <v>381.59999999999997</v>
      </c>
      <c r="H17" s="12" t="s">
        <v>13</v>
      </c>
    </row>
    <row r="18" spans="2:8" x14ac:dyDescent="0.2">
      <c r="B18" s="666" t="s">
        <v>558</v>
      </c>
      <c r="C18" s="682"/>
      <c r="D18" s="687">
        <v>17.98</v>
      </c>
      <c r="F18" s="690" t="s">
        <v>650</v>
      </c>
      <c r="G18" s="690">
        <f t="shared" ca="1" si="0"/>
        <v>568.00000000000023</v>
      </c>
      <c r="H18" s="12" t="s">
        <v>13</v>
      </c>
    </row>
    <row r="19" spans="2:8" x14ac:dyDescent="0.2">
      <c r="B19" s="662" t="s">
        <v>557</v>
      </c>
      <c r="C19" s="680"/>
      <c r="D19" s="685"/>
      <c r="F19" s="690" t="s">
        <v>648</v>
      </c>
      <c r="G19" s="690">
        <f t="shared" ca="1" si="0"/>
        <v>351</v>
      </c>
      <c r="H19" s="12" t="s">
        <v>13</v>
      </c>
    </row>
    <row r="20" spans="2:8" ht="14.25" x14ac:dyDescent="0.2">
      <c r="B20" s="666" t="s">
        <v>603</v>
      </c>
      <c r="C20" s="682" t="s">
        <v>885</v>
      </c>
      <c r="D20" s="687">
        <v>34.94</v>
      </c>
      <c r="E20" s="677"/>
      <c r="F20" s="690" t="s">
        <v>578</v>
      </c>
      <c r="G20" s="690">
        <f t="shared" ca="1" si="0"/>
        <v>107.97</v>
      </c>
      <c r="H20" s="12" t="s">
        <v>13</v>
      </c>
    </row>
    <row r="21" spans="2:8" ht="14.25" x14ac:dyDescent="0.2">
      <c r="B21" s="659" t="s">
        <v>603</v>
      </c>
      <c r="C21" s="681" t="s">
        <v>885</v>
      </c>
      <c r="D21" s="686">
        <v>5.39</v>
      </c>
      <c r="E21" s="677"/>
      <c r="F21" s="690" t="s">
        <v>892</v>
      </c>
      <c r="G21" s="690">
        <f t="shared" ca="1" si="0"/>
        <v>64.430000000000007</v>
      </c>
      <c r="H21" s="12" t="s">
        <v>13</v>
      </c>
    </row>
    <row r="22" spans="2:8" ht="14.25" x14ac:dyDescent="0.2">
      <c r="B22" s="666" t="s">
        <v>652</v>
      </c>
      <c r="C22" s="843" t="s">
        <v>1184</v>
      </c>
      <c r="D22" s="687">
        <v>23.48</v>
      </c>
      <c r="E22" s="677"/>
      <c r="F22" s="690" t="s">
        <v>1248</v>
      </c>
      <c r="G22" s="690">
        <f t="shared" ca="1" si="0"/>
        <v>398.3</v>
      </c>
      <c r="H22" s="12" t="s">
        <v>13</v>
      </c>
    </row>
    <row r="23" spans="2:8" ht="14.25" x14ac:dyDescent="0.2">
      <c r="B23" s="659" t="s">
        <v>652</v>
      </c>
      <c r="C23" s="681" t="s">
        <v>1184</v>
      </c>
      <c r="D23" s="686">
        <v>10.92</v>
      </c>
      <c r="E23" s="677"/>
      <c r="F23" s="12" t="s">
        <v>1529</v>
      </c>
      <c r="G23" s="690">
        <f t="shared" ca="1" si="0"/>
        <v>60.46</v>
      </c>
      <c r="H23" s="12" t="s">
        <v>13</v>
      </c>
    </row>
    <row r="24" spans="2:8" ht="14.25" x14ac:dyDescent="0.2">
      <c r="B24" s="666" t="s">
        <v>766</v>
      </c>
      <c r="C24" s="843" t="s">
        <v>1184</v>
      </c>
      <c r="D24" s="687">
        <v>58.79</v>
      </c>
      <c r="E24" s="677"/>
      <c r="F24" s="12" t="s">
        <v>1531</v>
      </c>
      <c r="G24" s="888">
        <f t="shared" ca="1" si="0"/>
        <v>221.89649</v>
      </c>
      <c r="H24" s="12" t="s">
        <v>13</v>
      </c>
    </row>
    <row r="25" spans="2:8" ht="14.25" x14ac:dyDescent="0.2">
      <c r="B25" s="659" t="s">
        <v>766</v>
      </c>
      <c r="C25" s="843" t="s">
        <v>1184</v>
      </c>
      <c r="D25" s="686">
        <v>9.91</v>
      </c>
      <c r="E25" s="677"/>
      <c r="F25" s="12" t="s">
        <v>1533</v>
      </c>
      <c r="G25" s="888">
        <f t="shared" ca="1" si="0"/>
        <v>70.685834705770347</v>
      </c>
      <c r="H25" s="12" t="s">
        <v>13</v>
      </c>
    </row>
    <row r="26" spans="2:8" ht="14.25" x14ac:dyDescent="0.2">
      <c r="B26" s="666" t="s">
        <v>712</v>
      </c>
      <c r="C26" s="682" t="s">
        <v>886</v>
      </c>
      <c r="D26" s="687">
        <v>8.9</v>
      </c>
      <c r="E26" s="677"/>
      <c r="F26" s="12" t="s">
        <v>1535</v>
      </c>
      <c r="G26" s="888">
        <f t="shared" ca="1" si="0"/>
        <v>31.573006168577422</v>
      </c>
      <c r="H26" s="12" t="s">
        <v>13</v>
      </c>
    </row>
    <row r="27" spans="2:8" ht="14.25" x14ac:dyDescent="0.2">
      <c r="B27" s="659" t="s">
        <v>764</v>
      </c>
      <c r="C27" s="843" t="s">
        <v>1184</v>
      </c>
      <c r="D27" s="686">
        <v>93.82</v>
      </c>
      <c r="E27" s="677"/>
      <c r="F27" s="12" t="s">
        <v>1536</v>
      </c>
      <c r="G27" s="888">
        <f t="shared" ca="1" si="0"/>
        <v>14.137166941154069</v>
      </c>
      <c r="H27" s="12" t="s">
        <v>13</v>
      </c>
    </row>
    <row r="28" spans="2:8" ht="14.25" x14ac:dyDescent="0.2">
      <c r="B28" s="666" t="s">
        <v>764</v>
      </c>
      <c r="C28" s="843" t="s">
        <v>1184</v>
      </c>
      <c r="D28" s="687">
        <v>7.11</v>
      </c>
      <c r="E28" s="677"/>
      <c r="G28" s="676">
        <f ca="1">SUM(G8:G27)</f>
        <v>5329.3324978155033</v>
      </c>
    </row>
    <row r="29" spans="2:8" ht="25.5" x14ac:dyDescent="0.2">
      <c r="B29" s="659" t="s">
        <v>601</v>
      </c>
      <c r="C29" s="681" t="s">
        <v>887</v>
      </c>
      <c r="D29" s="686">
        <v>8.06</v>
      </c>
      <c r="E29" s="677"/>
    </row>
    <row r="30" spans="2:8" ht="14.25" x14ac:dyDescent="0.2">
      <c r="B30" s="666" t="s">
        <v>762</v>
      </c>
      <c r="C30" s="682" t="s">
        <v>1154</v>
      </c>
      <c r="D30" s="687">
        <v>353.36</v>
      </c>
      <c r="E30" s="677"/>
    </row>
    <row r="31" spans="2:8" x14ac:dyDescent="0.2">
      <c r="B31" s="844" t="s">
        <v>1248</v>
      </c>
      <c r="C31" s="681" t="s">
        <v>1412</v>
      </c>
      <c r="D31" s="686">
        <v>102.9</v>
      </c>
      <c r="E31" s="12" t="s">
        <v>1413</v>
      </c>
      <c r="F31" s="691" t="s">
        <v>900</v>
      </c>
    </row>
    <row r="32" spans="2:8" x14ac:dyDescent="0.2">
      <c r="B32" s="669" t="s">
        <v>738</v>
      </c>
      <c r="C32" s="679"/>
      <c r="D32" s="684"/>
      <c r="E32" s="855">
        <f>18/150</f>
        <v>0.12</v>
      </c>
      <c r="F32" s="690" t="s">
        <v>885</v>
      </c>
      <c r="G32" s="690">
        <f ca="1">SUMIF($C$9:$D$89,F32,$D$9:$D$89)</f>
        <v>364.49999999999994</v>
      </c>
      <c r="H32" s="12" t="s">
        <v>13</v>
      </c>
    </row>
    <row r="33" spans="2:8" x14ac:dyDescent="0.2">
      <c r="B33" s="844" t="s">
        <v>1248</v>
      </c>
      <c r="C33" s="681" t="s">
        <v>1412</v>
      </c>
      <c r="D33" s="686">
        <v>74.599999999999994</v>
      </c>
      <c r="E33" s="856">
        <v>18.3</v>
      </c>
      <c r="F33" s="690" t="s">
        <v>886</v>
      </c>
      <c r="G33" s="690">
        <f t="shared" ref="G33:G42" ca="1" si="1">SUMIF($C$9:$D$89,F33,$D$9:$D$89)</f>
        <v>359.52</v>
      </c>
      <c r="H33" s="12" t="s">
        <v>13</v>
      </c>
    </row>
    <row r="34" spans="2:8" x14ac:dyDescent="0.2">
      <c r="B34" s="669" t="s">
        <v>735</v>
      </c>
      <c r="C34" s="679"/>
      <c r="D34" s="684"/>
      <c r="F34" s="690" t="s">
        <v>887</v>
      </c>
      <c r="G34" s="690">
        <f t="shared" ca="1" si="1"/>
        <v>582.05000000000007</v>
      </c>
      <c r="H34" s="12" t="s">
        <v>13</v>
      </c>
    </row>
    <row r="35" spans="2:8" x14ac:dyDescent="0.2">
      <c r="B35" s="844" t="s">
        <v>1248</v>
      </c>
      <c r="C35" s="681" t="s">
        <v>1412</v>
      </c>
      <c r="D35" s="686">
        <v>74.599999999999994</v>
      </c>
      <c r="F35" s="690" t="s">
        <v>986</v>
      </c>
      <c r="G35" s="690">
        <f t="shared" ca="1" si="1"/>
        <v>250.3</v>
      </c>
      <c r="H35" s="12" t="s">
        <v>13</v>
      </c>
    </row>
    <row r="36" spans="2:8" x14ac:dyDescent="0.2">
      <c r="B36" s="669" t="s">
        <v>729</v>
      </c>
      <c r="C36" s="679"/>
      <c r="D36" s="684"/>
      <c r="F36" s="690" t="s">
        <v>1184</v>
      </c>
      <c r="G36" s="690">
        <f t="shared" ca="1" si="1"/>
        <v>2622.55</v>
      </c>
      <c r="H36" s="12" t="s">
        <v>13</v>
      </c>
    </row>
    <row r="37" spans="2:8" x14ac:dyDescent="0.2">
      <c r="B37" s="844" t="s">
        <v>1248</v>
      </c>
      <c r="C37" s="681" t="s">
        <v>1412</v>
      </c>
      <c r="D37" s="686">
        <v>93.25</v>
      </c>
      <c r="F37" s="690" t="s">
        <v>1412</v>
      </c>
      <c r="G37" s="690">
        <f t="shared" ca="1" si="1"/>
        <v>398.3</v>
      </c>
      <c r="H37" s="12" t="s">
        <v>13</v>
      </c>
    </row>
    <row r="38" spans="2:8" x14ac:dyDescent="0.2">
      <c r="B38" s="669" t="s">
        <v>713</v>
      </c>
      <c r="C38" s="679"/>
      <c r="D38" s="684"/>
      <c r="F38" s="12" t="s">
        <v>1530</v>
      </c>
      <c r="G38" s="690">
        <f t="shared" ca="1" si="1"/>
        <v>60.46</v>
      </c>
      <c r="H38" s="12" t="s">
        <v>13</v>
      </c>
    </row>
    <row r="39" spans="2:8" ht="14.25" x14ac:dyDescent="0.2">
      <c r="B39" s="662" t="s">
        <v>212</v>
      </c>
      <c r="C39" s="680"/>
      <c r="D39" s="685"/>
      <c r="E39" s="677"/>
      <c r="F39" s="12" t="s">
        <v>1532</v>
      </c>
      <c r="G39" s="888">
        <f t="shared" ca="1" si="1"/>
        <v>221.89649</v>
      </c>
      <c r="H39" s="12" t="s">
        <v>13</v>
      </c>
    </row>
    <row r="40" spans="2:8" ht="14.25" x14ac:dyDescent="0.2">
      <c r="B40" s="666" t="s">
        <v>579</v>
      </c>
      <c r="C40" s="682"/>
      <c r="D40" s="687">
        <v>6.74</v>
      </c>
      <c r="E40" s="677"/>
      <c r="F40" s="12" t="s">
        <v>1534</v>
      </c>
      <c r="G40" s="888">
        <f t="shared" ca="1" si="1"/>
        <v>102.25884087434777</v>
      </c>
      <c r="H40" s="12" t="s">
        <v>13</v>
      </c>
    </row>
    <row r="41" spans="2:8" ht="14.25" x14ac:dyDescent="0.2">
      <c r="B41" s="659" t="s">
        <v>558</v>
      </c>
      <c r="C41" s="681"/>
      <c r="D41" s="686">
        <v>370.32</v>
      </c>
      <c r="E41" s="677"/>
      <c r="F41" s="12" t="s">
        <v>1537</v>
      </c>
      <c r="G41" s="888">
        <f t="shared" ca="1" si="1"/>
        <v>14.137166941154069</v>
      </c>
      <c r="H41" s="12" t="s">
        <v>13</v>
      </c>
    </row>
    <row r="42" spans="2:8" ht="14.25" x14ac:dyDescent="0.2">
      <c r="B42" s="662" t="s">
        <v>557</v>
      </c>
      <c r="C42" s="680"/>
      <c r="D42" s="685"/>
      <c r="E42" s="677"/>
      <c r="F42" s="12" t="s">
        <v>1154</v>
      </c>
      <c r="G42" s="888">
        <f t="shared" ca="1" si="1"/>
        <v>353.36</v>
      </c>
      <c r="H42" s="12" t="s">
        <v>13</v>
      </c>
    </row>
    <row r="43" spans="2:8" ht="14.25" x14ac:dyDescent="0.2">
      <c r="B43" s="659" t="s">
        <v>652</v>
      </c>
      <c r="C43" s="681" t="s">
        <v>1184</v>
      </c>
      <c r="D43" s="686">
        <v>15.58</v>
      </c>
      <c r="E43" s="677"/>
      <c r="G43" s="676">
        <f ca="1">SUM(G32:G42)</f>
        <v>5329.3324978155015</v>
      </c>
    </row>
    <row r="44" spans="2:8" ht="14.25" x14ac:dyDescent="0.2">
      <c r="B44" s="666" t="s">
        <v>652</v>
      </c>
      <c r="C44" s="682" t="s">
        <v>1184</v>
      </c>
      <c r="D44" s="687">
        <v>6.74</v>
      </c>
      <c r="E44" s="677"/>
      <c r="F44" s="678"/>
    </row>
    <row r="45" spans="2:8" ht="25.5" x14ac:dyDescent="0.2">
      <c r="B45" s="659" t="s">
        <v>646</v>
      </c>
      <c r="C45" s="845" t="s">
        <v>986</v>
      </c>
      <c r="D45" s="686">
        <v>0.2</v>
      </c>
      <c r="E45" s="677"/>
    </row>
    <row r="46" spans="2:8" ht="25.5" x14ac:dyDescent="0.2">
      <c r="B46" s="666" t="s">
        <v>646</v>
      </c>
      <c r="C46" s="682" t="s">
        <v>986</v>
      </c>
      <c r="D46" s="687">
        <v>0.1</v>
      </c>
      <c r="E46" s="677"/>
    </row>
    <row r="47" spans="2:8" ht="14.25" x14ac:dyDescent="0.2">
      <c r="B47" s="659" t="s">
        <v>712</v>
      </c>
      <c r="C47" s="681" t="s">
        <v>886</v>
      </c>
      <c r="D47" s="686">
        <v>60.49</v>
      </c>
      <c r="E47" s="677"/>
    </row>
    <row r="48" spans="2:8" ht="14.25" x14ac:dyDescent="0.2">
      <c r="B48" s="666" t="s">
        <v>712</v>
      </c>
      <c r="C48" s="682" t="s">
        <v>886</v>
      </c>
      <c r="D48" s="687">
        <v>50.65</v>
      </c>
      <c r="E48" s="677"/>
    </row>
    <row r="49" spans="2:5" x14ac:dyDescent="0.2">
      <c r="B49" s="659" t="s">
        <v>696</v>
      </c>
      <c r="C49" s="681" t="s">
        <v>886</v>
      </c>
      <c r="D49" s="686">
        <v>54.01</v>
      </c>
    </row>
    <row r="50" spans="2:5" x14ac:dyDescent="0.2">
      <c r="B50" s="666" t="s">
        <v>696</v>
      </c>
      <c r="C50" s="682" t="s">
        <v>886</v>
      </c>
      <c r="D50" s="687">
        <v>77.5</v>
      </c>
    </row>
    <row r="51" spans="2:5" ht="25.5" x14ac:dyDescent="0.2">
      <c r="B51" s="659" t="s">
        <v>601</v>
      </c>
      <c r="C51" s="681" t="s">
        <v>887</v>
      </c>
      <c r="D51" s="686">
        <v>65.010000000000005</v>
      </c>
    </row>
    <row r="52" spans="2:5" ht="25.5" x14ac:dyDescent="0.2">
      <c r="B52" s="666" t="s">
        <v>601</v>
      </c>
      <c r="C52" s="682" t="s">
        <v>887</v>
      </c>
      <c r="D52" s="687">
        <v>242.16</v>
      </c>
    </row>
    <row r="53" spans="2:5" ht="14.25" x14ac:dyDescent="0.2">
      <c r="B53" s="844" t="s">
        <v>1248</v>
      </c>
      <c r="C53" s="681" t="s">
        <v>1412</v>
      </c>
      <c r="D53" s="686">
        <v>52.95</v>
      </c>
      <c r="E53" s="677"/>
    </row>
    <row r="54" spans="2:5" ht="14.25" x14ac:dyDescent="0.2">
      <c r="B54" s="669" t="s">
        <v>888</v>
      </c>
      <c r="C54" s="679"/>
      <c r="D54" s="684"/>
      <c r="E54" s="677"/>
    </row>
    <row r="55" spans="2:5" ht="14.25" x14ac:dyDescent="0.2">
      <c r="B55" s="662" t="s">
        <v>212</v>
      </c>
      <c r="C55" s="680"/>
      <c r="D55" s="685"/>
      <c r="E55" s="677"/>
    </row>
    <row r="56" spans="2:5" ht="14.25" x14ac:dyDescent="0.2">
      <c r="B56" s="666" t="s">
        <v>579</v>
      </c>
      <c r="C56" s="682"/>
      <c r="D56" s="687">
        <v>875.19999999999993</v>
      </c>
      <c r="E56" s="677"/>
    </row>
    <row r="57" spans="2:5" ht="14.25" x14ac:dyDescent="0.2">
      <c r="B57" s="662" t="s">
        <v>557</v>
      </c>
      <c r="C57" s="680"/>
      <c r="D57" s="685"/>
      <c r="E57" s="677"/>
    </row>
    <row r="58" spans="2:5" ht="14.25" x14ac:dyDescent="0.2">
      <c r="B58" s="659" t="s">
        <v>654</v>
      </c>
      <c r="C58" s="681" t="s">
        <v>1184</v>
      </c>
      <c r="D58" s="686">
        <v>241.99999999999991</v>
      </c>
      <c r="E58" s="677"/>
    </row>
    <row r="59" spans="2:5" ht="14.25" x14ac:dyDescent="0.2">
      <c r="B59" s="666" t="s">
        <v>654</v>
      </c>
      <c r="C59" s="682" t="s">
        <v>1184</v>
      </c>
      <c r="D59" s="687">
        <v>139.60000000000005</v>
      </c>
      <c r="E59" s="677"/>
    </row>
    <row r="60" spans="2:5" ht="14.25" x14ac:dyDescent="0.2">
      <c r="B60" s="659" t="s">
        <v>603</v>
      </c>
      <c r="C60" s="681" t="s">
        <v>885</v>
      </c>
      <c r="D60" s="686">
        <v>66.200000000000017</v>
      </c>
      <c r="E60" s="677"/>
    </row>
    <row r="61" spans="2:5" ht="14.25" x14ac:dyDescent="0.2">
      <c r="B61" s="666" t="s">
        <v>603</v>
      </c>
      <c r="C61" s="682" t="s">
        <v>885</v>
      </c>
      <c r="D61" s="687">
        <v>128.79999999999998</v>
      </c>
      <c r="E61" s="677"/>
    </row>
    <row r="62" spans="2:5" ht="14.25" x14ac:dyDescent="0.2">
      <c r="B62" s="659" t="s">
        <v>652</v>
      </c>
      <c r="C62" s="681" t="s">
        <v>1184</v>
      </c>
      <c r="D62" s="686">
        <v>736.60000000000014</v>
      </c>
      <c r="E62" s="677"/>
    </row>
    <row r="63" spans="2:5" ht="14.25" x14ac:dyDescent="0.2">
      <c r="B63" s="666" t="s">
        <v>652</v>
      </c>
      <c r="C63" s="682" t="s">
        <v>1184</v>
      </c>
      <c r="D63" s="687">
        <v>358.99999999999989</v>
      </c>
      <c r="E63" s="677"/>
    </row>
    <row r="64" spans="2:5" ht="14.25" x14ac:dyDescent="0.2">
      <c r="B64" s="659" t="s">
        <v>650</v>
      </c>
      <c r="C64" s="681" t="s">
        <v>1184</v>
      </c>
      <c r="D64" s="686">
        <v>459.4000000000002</v>
      </c>
      <c r="E64" s="677"/>
    </row>
    <row r="65" spans="2:7" x14ac:dyDescent="0.2">
      <c r="B65" s="666" t="s">
        <v>650</v>
      </c>
      <c r="C65" s="682" t="s">
        <v>1184</v>
      </c>
      <c r="D65" s="687">
        <v>108.60000000000005</v>
      </c>
    </row>
    <row r="66" spans="2:7" x14ac:dyDescent="0.2">
      <c r="B66" s="659" t="s">
        <v>648</v>
      </c>
      <c r="C66" s="681" t="s">
        <v>1184</v>
      </c>
      <c r="D66" s="686">
        <v>211.99999999999994</v>
      </c>
    </row>
    <row r="67" spans="2:7" x14ac:dyDescent="0.2">
      <c r="B67" s="666" t="s">
        <v>648</v>
      </c>
      <c r="C67" s="682" t="s">
        <v>1184</v>
      </c>
      <c r="D67" s="687">
        <v>139.00000000000003</v>
      </c>
    </row>
    <row r="68" spans="2:7" ht="25.5" x14ac:dyDescent="0.2">
      <c r="B68" s="659" t="s">
        <v>646</v>
      </c>
      <c r="C68" s="681" t="s">
        <v>986</v>
      </c>
      <c r="D68" s="686">
        <v>190.19999999999996</v>
      </c>
    </row>
    <row r="69" spans="2:7" ht="25.5" x14ac:dyDescent="0.2">
      <c r="B69" s="666" t="s">
        <v>646</v>
      </c>
      <c r="C69" s="682" t="s">
        <v>986</v>
      </c>
      <c r="D69" s="687">
        <v>59.800000000000026</v>
      </c>
    </row>
    <row r="70" spans="2:7" ht="14.25" x14ac:dyDescent="0.2">
      <c r="B70" s="669" t="s">
        <v>606</v>
      </c>
      <c r="C70" s="679"/>
      <c r="D70" s="684"/>
      <c r="E70" s="677"/>
    </row>
    <row r="71" spans="2:7" ht="14.25" x14ac:dyDescent="0.2">
      <c r="B71" s="662" t="s">
        <v>212</v>
      </c>
      <c r="C71" s="680"/>
      <c r="D71" s="685"/>
      <c r="E71" s="677"/>
    </row>
    <row r="72" spans="2:7" ht="14.25" x14ac:dyDescent="0.2">
      <c r="B72" s="659" t="s">
        <v>579</v>
      </c>
      <c r="C72" s="681"/>
      <c r="D72" s="686">
        <v>6.53</v>
      </c>
      <c r="E72" s="677"/>
    </row>
    <row r="73" spans="2:7" ht="14.25" x14ac:dyDescent="0.2">
      <c r="B73" s="666" t="s">
        <v>558</v>
      </c>
      <c r="C73" s="682"/>
      <c r="D73" s="687">
        <v>184.71</v>
      </c>
      <c r="E73" s="677"/>
    </row>
    <row r="74" spans="2:7" x14ac:dyDescent="0.2">
      <c r="B74" s="662" t="s">
        <v>557</v>
      </c>
      <c r="C74" s="680"/>
      <c r="D74" s="685"/>
    </row>
    <row r="75" spans="2:7" x14ac:dyDescent="0.2">
      <c r="B75" s="666" t="s">
        <v>603</v>
      </c>
      <c r="C75" s="682" t="s">
        <v>885</v>
      </c>
      <c r="D75" s="687">
        <v>58.21</v>
      </c>
    </row>
    <row r="76" spans="2:7" x14ac:dyDescent="0.2">
      <c r="B76" s="659" t="s">
        <v>603</v>
      </c>
      <c r="C76" s="681" t="s">
        <v>885</v>
      </c>
      <c r="D76" s="686">
        <v>6.53</v>
      </c>
    </row>
    <row r="77" spans="2:7" ht="25.5" x14ac:dyDescent="0.2">
      <c r="B77" s="666" t="s">
        <v>601</v>
      </c>
      <c r="C77" s="682" t="s">
        <v>887</v>
      </c>
      <c r="D77" s="687">
        <v>82.11</v>
      </c>
    </row>
    <row r="78" spans="2:7" ht="25.5" x14ac:dyDescent="0.2">
      <c r="B78" s="659" t="s">
        <v>601</v>
      </c>
      <c r="C78" s="681" t="s">
        <v>887</v>
      </c>
      <c r="D78" s="686">
        <v>184.71</v>
      </c>
      <c r="E78" s="677"/>
      <c r="F78" s="672"/>
      <c r="G78" s="26"/>
    </row>
    <row r="79" spans="2:7" ht="14.25" x14ac:dyDescent="0.2">
      <c r="B79" s="669" t="s">
        <v>582</v>
      </c>
      <c r="C79" s="679"/>
      <c r="D79" s="684"/>
      <c r="E79" s="677"/>
      <c r="F79" s="672"/>
      <c r="G79" s="26"/>
    </row>
    <row r="80" spans="2:7" x14ac:dyDescent="0.2">
      <c r="B80" s="662" t="s">
        <v>212</v>
      </c>
      <c r="C80" s="680"/>
      <c r="D80" s="685"/>
      <c r="F80" s="672"/>
      <c r="G80" s="26"/>
    </row>
    <row r="81" spans="1:31" x14ac:dyDescent="0.2">
      <c r="B81" s="666" t="s">
        <v>579</v>
      </c>
      <c r="C81" s="682"/>
      <c r="D81" s="688">
        <v>38.799999999999997</v>
      </c>
    </row>
    <row r="82" spans="1:31" x14ac:dyDescent="0.2">
      <c r="B82" s="662" t="s">
        <v>557</v>
      </c>
      <c r="C82" s="680"/>
      <c r="D82" s="685"/>
    </row>
    <row r="83" spans="1:31" x14ac:dyDescent="0.2">
      <c r="B83" s="659" t="s">
        <v>578</v>
      </c>
      <c r="C83" s="681" t="s">
        <v>886</v>
      </c>
      <c r="D83" s="688">
        <v>69.17</v>
      </c>
    </row>
    <row r="84" spans="1:31" ht="14.25" x14ac:dyDescent="0.2">
      <c r="B84" s="666" t="s">
        <v>578</v>
      </c>
      <c r="C84" s="682" t="s">
        <v>886</v>
      </c>
      <c r="D84" s="688">
        <v>38.799999999999997</v>
      </c>
      <c r="E84" s="677"/>
    </row>
    <row r="85" spans="1:31" x14ac:dyDescent="0.2">
      <c r="B85" s="669" t="s">
        <v>563</v>
      </c>
      <c r="C85" s="679"/>
      <c r="D85" s="684"/>
      <c r="E85"/>
    </row>
    <row r="86" spans="1:31" x14ac:dyDescent="0.2">
      <c r="B86" s="662" t="s">
        <v>212</v>
      </c>
      <c r="C86" s="680"/>
      <c r="D86" s="685"/>
      <c r="E86"/>
    </row>
    <row r="87" spans="1:31" x14ac:dyDescent="0.2">
      <c r="B87" s="666" t="s">
        <v>558</v>
      </c>
      <c r="C87" s="682"/>
      <c r="D87" s="688">
        <v>64.430000000000007</v>
      </c>
      <c r="E87"/>
    </row>
    <row r="88" spans="1:31" x14ac:dyDescent="0.2">
      <c r="B88" s="662" t="s">
        <v>557</v>
      </c>
      <c r="C88" s="680"/>
      <c r="D88" s="685"/>
      <c r="E88"/>
    </row>
    <row r="89" spans="1:31" x14ac:dyDescent="0.2">
      <c r="B89" s="659" t="s">
        <v>892</v>
      </c>
      <c r="C89" s="681" t="s">
        <v>885</v>
      </c>
      <c r="D89" s="688">
        <v>64.430000000000007</v>
      </c>
      <c r="E89"/>
    </row>
    <row r="90" spans="1:31" x14ac:dyDescent="0.2">
      <c r="B90" s="12"/>
      <c r="C90" s="683"/>
      <c r="D90" s="689"/>
      <c r="E90" s="519"/>
    </row>
    <row r="91" spans="1:31" x14ac:dyDescent="0.2">
      <c r="B91" s="12"/>
      <c r="C91" s="683"/>
      <c r="D91" s="689"/>
      <c r="E91" s="519"/>
    </row>
    <row r="92" spans="1:31" x14ac:dyDescent="0.2">
      <c r="B92" s="12"/>
      <c r="C92" s="862" t="s">
        <v>1432</v>
      </c>
      <c r="D92" s="862" t="s">
        <v>1431</v>
      </c>
      <c r="E92" s="862" t="s">
        <v>1430</v>
      </c>
    </row>
    <row r="93" spans="1:31" s="584" customFormat="1" x14ac:dyDescent="0.2">
      <c r="A93" s="12"/>
      <c r="B93" s="861" t="s">
        <v>1429</v>
      </c>
      <c r="C93" s="12">
        <v>2</v>
      </c>
      <c r="D93" s="12">
        <v>1.1499999999999999</v>
      </c>
      <c r="E93" s="860">
        <f>2*PI()*(C93/2)*(C93/2+D93)</f>
        <v>13.50884841043611</v>
      </c>
      <c r="F93" s="549"/>
      <c r="G93" s="549"/>
      <c r="H93" s="549"/>
      <c r="I93" s="549"/>
      <c r="J93" s="598"/>
      <c r="K93" s="598"/>
      <c r="L93" s="598"/>
      <c r="M93" s="583"/>
      <c r="O93" s="549"/>
      <c r="P93" s="549"/>
      <c r="Q93" s="549"/>
      <c r="R93" s="549"/>
      <c r="S93" s="549"/>
      <c r="T93" s="549"/>
      <c r="U93" s="549"/>
      <c r="V93" s="549"/>
      <c r="W93" s="549"/>
      <c r="X93" s="549"/>
      <c r="Y93" s="549"/>
      <c r="Z93" s="549"/>
    </row>
    <row r="94" spans="1:31" s="584" customFormat="1" x14ac:dyDescent="0.2">
      <c r="A94" s="12"/>
      <c r="B94" s="861" t="s">
        <v>1428</v>
      </c>
      <c r="C94" s="12">
        <v>3</v>
      </c>
      <c r="D94" s="12">
        <v>2.2000000000000002</v>
      </c>
      <c r="E94" s="860">
        <f>2*PI()*(C94/2)*(C94/2+D94)</f>
        <v>34.871678454846702</v>
      </c>
      <c r="F94" s="598"/>
      <c r="G94" s="598"/>
      <c r="H94" s="598"/>
      <c r="I94" s="598"/>
      <c r="J94" s="598"/>
      <c r="K94" s="598"/>
      <c r="L94" s="598"/>
      <c r="M94" s="583"/>
      <c r="O94" s="549"/>
      <c r="P94" s="549"/>
      <c r="Q94" s="549"/>
      <c r="R94" s="549"/>
      <c r="S94" s="549"/>
      <c r="T94" s="549"/>
      <c r="U94" s="549"/>
      <c r="V94" s="549"/>
      <c r="W94" s="549"/>
      <c r="X94" s="549"/>
      <c r="Y94" s="549"/>
      <c r="Z94" s="549"/>
      <c r="AA94" s="549"/>
      <c r="AB94" s="549"/>
      <c r="AC94" s="549"/>
      <c r="AD94" s="549"/>
      <c r="AE94" s="549"/>
    </row>
    <row r="95" spans="1:31" s="584" customFormat="1" x14ac:dyDescent="0.2">
      <c r="A95" s="12"/>
      <c r="B95" s="861" t="s">
        <v>1427</v>
      </c>
      <c r="C95" s="12">
        <v>2</v>
      </c>
      <c r="D95" s="12">
        <v>1.65</v>
      </c>
      <c r="E95" s="860">
        <f>2*PI()*(C95/2)*(C95/2+D95)</f>
        <v>16.650441064025902</v>
      </c>
      <c r="F95" s="598"/>
      <c r="G95" s="598"/>
      <c r="H95" s="598"/>
      <c r="I95" s="598"/>
      <c r="J95" s="598"/>
      <c r="K95" s="598"/>
      <c r="L95" s="598"/>
      <c r="M95" s="583"/>
      <c r="O95" s="549"/>
      <c r="P95" s="549"/>
      <c r="Q95" s="549"/>
      <c r="R95" s="549"/>
      <c r="S95" s="549"/>
      <c r="T95" s="549"/>
      <c r="U95" s="549"/>
      <c r="V95" s="549"/>
      <c r="W95" s="549"/>
      <c r="X95" s="549"/>
      <c r="Y95" s="549"/>
      <c r="Z95" s="549"/>
      <c r="AA95" s="549"/>
      <c r="AB95" s="549"/>
      <c r="AC95" s="549"/>
      <c r="AD95" s="549"/>
      <c r="AE95" s="549"/>
    </row>
    <row r="96" spans="1:31" x14ac:dyDescent="0.2">
      <c r="B96" s="861" t="s">
        <v>1426</v>
      </c>
      <c r="C96" s="12">
        <v>1</v>
      </c>
      <c r="D96" s="12">
        <v>1.3</v>
      </c>
      <c r="E96" s="860">
        <f>2*PI()*(C96/2)*(C96/2+D96)</f>
        <v>5.6548667764616276</v>
      </c>
    </row>
    <row r="97" spans="2:5" x14ac:dyDescent="0.2">
      <c r="B97" s="861" t="s">
        <v>1425</v>
      </c>
      <c r="C97" s="12">
        <v>3</v>
      </c>
      <c r="D97" s="12">
        <v>1.85</v>
      </c>
      <c r="E97" s="860">
        <f>2*PI()*(C97/2)*(C97/2+D97)</f>
        <v>31.573006168577422</v>
      </c>
    </row>
    <row r="98" spans="2:5" x14ac:dyDescent="0.2">
      <c r="B98" s="12"/>
      <c r="C98" s="12"/>
      <c r="D98" s="12"/>
    </row>
    <row r="99" spans="2:5" x14ac:dyDescent="0.2">
      <c r="B99" s="672" t="s">
        <v>1433</v>
      </c>
      <c r="C99" s="12">
        <v>2</v>
      </c>
      <c r="D99" s="12">
        <v>1.25</v>
      </c>
      <c r="E99" s="860">
        <f>2*PI()*(C99/2)*(C99/2+D99)</f>
        <v>14.137166941154069</v>
      </c>
    </row>
    <row r="100" spans="2:5" x14ac:dyDescent="0.2">
      <c r="B100" s="12"/>
      <c r="C100" s="12"/>
      <c r="D100" s="12"/>
      <c r="E100" s="519"/>
    </row>
    <row r="101" spans="2:5" x14ac:dyDescent="0.2">
      <c r="B101" s="12"/>
      <c r="C101" s="12"/>
      <c r="D101" s="12"/>
      <c r="E101" s="519"/>
    </row>
    <row r="102" spans="2:5" x14ac:dyDescent="0.2">
      <c r="B102" s="691"/>
      <c r="C102" s="672" t="s">
        <v>1539</v>
      </c>
      <c r="D102" s="12">
        <f ca="1">G32+G33</f>
        <v>724.02</v>
      </c>
      <c r="E102" s="519" t="s">
        <v>13</v>
      </c>
    </row>
    <row r="103" spans="2:5" x14ac:dyDescent="0.2">
      <c r="C103" s="889" t="s">
        <v>887</v>
      </c>
      <c r="D103" s="12">
        <f ca="1">G34</f>
        <v>582.05000000000007</v>
      </c>
      <c r="E103" s="519" t="s">
        <v>13</v>
      </c>
    </row>
    <row r="104" spans="2:5" x14ac:dyDescent="0.2">
      <c r="C104" s="889" t="s">
        <v>1184</v>
      </c>
      <c r="D104" s="12">
        <f ca="1">G35+G36</f>
        <v>2872.8500000000004</v>
      </c>
      <c r="E104" s="519" t="s">
        <v>13</v>
      </c>
    </row>
    <row r="105" spans="2:5" x14ac:dyDescent="0.2">
      <c r="C105" s="672" t="s">
        <v>1534</v>
      </c>
      <c r="D105" s="26">
        <f ca="1">G40</f>
        <v>102.25884087434777</v>
      </c>
      <c r="E105" s="519" t="s">
        <v>13</v>
      </c>
    </row>
    <row r="106" spans="2:5" x14ac:dyDescent="0.2">
      <c r="D106" s="519"/>
      <c r="E106" s="519"/>
    </row>
    <row r="107" spans="2:5" x14ac:dyDescent="0.2">
      <c r="D107" s="519"/>
      <c r="E107" s="519"/>
    </row>
    <row r="108" spans="2:5" x14ac:dyDescent="0.2">
      <c r="D108" s="519"/>
      <c r="E108" s="519"/>
    </row>
    <row r="109" spans="2:5" x14ac:dyDescent="0.2">
      <c r="D109" s="519"/>
      <c r="E109" s="519"/>
    </row>
    <row r="110" spans="2:5" x14ac:dyDescent="0.2">
      <c r="B110" s="12"/>
      <c r="C110" s="683"/>
      <c r="D110" s="689"/>
      <c r="E110" s="519"/>
    </row>
    <row r="111" spans="2:5" x14ac:dyDescent="0.2">
      <c r="B111" s="12"/>
      <c r="C111" s="683"/>
      <c r="D111" s="689"/>
      <c r="E111" s="519"/>
    </row>
    <row r="112" spans="2:5" x14ac:dyDescent="0.2">
      <c r="D112" s="519"/>
    </row>
    <row r="113" spans="4:4" x14ac:dyDescent="0.2">
      <c r="D113" s="519"/>
    </row>
    <row r="114" spans="4:4" x14ac:dyDescent="0.2">
      <c r="D114" s="519"/>
    </row>
  </sheetData>
  <mergeCells count="4">
    <mergeCell ref="A5:I5"/>
    <mergeCell ref="B7:B8"/>
    <mergeCell ref="D7:D8"/>
    <mergeCell ref="C7:C8"/>
  </mergeCells>
  <pageMargins left="0.78749999999999998" right="0.78749999999999998" top="1.05277777777778" bottom="1.05277777777778" header="0.78749999999999998" footer="0.78749999999999998"/>
  <pageSetup paperSize="9" scale="53" orientation="landscape" useFirstPageNumber="1" horizontalDpi="300" verticalDpi="300" r:id="rId1"/>
  <headerFooter>
    <oddHeader>&amp;C&amp;"Times New Roman,Normal"&amp;12&amp;A</oddHeader>
    <oddFooter>&amp;C&amp;"Times New Roman,Normal"&amp;12Página &amp;P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1851D6"/>
    <pageSetUpPr fitToPage="1"/>
  </sheetPr>
  <dimension ref="A1:G132"/>
  <sheetViews>
    <sheetView showGridLines="0" zoomScaleNormal="100" zoomScalePageLayoutView="55" workbookViewId="0">
      <selection activeCell="A65" sqref="A65"/>
    </sheetView>
  </sheetViews>
  <sheetFormatPr defaultColWidth="11.5703125" defaultRowHeight="12.75" x14ac:dyDescent="0.2"/>
  <cols>
    <col min="1" max="1" width="99.5703125" style="881" customWidth="1"/>
    <col min="2" max="2" width="8.140625" style="25" customWidth="1"/>
    <col min="3" max="3" width="11.7109375" style="656" customWidth="1"/>
    <col min="4" max="4" width="17" customWidth="1"/>
    <col min="5" max="5" width="89.7109375" style="12" customWidth="1"/>
    <col min="6" max="6" width="11.5703125" style="12"/>
    <col min="7" max="7" width="38.140625" style="12" customWidth="1"/>
    <col min="8" max="9" width="11.5703125" style="12"/>
    <col min="10" max="10" width="19.7109375" style="12" customWidth="1"/>
    <col min="11" max="16384" width="11.5703125" style="12"/>
  </cols>
  <sheetData>
    <row r="1" spans="1:7" ht="18" customHeight="1" x14ac:dyDescent="0.2">
      <c r="A1" s="1365"/>
      <c r="B1" s="1365"/>
      <c r="C1" s="1365"/>
      <c r="D1" s="12"/>
      <c r="G1" s="676"/>
    </row>
    <row r="2" spans="1:7" ht="21.75" customHeight="1" x14ac:dyDescent="0.2">
      <c r="A2" s="1370" t="s">
        <v>0</v>
      </c>
      <c r="B2" s="1364" t="s">
        <v>768</v>
      </c>
      <c r="C2" s="1364" t="s">
        <v>93</v>
      </c>
      <c r="D2" s="12"/>
    </row>
    <row r="3" spans="1:7" ht="17.25" customHeight="1" x14ac:dyDescent="0.2">
      <c r="A3" s="1370"/>
      <c r="B3" s="1364"/>
      <c r="C3" s="1364"/>
      <c r="D3" s="12"/>
    </row>
    <row r="4" spans="1:7" x14ac:dyDescent="0.2">
      <c r="A4" s="871" t="s">
        <v>231</v>
      </c>
      <c r="B4" s="872"/>
      <c r="C4" s="873"/>
      <c r="D4" s="12"/>
      <c r="G4" s="676"/>
    </row>
    <row r="5" spans="1:7" x14ac:dyDescent="0.2">
      <c r="A5" s="874" t="s">
        <v>727</v>
      </c>
      <c r="B5" s="875" t="s">
        <v>13</v>
      </c>
      <c r="C5" s="876">
        <v>28.01</v>
      </c>
      <c r="D5" s="12"/>
    </row>
    <row r="6" spans="1:7" x14ac:dyDescent="0.2">
      <c r="A6" s="871" t="s">
        <v>552</v>
      </c>
      <c r="B6" s="872"/>
      <c r="C6" s="873"/>
      <c r="D6" s="12"/>
    </row>
    <row r="7" spans="1:7" x14ac:dyDescent="0.2">
      <c r="A7" s="880" t="s">
        <v>1472</v>
      </c>
      <c r="B7" s="878" t="s">
        <v>13</v>
      </c>
      <c r="C7" s="879">
        <v>880.51</v>
      </c>
      <c r="D7" s="12"/>
    </row>
    <row r="8" spans="1:7" x14ac:dyDescent="0.2">
      <c r="A8" s="874" t="s">
        <v>1473</v>
      </c>
      <c r="B8" s="875" t="s">
        <v>13</v>
      </c>
      <c r="C8" s="876">
        <v>583.44000000000005</v>
      </c>
      <c r="D8" s="12"/>
    </row>
    <row r="9" spans="1:7" x14ac:dyDescent="0.2">
      <c r="A9" s="877" t="s">
        <v>1474</v>
      </c>
      <c r="B9" s="878" t="s">
        <v>13</v>
      </c>
      <c r="C9" s="879">
        <v>974.98</v>
      </c>
      <c r="D9" s="12"/>
    </row>
    <row r="10" spans="1:7" x14ac:dyDescent="0.2">
      <c r="A10" s="874" t="s">
        <v>1475</v>
      </c>
      <c r="B10" s="875" t="s">
        <v>13</v>
      </c>
      <c r="C10" s="876">
        <v>850.1</v>
      </c>
      <c r="D10" s="12"/>
    </row>
    <row r="11" spans="1:7" x14ac:dyDescent="0.2">
      <c r="A11" s="877" t="s">
        <v>1476</v>
      </c>
      <c r="B11" s="878" t="s">
        <v>13</v>
      </c>
      <c r="C11" s="879">
        <v>225.24</v>
      </c>
      <c r="D11" s="12"/>
    </row>
    <row r="12" spans="1:7" x14ac:dyDescent="0.2">
      <c r="A12" s="874" t="s">
        <v>1477</v>
      </c>
      <c r="B12" s="875" t="s">
        <v>13</v>
      </c>
      <c r="C12" s="876">
        <v>682.58</v>
      </c>
      <c r="D12" s="12"/>
    </row>
    <row r="13" spans="1:7" x14ac:dyDescent="0.2">
      <c r="A13" s="877" t="s">
        <v>1478</v>
      </c>
      <c r="B13" s="878" t="s">
        <v>13</v>
      </c>
      <c r="C13" s="879">
        <v>632.77</v>
      </c>
      <c r="D13" s="12"/>
    </row>
    <row r="14" spans="1:7" x14ac:dyDescent="0.2">
      <c r="A14" s="874" t="s">
        <v>1479</v>
      </c>
      <c r="B14" s="875" t="s">
        <v>13</v>
      </c>
      <c r="C14" s="876">
        <v>494.17</v>
      </c>
      <c r="D14" s="12"/>
    </row>
    <row r="15" spans="1:7" x14ac:dyDescent="0.2">
      <c r="A15" s="871" t="s">
        <v>550</v>
      </c>
      <c r="B15" s="872"/>
      <c r="C15" s="873"/>
      <c r="D15" s="12"/>
    </row>
    <row r="16" spans="1:7" x14ac:dyDescent="0.2">
      <c r="A16" s="880" t="s">
        <v>1480</v>
      </c>
      <c r="B16" s="878" t="s">
        <v>13</v>
      </c>
      <c r="C16" s="879">
        <v>1105.74</v>
      </c>
      <c r="D16" s="12"/>
    </row>
    <row r="17" spans="1:4" x14ac:dyDescent="0.2">
      <c r="A17" s="874" t="s">
        <v>1481</v>
      </c>
      <c r="B17" s="875" t="s">
        <v>13</v>
      </c>
      <c r="C17" s="876">
        <v>1266.02</v>
      </c>
      <c r="D17" s="12"/>
    </row>
    <row r="18" spans="1:4" x14ac:dyDescent="0.2">
      <c r="A18" s="877" t="s">
        <v>1482</v>
      </c>
      <c r="B18" s="878" t="s">
        <v>13</v>
      </c>
      <c r="C18" s="879">
        <v>1607.75</v>
      </c>
      <c r="D18" s="12"/>
    </row>
    <row r="19" spans="1:4" x14ac:dyDescent="0.2">
      <c r="A19" s="874" t="s">
        <v>1483</v>
      </c>
      <c r="B19" s="875" t="s">
        <v>13</v>
      </c>
      <c r="C19" s="876">
        <v>1344.27</v>
      </c>
      <c r="D19" s="12"/>
    </row>
    <row r="20" spans="1:4" x14ac:dyDescent="0.2">
      <c r="A20" s="871" t="s">
        <v>273</v>
      </c>
      <c r="B20" s="872"/>
      <c r="C20" s="873"/>
      <c r="D20" s="12"/>
    </row>
    <row r="21" spans="1:4" x14ac:dyDescent="0.2">
      <c r="A21" s="877" t="s">
        <v>1484</v>
      </c>
      <c r="B21" s="878" t="s">
        <v>13</v>
      </c>
      <c r="C21" s="879">
        <v>129.02000000000001</v>
      </c>
      <c r="D21" s="12"/>
    </row>
    <row r="22" spans="1:4" x14ac:dyDescent="0.2">
      <c r="A22" s="874" t="s">
        <v>1485</v>
      </c>
      <c r="B22" s="875" t="s">
        <v>13</v>
      </c>
      <c r="C22" s="876">
        <v>70.59</v>
      </c>
      <c r="D22" s="12"/>
    </row>
    <row r="23" spans="1:4" x14ac:dyDescent="0.2">
      <c r="A23" s="877" t="s">
        <v>1486</v>
      </c>
      <c r="B23" s="878" t="s">
        <v>13</v>
      </c>
      <c r="C23" s="879">
        <v>162.12</v>
      </c>
      <c r="D23" s="12"/>
    </row>
    <row r="24" spans="1:4" x14ac:dyDescent="0.2">
      <c r="A24" s="874" t="s">
        <v>1487</v>
      </c>
      <c r="B24" s="875" t="s">
        <v>13</v>
      </c>
      <c r="C24" s="876">
        <v>142.88999999999999</v>
      </c>
      <c r="D24" s="12"/>
    </row>
    <row r="25" spans="1:4" x14ac:dyDescent="0.2">
      <c r="A25" s="877" t="s">
        <v>1488</v>
      </c>
      <c r="B25" s="878" t="s">
        <v>13</v>
      </c>
      <c r="C25" s="879">
        <v>41.03</v>
      </c>
      <c r="D25" s="12"/>
    </row>
    <row r="26" spans="1:4" x14ac:dyDescent="0.2">
      <c r="A26" s="874" t="s">
        <v>1489</v>
      </c>
      <c r="B26" s="875" t="s">
        <v>13</v>
      </c>
      <c r="C26" s="876">
        <v>354.09</v>
      </c>
      <c r="D26" s="12"/>
    </row>
    <row r="27" spans="1:4" ht="25.5" x14ac:dyDescent="0.2">
      <c r="A27" s="877" t="s">
        <v>1490</v>
      </c>
      <c r="B27" s="878" t="s">
        <v>13</v>
      </c>
      <c r="C27" s="879">
        <v>662.39</v>
      </c>
      <c r="D27" s="12"/>
    </row>
    <row r="28" spans="1:4" x14ac:dyDescent="0.2">
      <c r="A28" s="874" t="s">
        <v>1491</v>
      </c>
      <c r="B28" s="875" t="s">
        <v>13</v>
      </c>
      <c r="C28" s="876">
        <v>20.190000000000001</v>
      </c>
      <c r="D28" s="12"/>
    </row>
    <row r="29" spans="1:4" x14ac:dyDescent="0.2">
      <c r="A29" s="877" t="s">
        <v>1492</v>
      </c>
      <c r="B29" s="878" t="s">
        <v>13</v>
      </c>
      <c r="C29" s="879">
        <v>539.16</v>
      </c>
      <c r="D29" s="12"/>
    </row>
    <row r="30" spans="1:4" x14ac:dyDescent="0.2">
      <c r="A30" s="874" t="s">
        <v>1493</v>
      </c>
      <c r="B30" s="875" t="s">
        <v>13</v>
      </c>
      <c r="C30" s="876">
        <v>44.27</v>
      </c>
      <c r="D30" s="12"/>
    </row>
    <row r="31" spans="1:4" x14ac:dyDescent="0.2">
      <c r="A31" s="877" t="s">
        <v>1494</v>
      </c>
      <c r="B31" s="878" t="s">
        <v>13</v>
      </c>
      <c r="C31" s="879">
        <v>389.48</v>
      </c>
      <c r="D31" s="12"/>
    </row>
    <row r="32" spans="1:4" ht="25.5" x14ac:dyDescent="0.2">
      <c r="A32" s="874" t="s">
        <v>1495</v>
      </c>
      <c r="B32" s="875" t="s">
        <v>13</v>
      </c>
      <c r="C32" s="876">
        <v>522.16999999999996</v>
      </c>
      <c r="D32" s="12"/>
    </row>
    <row r="33" spans="1:4" ht="25.5" x14ac:dyDescent="0.2">
      <c r="A33" s="877" t="s">
        <v>1496</v>
      </c>
      <c r="B33" s="878" t="s">
        <v>13</v>
      </c>
      <c r="C33" s="879">
        <v>31.2</v>
      </c>
      <c r="D33" s="12"/>
    </row>
    <row r="34" spans="1:4" ht="25.5" x14ac:dyDescent="0.2">
      <c r="A34" s="874" t="s">
        <v>1497</v>
      </c>
      <c r="B34" s="875" t="s">
        <v>13</v>
      </c>
      <c r="C34" s="876">
        <v>582.39</v>
      </c>
      <c r="D34" s="12"/>
    </row>
    <row r="35" spans="1:4" x14ac:dyDescent="0.2">
      <c r="A35" s="877" t="s">
        <v>1498</v>
      </c>
      <c r="B35" s="878" t="s">
        <v>13</v>
      </c>
      <c r="C35" s="879">
        <v>71.569999999999993</v>
      </c>
      <c r="D35" s="12"/>
    </row>
    <row r="36" spans="1:4" x14ac:dyDescent="0.2">
      <c r="A36" s="874" t="s">
        <v>1499</v>
      </c>
      <c r="B36" s="875" t="s">
        <v>13</v>
      </c>
      <c r="C36" s="876">
        <v>394.63</v>
      </c>
      <c r="D36" s="12"/>
    </row>
    <row r="37" spans="1:4" x14ac:dyDescent="0.2">
      <c r="A37" s="877" t="s">
        <v>1500</v>
      </c>
      <c r="B37" s="878" t="s">
        <v>13</v>
      </c>
      <c r="C37" s="879">
        <v>392.61</v>
      </c>
      <c r="D37" s="12"/>
    </row>
    <row r="38" spans="1:4" x14ac:dyDescent="0.2">
      <c r="A38" s="874" t="s">
        <v>1501</v>
      </c>
      <c r="B38" s="875" t="s">
        <v>13</v>
      </c>
      <c r="C38" s="876">
        <v>15.68</v>
      </c>
      <c r="D38" s="12"/>
    </row>
    <row r="39" spans="1:4" x14ac:dyDescent="0.2">
      <c r="A39" s="877" t="s">
        <v>1502</v>
      </c>
      <c r="B39" s="878" t="s">
        <v>13</v>
      </c>
      <c r="C39" s="879">
        <v>479.21</v>
      </c>
      <c r="D39" s="12"/>
    </row>
    <row r="40" spans="1:4" x14ac:dyDescent="0.2">
      <c r="A40" s="874" t="s">
        <v>1503</v>
      </c>
      <c r="B40" s="875" t="s">
        <v>13</v>
      </c>
      <c r="C40" s="876">
        <v>62.13</v>
      </c>
      <c r="D40" s="12"/>
    </row>
    <row r="41" spans="1:4" x14ac:dyDescent="0.2">
      <c r="A41" s="871" t="s">
        <v>274</v>
      </c>
      <c r="B41" s="872"/>
      <c r="C41" s="873"/>
      <c r="D41" s="12"/>
    </row>
    <row r="42" spans="1:4" ht="25.5" x14ac:dyDescent="0.2">
      <c r="A42" s="877" t="s">
        <v>1504</v>
      </c>
      <c r="B42" s="878" t="s">
        <v>13</v>
      </c>
      <c r="C42" s="879">
        <v>59.9</v>
      </c>
      <c r="D42" s="12"/>
    </row>
    <row r="43" spans="1:4" ht="25.5" x14ac:dyDescent="0.2">
      <c r="A43" s="874" t="s">
        <v>1505</v>
      </c>
      <c r="B43" s="875" t="s">
        <v>13</v>
      </c>
      <c r="C43" s="876">
        <v>5.14</v>
      </c>
      <c r="D43" s="12"/>
    </row>
    <row r="44" spans="1:4" ht="25.5" x14ac:dyDescent="0.2">
      <c r="A44" s="877" t="s">
        <v>1506</v>
      </c>
      <c r="B44" s="878" t="s">
        <v>13</v>
      </c>
      <c r="C44" s="879">
        <v>20.58</v>
      </c>
      <c r="D44" s="12"/>
    </row>
    <row r="45" spans="1:4" ht="25.5" x14ac:dyDescent="0.2">
      <c r="A45" s="874" t="s">
        <v>1507</v>
      </c>
      <c r="B45" s="875" t="s">
        <v>13</v>
      </c>
      <c r="C45" s="876">
        <v>104</v>
      </c>
      <c r="D45" s="12"/>
    </row>
    <row r="46" spans="1:4" ht="25.5" x14ac:dyDescent="0.2">
      <c r="A46" s="877" t="s">
        <v>1508</v>
      </c>
      <c r="B46" s="878" t="s">
        <v>13</v>
      </c>
      <c r="C46" s="879">
        <v>21.52</v>
      </c>
      <c r="D46" s="12"/>
    </row>
    <row r="47" spans="1:4" ht="25.5" x14ac:dyDescent="0.2">
      <c r="A47" s="874" t="s">
        <v>1509</v>
      </c>
      <c r="B47" s="875" t="s">
        <v>13</v>
      </c>
      <c r="C47" s="876">
        <v>5.29</v>
      </c>
      <c r="D47" s="12"/>
    </row>
    <row r="48" spans="1:4" ht="25.5" x14ac:dyDescent="0.2">
      <c r="A48" s="877" t="s">
        <v>1510</v>
      </c>
      <c r="B48" s="878" t="s">
        <v>13</v>
      </c>
      <c r="C48" s="879">
        <v>0.51</v>
      </c>
      <c r="D48" s="12"/>
    </row>
    <row r="51" spans="1:4" x14ac:dyDescent="0.2">
      <c r="A51" s="676" t="s">
        <v>1511</v>
      </c>
      <c r="B51" s="12"/>
    </row>
    <row r="52" spans="1:4" x14ac:dyDescent="0.2">
      <c r="A52" s="12" t="s">
        <v>1476</v>
      </c>
      <c r="B52" s="12">
        <f ca="1">SUMIF($A$4:$C$48,A52,$C$4:$C$48)</f>
        <v>225.24</v>
      </c>
    </row>
    <row r="53" spans="1:4" x14ac:dyDescent="0.2">
      <c r="A53" s="12" t="s">
        <v>1472</v>
      </c>
      <c r="B53" s="12">
        <f ca="1">SUMIF($A$4:$C$48,A53,$C$4:$C$48)</f>
        <v>880.51</v>
      </c>
    </row>
    <row r="54" spans="1:4" x14ac:dyDescent="0.2">
      <c r="A54" s="12" t="s">
        <v>1480</v>
      </c>
      <c r="B54" s="12">
        <f t="shared" ref="B54:B65" ca="1" si="0">SUMIF($A$4:$C$48,A54,$C$4:$C$48)</f>
        <v>1105.74</v>
      </c>
    </row>
    <row r="55" spans="1:4" x14ac:dyDescent="0.2">
      <c r="A55" s="12" t="s">
        <v>1484</v>
      </c>
      <c r="B55" s="12">
        <f t="shared" ca="1" si="0"/>
        <v>129.02000000000001</v>
      </c>
      <c r="D55" s="788"/>
    </row>
    <row r="56" spans="1:4" x14ac:dyDescent="0.2">
      <c r="A56" s="12" t="s">
        <v>1485</v>
      </c>
      <c r="B56" s="12">
        <f t="shared" ca="1" si="0"/>
        <v>70.59</v>
      </c>
      <c r="D56" s="12"/>
    </row>
    <row r="57" spans="1:4" x14ac:dyDescent="0.2">
      <c r="A57" s="12" t="s">
        <v>1486</v>
      </c>
      <c r="B57" s="12">
        <f t="shared" ca="1" si="0"/>
        <v>162.12</v>
      </c>
      <c r="D57" s="12"/>
    </row>
    <row r="58" spans="1:4" x14ac:dyDescent="0.2">
      <c r="A58" s="12" t="s">
        <v>1487</v>
      </c>
      <c r="B58" s="12">
        <f t="shared" ca="1" si="0"/>
        <v>142.88999999999999</v>
      </c>
      <c r="D58" s="12"/>
    </row>
    <row r="59" spans="1:4" x14ac:dyDescent="0.2">
      <c r="A59" s="12" t="s">
        <v>1488</v>
      </c>
      <c r="B59" s="12">
        <f t="shared" ca="1" si="0"/>
        <v>41.03</v>
      </c>
      <c r="D59" s="12"/>
    </row>
    <row r="60" spans="1:4" x14ac:dyDescent="0.2">
      <c r="A60" s="12" t="s">
        <v>1489</v>
      </c>
      <c r="B60" s="12">
        <f t="shared" ca="1" si="0"/>
        <v>354.09</v>
      </c>
      <c r="D60" s="12"/>
    </row>
    <row r="61" spans="1:4" x14ac:dyDescent="0.2">
      <c r="A61" s="12" t="s">
        <v>1504</v>
      </c>
      <c r="B61" s="12">
        <f ca="1">SUMIF($A$4:$C$48,A61,$C$4:$C$48)</f>
        <v>59.9</v>
      </c>
      <c r="D61" s="12"/>
    </row>
    <row r="62" spans="1:4" x14ac:dyDescent="0.2">
      <c r="A62" s="12" t="s">
        <v>1506</v>
      </c>
      <c r="B62" s="12">
        <f t="shared" ca="1" si="0"/>
        <v>20.58</v>
      </c>
      <c r="D62" s="12"/>
    </row>
    <row r="63" spans="1:4" x14ac:dyDescent="0.2">
      <c r="A63" s="12" t="s">
        <v>1507</v>
      </c>
      <c r="B63" s="12">
        <f t="shared" ca="1" si="0"/>
        <v>104</v>
      </c>
    </row>
    <row r="64" spans="1:4" x14ac:dyDescent="0.2">
      <c r="A64" s="12" t="s">
        <v>1508</v>
      </c>
      <c r="B64" s="12">
        <f t="shared" ca="1" si="0"/>
        <v>21.52</v>
      </c>
    </row>
    <row r="65" spans="1:3" x14ac:dyDescent="0.2">
      <c r="A65" s="12" t="s">
        <v>727</v>
      </c>
      <c r="B65" s="12">
        <f t="shared" ca="1" si="0"/>
        <v>28.01</v>
      </c>
      <c r="C65" s="789">
        <f ca="1">SUM(B52:B65)</f>
        <v>3345.2400000000002</v>
      </c>
    </row>
    <row r="66" spans="1:3" x14ac:dyDescent="0.2">
      <c r="A66" s="12"/>
      <c r="B66" s="12"/>
      <c r="C66" s="789"/>
    </row>
    <row r="67" spans="1:3" x14ac:dyDescent="0.2">
      <c r="A67" s="676" t="s">
        <v>1512</v>
      </c>
      <c r="B67" s="12"/>
      <c r="C67" s="789"/>
    </row>
    <row r="68" spans="1:3" x14ac:dyDescent="0.2">
      <c r="A68" s="12" t="s">
        <v>1477</v>
      </c>
      <c r="B68" s="12">
        <f t="shared" ref="B68:B74" ca="1" si="1">SUMIF($A$4:$C$48,A68,$C$4:$C$48)</f>
        <v>682.58</v>
      </c>
    </row>
    <row r="69" spans="1:3" x14ac:dyDescent="0.2">
      <c r="A69" s="12" t="s">
        <v>1473</v>
      </c>
      <c r="B69" s="12">
        <f t="shared" ca="1" si="1"/>
        <v>583.44000000000005</v>
      </c>
      <c r="C69" s="789"/>
    </row>
    <row r="70" spans="1:3" x14ac:dyDescent="0.2">
      <c r="A70" s="12" t="s">
        <v>1481</v>
      </c>
      <c r="B70" s="12">
        <f t="shared" ca="1" si="1"/>
        <v>1266.02</v>
      </c>
    </row>
    <row r="71" spans="1:3" x14ac:dyDescent="0.2">
      <c r="A71" s="12" t="s">
        <v>1490</v>
      </c>
      <c r="B71" s="12">
        <f t="shared" ca="1" si="1"/>
        <v>662.39</v>
      </c>
    </row>
    <row r="72" spans="1:3" x14ac:dyDescent="0.2">
      <c r="A72" s="12" t="s">
        <v>1491</v>
      </c>
      <c r="B72" s="12">
        <f t="shared" ca="1" si="1"/>
        <v>20.190000000000001</v>
      </c>
    </row>
    <row r="73" spans="1:3" x14ac:dyDescent="0.2">
      <c r="A73" s="12" t="s">
        <v>1492</v>
      </c>
      <c r="B73" s="12">
        <f t="shared" ca="1" si="1"/>
        <v>539.16</v>
      </c>
    </row>
    <row r="74" spans="1:3" x14ac:dyDescent="0.2">
      <c r="A74" s="12" t="s">
        <v>1493</v>
      </c>
      <c r="B74" s="12">
        <f t="shared" ca="1" si="1"/>
        <v>44.27</v>
      </c>
      <c r="C74" s="656">
        <f ca="1">SUM(B68:B74)</f>
        <v>3798.0499999999997</v>
      </c>
    </row>
    <row r="75" spans="1:3" x14ac:dyDescent="0.2">
      <c r="A75" s="12"/>
      <c r="B75" s="12"/>
    </row>
    <row r="76" spans="1:3" x14ac:dyDescent="0.2">
      <c r="A76" s="676" t="s">
        <v>1513</v>
      </c>
      <c r="B76" s="12"/>
    </row>
    <row r="77" spans="1:3" x14ac:dyDescent="0.2">
      <c r="A77" s="12" t="s">
        <v>1478</v>
      </c>
      <c r="B77" s="12">
        <f ca="1">SUMIF($A$4:$C$48,A77,$C$4:$C$48)</f>
        <v>632.77</v>
      </c>
    </row>
    <row r="78" spans="1:3" x14ac:dyDescent="0.2">
      <c r="A78" s="12" t="s">
        <v>1474</v>
      </c>
      <c r="B78" s="12">
        <f ca="1">SUMIF($A$4:$C$48,A78,$C$4:$C$48)</f>
        <v>974.98</v>
      </c>
    </row>
    <row r="79" spans="1:3" x14ac:dyDescent="0.2">
      <c r="A79" s="12" t="s">
        <v>1482</v>
      </c>
      <c r="B79" s="12">
        <f ca="1">SUMIF($A$4:$C$48,A79,$C$4:$C$48)</f>
        <v>1607.75</v>
      </c>
    </row>
    <row r="80" spans="1:3" x14ac:dyDescent="0.2">
      <c r="A80" s="12" t="s">
        <v>1494</v>
      </c>
      <c r="B80" s="12">
        <f t="shared" ref="B80:B87" ca="1" si="2">SUMIF($A$4:$C$48,A80,$C$4:$C$48)</f>
        <v>389.48</v>
      </c>
    </row>
    <row r="81" spans="1:3" x14ac:dyDescent="0.2">
      <c r="A81" s="12" t="s">
        <v>1495</v>
      </c>
      <c r="B81" s="12">
        <f t="shared" ca="1" si="2"/>
        <v>522.16999999999996</v>
      </c>
    </row>
    <row r="82" spans="1:3" x14ac:dyDescent="0.2">
      <c r="A82" s="12" t="s">
        <v>1496</v>
      </c>
      <c r="B82" s="12">
        <f t="shared" ca="1" si="2"/>
        <v>31.2</v>
      </c>
    </row>
    <row r="83" spans="1:3" x14ac:dyDescent="0.2">
      <c r="A83" s="12" t="s">
        <v>1497</v>
      </c>
      <c r="B83" s="12">
        <f t="shared" ca="1" si="2"/>
        <v>582.39</v>
      </c>
    </row>
    <row r="84" spans="1:3" x14ac:dyDescent="0.2">
      <c r="A84" s="12" t="s">
        <v>1498</v>
      </c>
      <c r="B84" s="12">
        <f t="shared" ca="1" si="2"/>
        <v>71.569999999999993</v>
      </c>
    </row>
    <row r="85" spans="1:3" x14ac:dyDescent="0.2">
      <c r="A85" s="12" t="s">
        <v>1505</v>
      </c>
      <c r="B85" s="12">
        <f t="shared" ca="1" si="2"/>
        <v>5.14</v>
      </c>
    </row>
    <row r="86" spans="1:3" x14ac:dyDescent="0.2">
      <c r="A86" s="12" t="s">
        <v>1509</v>
      </c>
      <c r="B86" s="12">
        <f t="shared" ca="1" si="2"/>
        <v>5.29</v>
      </c>
    </row>
    <row r="87" spans="1:3" x14ac:dyDescent="0.2">
      <c r="A87" s="12" t="s">
        <v>1510</v>
      </c>
      <c r="B87" s="12">
        <f t="shared" ca="1" si="2"/>
        <v>0.51</v>
      </c>
      <c r="C87" s="656">
        <f ca="1">SUM(B77:B87)</f>
        <v>4823.25</v>
      </c>
    </row>
    <row r="88" spans="1:3" x14ac:dyDescent="0.2">
      <c r="A88" s="12"/>
      <c r="B88" s="12"/>
    </row>
    <row r="89" spans="1:3" x14ac:dyDescent="0.2">
      <c r="A89" s="676" t="s">
        <v>1514</v>
      </c>
      <c r="B89" s="12"/>
    </row>
    <row r="90" spans="1:3" x14ac:dyDescent="0.2">
      <c r="A90" s="12" t="s">
        <v>1479</v>
      </c>
      <c r="B90" s="12">
        <f ca="1">SUMIF($A$4:$C$48,A90,$C$4:$C$48)</f>
        <v>494.17</v>
      </c>
    </row>
    <row r="91" spans="1:3" x14ac:dyDescent="0.2">
      <c r="A91" s="12" t="s">
        <v>1475</v>
      </c>
      <c r="B91" s="12">
        <f ca="1">SUMIF($A$4:$C$48,A91,$C$4:$C$48)</f>
        <v>850.1</v>
      </c>
    </row>
    <row r="92" spans="1:3" x14ac:dyDescent="0.2">
      <c r="A92" s="12" t="s">
        <v>1483</v>
      </c>
      <c r="B92" s="12">
        <f t="shared" ref="B92:B97" ca="1" si="3">SUMIF($A$4:$C$48,A92,$C$4:$C$48)</f>
        <v>1344.27</v>
      </c>
    </row>
    <row r="93" spans="1:3" x14ac:dyDescent="0.2">
      <c r="A93" s="12" t="s">
        <v>1499</v>
      </c>
      <c r="B93" s="12">
        <f t="shared" ca="1" si="3"/>
        <v>394.63</v>
      </c>
    </row>
    <row r="94" spans="1:3" x14ac:dyDescent="0.2">
      <c r="A94" s="12" t="s">
        <v>1500</v>
      </c>
      <c r="B94" s="12">
        <f t="shared" ca="1" si="3"/>
        <v>392.61</v>
      </c>
    </row>
    <row r="95" spans="1:3" x14ac:dyDescent="0.2">
      <c r="A95" s="12" t="s">
        <v>1501</v>
      </c>
      <c r="B95" s="12">
        <f t="shared" ca="1" si="3"/>
        <v>15.68</v>
      </c>
    </row>
    <row r="96" spans="1:3" x14ac:dyDescent="0.2">
      <c r="A96" s="12" t="s">
        <v>1502</v>
      </c>
      <c r="B96" s="12">
        <f t="shared" ca="1" si="3"/>
        <v>479.21</v>
      </c>
    </row>
    <row r="97" spans="1:3" x14ac:dyDescent="0.2">
      <c r="A97" s="12" t="s">
        <v>1503</v>
      </c>
      <c r="B97" s="12">
        <f t="shared" ca="1" si="3"/>
        <v>62.13</v>
      </c>
      <c r="C97" s="656">
        <f ca="1">SUM(B90:B97)</f>
        <v>4032.8</v>
      </c>
    </row>
    <row r="98" spans="1:3" x14ac:dyDescent="0.2">
      <c r="A98" s="882"/>
    </row>
    <row r="99" spans="1:3" x14ac:dyDescent="0.2">
      <c r="A99" s="882"/>
    </row>
    <row r="100" spans="1:3" x14ac:dyDescent="0.2">
      <c r="A100" s="882"/>
    </row>
    <row r="101" spans="1:3" x14ac:dyDescent="0.2">
      <c r="A101" s="882"/>
    </row>
    <row r="102" spans="1:3" x14ac:dyDescent="0.2">
      <c r="A102" s="882"/>
    </row>
    <row r="103" spans="1:3" x14ac:dyDescent="0.2">
      <c r="A103" s="882"/>
    </row>
    <row r="104" spans="1:3" x14ac:dyDescent="0.2">
      <c r="A104" s="882"/>
    </row>
    <row r="105" spans="1:3" x14ac:dyDescent="0.2">
      <c r="A105" s="882"/>
    </row>
    <row r="106" spans="1:3" x14ac:dyDescent="0.2">
      <c r="A106" s="882"/>
    </row>
    <row r="107" spans="1:3" x14ac:dyDescent="0.2">
      <c r="A107" s="882"/>
    </row>
    <row r="108" spans="1:3" x14ac:dyDescent="0.2">
      <c r="A108" s="882"/>
    </row>
    <row r="109" spans="1:3" x14ac:dyDescent="0.2">
      <c r="A109" s="882"/>
    </row>
    <row r="110" spans="1:3" x14ac:dyDescent="0.2">
      <c r="A110" s="882"/>
    </row>
    <row r="111" spans="1:3" x14ac:dyDescent="0.2">
      <c r="A111" s="882"/>
    </row>
    <row r="112" spans="1:3" x14ac:dyDescent="0.2">
      <c r="A112" s="882"/>
    </row>
    <row r="113" spans="1:1" x14ac:dyDescent="0.2">
      <c r="A113" s="882"/>
    </row>
    <row r="114" spans="1:1" x14ac:dyDescent="0.2">
      <c r="A114" s="882"/>
    </row>
    <row r="115" spans="1:1" x14ac:dyDescent="0.2">
      <c r="A115" s="882"/>
    </row>
    <row r="116" spans="1:1" x14ac:dyDescent="0.2">
      <c r="A116" s="882"/>
    </row>
    <row r="117" spans="1:1" x14ac:dyDescent="0.2">
      <c r="A117" s="882"/>
    </row>
    <row r="118" spans="1:1" x14ac:dyDescent="0.2">
      <c r="A118" s="882"/>
    </row>
    <row r="119" spans="1:1" x14ac:dyDescent="0.2">
      <c r="A119" s="882"/>
    </row>
    <row r="120" spans="1:1" x14ac:dyDescent="0.2">
      <c r="A120" s="882"/>
    </row>
    <row r="121" spans="1:1" x14ac:dyDescent="0.2">
      <c r="A121" s="882"/>
    </row>
    <row r="122" spans="1:1" x14ac:dyDescent="0.2">
      <c r="A122" s="882"/>
    </row>
    <row r="123" spans="1:1" x14ac:dyDescent="0.2">
      <c r="A123" s="882"/>
    </row>
    <row r="124" spans="1:1" x14ac:dyDescent="0.2">
      <c r="A124" s="882"/>
    </row>
    <row r="125" spans="1:1" x14ac:dyDescent="0.2">
      <c r="A125" s="882"/>
    </row>
    <row r="126" spans="1:1" x14ac:dyDescent="0.2">
      <c r="A126" s="882"/>
    </row>
    <row r="127" spans="1:1" x14ac:dyDescent="0.2">
      <c r="A127" s="882"/>
    </row>
    <row r="128" spans="1:1" x14ac:dyDescent="0.2">
      <c r="A128" s="882"/>
    </row>
    <row r="129" spans="1:1" x14ac:dyDescent="0.2">
      <c r="A129" s="882"/>
    </row>
    <row r="130" spans="1:1" x14ac:dyDescent="0.2">
      <c r="A130" s="882"/>
    </row>
    <row r="131" spans="1:1" x14ac:dyDescent="0.2">
      <c r="A131" s="882"/>
    </row>
    <row r="132" spans="1:1" x14ac:dyDescent="0.2">
      <c r="A132" s="882"/>
    </row>
  </sheetData>
  <mergeCells count="4">
    <mergeCell ref="A1:C1"/>
    <mergeCell ref="A2:A3"/>
    <mergeCell ref="B2:B3"/>
    <mergeCell ref="C2:C3"/>
  </mergeCells>
  <pageMargins left="0.78749999999999998" right="0.78749999999999998" top="1.05277777777778" bottom="1.05277777777778" header="0.78749999999999998" footer="0.78749999999999998"/>
  <pageSetup paperSize="9" scale="53" orientation="landscape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1851D6"/>
    <pageSetUpPr fitToPage="1"/>
  </sheetPr>
  <dimension ref="A1:AE168"/>
  <sheetViews>
    <sheetView showGridLines="0" topLeftCell="C109" zoomScale="85" zoomScaleNormal="85" zoomScaleSheetLayoutView="80" workbookViewId="0">
      <selection activeCell="M144" sqref="M144"/>
    </sheetView>
  </sheetViews>
  <sheetFormatPr defaultColWidth="9.140625" defaultRowHeight="12.75" outlineLevelCol="1" x14ac:dyDescent="0.2"/>
  <cols>
    <col min="1" max="1" width="24.5703125" style="549" customWidth="1"/>
    <col min="2" max="2" width="20.28515625" style="549" customWidth="1"/>
    <col min="3" max="3" width="13.28515625" style="549" customWidth="1"/>
    <col min="4" max="4" width="67.7109375" style="549" customWidth="1"/>
    <col min="5" max="5" width="18.28515625" style="549" bestFit="1" customWidth="1"/>
    <col min="6" max="7" width="18.28515625" style="549" customWidth="1"/>
    <col min="8" max="8" width="12.5703125" style="549" bestFit="1" customWidth="1"/>
    <col min="9" max="9" width="12.5703125" style="549" customWidth="1"/>
    <col min="10" max="10" width="15.5703125" style="598" bestFit="1" customWidth="1" outlineLevel="1"/>
    <col min="11" max="12" width="14" style="598" customWidth="1" outlineLevel="1"/>
    <col min="13" max="13" width="21.5703125" style="583" customWidth="1"/>
    <col min="14" max="14" width="22.5703125" style="584" bestFit="1" customWidth="1"/>
    <col min="15" max="16384" width="9.140625" style="549"/>
  </cols>
  <sheetData>
    <row r="1" spans="1:28" s="550" customFormat="1" ht="15" x14ac:dyDescent="0.25">
      <c r="A1" s="343"/>
      <c r="B1" s="362" t="s">
        <v>172</v>
      </c>
      <c r="C1" s="339" t="str">
        <f>ORÇAMENTO!I4</f>
        <v>SENSE106</v>
      </c>
      <c r="D1" s="339"/>
      <c r="E1" s="338"/>
      <c r="F1" s="338"/>
      <c r="G1" s="338"/>
      <c r="H1" s="338"/>
      <c r="I1" s="338"/>
      <c r="J1" s="589"/>
      <c r="K1" s="589"/>
      <c r="L1" s="589"/>
      <c r="M1" s="538"/>
      <c r="N1" s="549"/>
      <c r="O1" s="549"/>
      <c r="P1" s="549"/>
    </row>
    <row r="2" spans="1:28" s="550" customFormat="1" ht="15" x14ac:dyDescent="0.25">
      <c r="A2" s="397"/>
      <c r="B2" s="362" t="s">
        <v>173</v>
      </c>
      <c r="C2" s="363" t="str">
        <f>ORÇAMENTO!I5</f>
        <v>HOLZE EMPREENDIMENTOS</v>
      </c>
      <c r="D2" s="541"/>
      <c r="E2" s="339"/>
      <c r="F2" s="339"/>
      <c r="G2" s="339"/>
      <c r="H2" s="339"/>
      <c r="I2" s="339"/>
      <c r="J2" s="590"/>
      <c r="K2" s="590"/>
      <c r="L2" s="590"/>
      <c r="M2" s="540"/>
      <c r="N2" s="551"/>
      <c r="O2" s="551"/>
      <c r="P2" s="551"/>
      <c r="Q2" s="551"/>
      <c r="R2" s="551"/>
      <c r="S2" s="551"/>
      <c r="T2" s="551"/>
      <c r="U2" s="551"/>
      <c r="V2" s="551"/>
      <c r="W2" s="551"/>
      <c r="X2" s="551"/>
      <c r="Y2" s="551"/>
      <c r="Z2" s="551"/>
      <c r="AA2" s="551"/>
      <c r="AB2" s="551"/>
    </row>
    <row r="3" spans="1:28" s="550" customFormat="1" ht="15" x14ac:dyDescent="0.25">
      <c r="A3" s="397"/>
      <c r="B3" s="362" t="s">
        <v>190</v>
      </c>
      <c r="C3" s="541">
        <f>ORÇAMENTO!P5</f>
        <v>45608</v>
      </c>
      <c r="D3" s="541"/>
      <c r="E3" s="339"/>
      <c r="F3" s="339"/>
      <c r="G3" s="339"/>
      <c r="H3" s="339"/>
      <c r="I3" s="339"/>
      <c r="J3" s="590"/>
      <c r="K3" s="590"/>
      <c r="L3" s="590"/>
      <c r="M3" s="540"/>
      <c r="N3" s="551"/>
      <c r="O3" s="551"/>
      <c r="P3" s="551"/>
      <c r="Q3" s="551"/>
      <c r="R3" s="551"/>
      <c r="S3" s="551"/>
      <c r="T3" s="551"/>
      <c r="U3" s="551"/>
      <c r="V3" s="551"/>
      <c r="W3" s="551"/>
      <c r="X3" s="551"/>
      <c r="Y3" s="551"/>
      <c r="Z3" s="551"/>
      <c r="AA3" s="551"/>
      <c r="AB3" s="551"/>
    </row>
    <row r="4" spans="1:28" s="550" customFormat="1" ht="15" x14ac:dyDescent="0.25">
      <c r="A4" s="344"/>
      <c r="B4" s="362" t="s">
        <v>174</v>
      </c>
      <c r="C4" s="633" t="str">
        <f>ORÇAMENTO!O5</f>
        <v>R01 - Edileni Silva</v>
      </c>
      <c r="D4" s="339"/>
      <c r="E4" s="339"/>
      <c r="F4" s="339"/>
      <c r="G4" s="339"/>
      <c r="H4" s="339"/>
      <c r="I4" s="339"/>
      <c r="J4" s="590"/>
      <c r="K4" s="590"/>
      <c r="L4" s="590"/>
      <c r="M4" s="539"/>
      <c r="N4" s="552"/>
      <c r="O4" s="552"/>
      <c r="P4" s="552"/>
    </row>
    <row r="5" spans="1:28" ht="24" customHeight="1" thickBot="1" x14ac:dyDescent="0.25">
      <c r="A5" s="1366" t="s">
        <v>107</v>
      </c>
      <c r="B5" s="1366"/>
      <c r="C5" s="1366"/>
      <c r="D5" s="1366"/>
      <c r="E5" s="1366"/>
      <c r="F5" s="1366"/>
      <c r="G5" s="1366"/>
      <c r="H5" s="1366"/>
      <c r="I5" s="1366"/>
      <c r="J5" s="1366"/>
      <c r="K5" s="1366"/>
      <c r="L5" s="1366"/>
      <c r="M5" s="1366"/>
      <c r="N5" s="549"/>
    </row>
    <row r="6" spans="1:28" s="559" customFormat="1" ht="40.15" customHeight="1" x14ac:dyDescent="0.2">
      <c r="A6" s="553" t="s">
        <v>225</v>
      </c>
      <c r="B6" s="553" t="s">
        <v>86</v>
      </c>
      <c r="C6" s="554" t="s">
        <v>343</v>
      </c>
      <c r="D6" s="554" t="s">
        <v>0</v>
      </c>
      <c r="E6" s="554" t="s">
        <v>353</v>
      </c>
      <c r="F6" s="587" t="s">
        <v>352</v>
      </c>
      <c r="G6" s="587" t="s">
        <v>354</v>
      </c>
      <c r="H6" s="555" t="s">
        <v>344</v>
      </c>
      <c r="I6" s="555" t="s">
        <v>351</v>
      </c>
      <c r="J6" s="592" t="s">
        <v>356</v>
      </c>
      <c r="K6" s="592" t="s">
        <v>347</v>
      </c>
      <c r="L6" s="592" t="s">
        <v>357</v>
      </c>
      <c r="M6" s="558" t="s">
        <v>339</v>
      </c>
    </row>
    <row r="7" spans="1:28" s="559" customFormat="1" ht="17.25" customHeight="1" x14ac:dyDescent="0.2">
      <c r="A7" s="600" t="s">
        <v>337</v>
      </c>
      <c r="B7" s="601"/>
      <c r="C7" s="602"/>
      <c r="D7" s="602"/>
      <c r="E7" s="603"/>
      <c r="F7" s="603"/>
      <c r="G7" s="603"/>
      <c r="H7" s="604"/>
      <c r="I7" s="604"/>
      <c r="J7" s="605">
        <f>J8+J11</f>
        <v>30</v>
      </c>
      <c r="K7" s="605">
        <f>K8+K11</f>
        <v>34.5</v>
      </c>
      <c r="L7" s="605">
        <f>L8+L11</f>
        <v>43.5</v>
      </c>
      <c r="M7" s="606"/>
    </row>
    <row r="8" spans="1:28" ht="14.45" customHeight="1" x14ac:dyDescent="0.2">
      <c r="A8" s="607" t="str">
        <f>A7</f>
        <v>TERREO</v>
      </c>
      <c r="B8" s="608" t="s">
        <v>348</v>
      </c>
      <c r="C8" s="609"/>
      <c r="D8" s="609"/>
      <c r="E8" s="610"/>
      <c r="F8" s="610"/>
      <c r="G8" s="610"/>
      <c r="H8" s="611"/>
      <c r="I8" s="611"/>
      <c r="J8" s="612">
        <f>SUM(J9:J10)</f>
        <v>2.5</v>
      </c>
      <c r="K8" s="612">
        <f>SUM(K9:K10)</f>
        <v>3.1</v>
      </c>
      <c r="L8" s="612">
        <f>SUM(L9:L10)</f>
        <v>4.3</v>
      </c>
      <c r="M8" s="614"/>
      <c r="N8" s="549"/>
    </row>
    <row r="9" spans="1:28" x14ac:dyDescent="0.2">
      <c r="A9" s="615" t="str">
        <f>A7</f>
        <v>TERREO</v>
      </c>
      <c r="B9" s="575" t="str">
        <f>B8</f>
        <v>JANELA</v>
      </c>
      <c r="C9" s="576"/>
      <c r="D9" s="576" t="s">
        <v>591</v>
      </c>
      <c r="E9" s="577">
        <v>1</v>
      </c>
      <c r="F9" s="588">
        <v>1.25</v>
      </c>
      <c r="G9" s="588">
        <v>0.8</v>
      </c>
      <c r="H9" s="578">
        <v>1</v>
      </c>
      <c r="I9" s="578">
        <f>H9*G9*F9*E9</f>
        <v>1</v>
      </c>
      <c r="J9" s="596">
        <f>F9*H9*E9</f>
        <v>1.25</v>
      </c>
      <c r="K9" s="596">
        <f>IF(F9&lt;1.5,(F9+0.15*2),(F9+0.2*2))*H9*E9</f>
        <v>1.55</v>
      </c>
      <c r="L9" s="596">
        <f>IF(F9&lt;1.5,(F9+0.45*2),(F9+0.6*2))*H9*E9</f>
        <v>2.15</v>
      </c>
      <c r="M9" s="616"/>
      <c r="N9" s="549"/>
    </row>
    <row r="10" spans="1:28" x14ac:dyDescent="0.2">
      <c r="A10" s="615" t="str">
        <f>A8</f>
        <v>TERREO</v>
      </c>
      <c r="B10" s="575" t="str">
        <f>B9</f>
        <v>JANELA</v>
      </c>
      <c r="C10" s="576"/>
      <c r="D10" s="576" t="s">
        <v>590</v>
      </c>
      <c r="E10" s="577">
        <v>1</v>
      </c>
      <c r="F10" s="588">
        <v>1.25</v>
      </c>
      <c r="G10" s="588">
        <v>0.8</v>
      </c>
      <c r="H10" s="578">
        <v>1</v>
      </c>
      <c r="I10" s="578">
        <f>H10*G10*F10*E10</f>
        <v>1</v>
      </c>
      <c r="J10" s="596">
        <f>F10*H10*E10</f>
        <v>1.25</v>
      </c>
      <c r="K10" s="596">
        <f>IF(F10&lt;1.5,(F10+0.15*2),(F10+0.2*2))*H10*E10</f>
        <v>1.55</v>
      </c>
      <c r="L10" s="596">
        <f>IF(F10&lt;1.5,(F10+0.45*2),(F10+0.6*2))*H10*E10</f>
        <v>2.15</v>
      </c>
      <c r="M10" s="616"/>
      <c r="N10" s="549"/>
    </row>
    <row r="11" spans="1:28" x14ac:dyDescent="0.2">
      <c r="A11" s="615" t="str">
        <f>A8</f>
        <v>TERREO</v>
      </c>
      <c r="B11" s="568" t="s">
        <v>349</v>
      </c>
      <c r="C11" s="569"/>
      <c r="D11" s="569"/>
      <c r="E11" s="570"/>
      <c r="F11" s="570"/>
      <c r="G11" s="570"/>
      <c r="H11" s="571"/>
      <c r="I11" s="571"/>
      <c r="J11" s="599">
        <f>SUM(J12:J22)</f>
        <v>27.5</v>
      </c>
      <c r="K11" s="599">
        <f>SUM(K12:K22)</f>
        <v>31.400000000000002</v>
      </c>
      <c r="L11" s="599">
        <f>SUM(L12:L22)</f>
        <v>39.200000000000003</v>
      </c>
      <c r="M11" s="618"/>
      <c r="N11" s="549"/>
    </row>
    <row r="12" spans="1:28" x14ac:dyDescent="0.2">
      <c r="A12" s="615" t="str">
        <f>A9</f>
        <v>TERREO</v>
      </c>
      <c r="B12" s="575" t="str">
        <f>B11</f>
        <v>PORTA</v>
      </c>
      <c r="C12" s="576"/>
      <c r="D12" s="576" t="s">
        <v>589</v>
      </c>
      <c r="E12" s="577">
        <v>1</v>
      </c>
      <c r="F12" s="588">
        <v>0.9</v>
      </c>
      <c r="G12" s="588">
        <v>2.1</v>
      </c>
      <c r="H12" s="578">
        <v>1</v>
      </c>
      <c r="I12" s="578">
        <f>H12*G12*F12*E12</f>
        <v>1.8900000000000001</v>
      </c>
      <c r="J12" s="596">
        <f>F12*H12*E12</f>
        <v>0.9</v>
      </c>
      <c r="K12" s="596">
        <f>IF(F12&lt;1.5,(F12+0.15*2),(F12+0.2*2))*H12*E12</f>
        <v>1.2</v>
      </c>
      <c r="L12" s="596">
        <f>IF(F12&lt;1.5,(F12+0.45*2),(F12+0.6*2))*H12*E12</f>
        <v>1.8</v>
      </c>
      <c r="M12" s="616"/>
      <c r="N12" s="549"/>
    </row>
    <row r="13" spans="1:28" x14ac:dyDescent="0.2">
      <c r="A13" s="615" t="str">
        <f t="shared" ref="A13:A22" si="0">A11</f>
        <v>TERREO</v>
      </c>
      <c r="B13" s="575" t="str">
        <f t="shared" ref="B13:B22" si="1">B12</f>
        <v>PORTA</v>
      </c>
      <c r="C13" s="576"/>
      <c r="D13" s="576" t="s">
        <v>912</v>
      </c>
      <c r="E13" s="577">
        <v>1</v>
      </c>
      <c r="F13" s="588">
        <v>1.1000000000000001</v>
      </c>
      <c r="G13" s="588">
        <v>2.1</v>
      </c>
      <c r="H13" s="578">
        <v>1</v>
      </c>
      <c r="I13" s="578">
        <f t="shared" ref="I13:I22" si="2">H13*G13*F13*E13</f>
        <v>2.3100000000000005</v>
      </c>
      <c r="J13" s="596">
        <f t="shared" ref="J13:J22" si="3">F13*H13*E13</f>
        <v>1.1000000000000001</v>
      </c>
      <c r="K13" s="596">
        <f t="shared" ref="K13:K22" si="4">IF(F13&lt;1.5,(F13+0.15*2),(F13+0.2*2))*H13*E13</f>
        <v>1.4000000000000001</v>
      </c>
      <c r="L13" s="596">
        <f t="shared" ref="L13:L22" si="5">IF(F13&lt;1.5,(F13+0.45*2),(F13+0.6*2))*H13*E13</f>
        <v>2</v>
      </c>
      <c r="M13" s="616"/>
      <c r="N13" s="549"/>
    </row>
    <row r="14" spans="1:28" x14ac:dyDescent="0.2">
      <c r="A14" s="615" t="str">
        <f t="shared" si="0"/>
        <v>TERREO</v>
      </c>
      <c r="B14" s="575" t="str">
        <f t="shared" si="1"/>
        <v>PORTA</v>
      </c>
      <c r="C14" s="576"/>
      <c r="D14" s="576" t="s">
        <v>748</v>
      </c>
      <c r="E14" s="577">
        <v>1</v>
      </c>
      <c r="F14" s="588">
        <v>0.9</v>
      </c>
      <c r="G14" s="588">
        <v>2.1</v>
      </c>
      <c r="H14" s="578">
        <v>1</v>
      </c>
      <c r="I14" s="578">
        <f t="shared" si="2"/>
        <v>1.8900000000000001</v>
      </c>
      <c r="J14" s="596">
        <f t="shared" si="3"/>
        <v>0.9</v>
      </c>
      <c r="K14" s="596">
        <f t="shared" si="4"/>
        <v>1.2</v>
      </c>
      <c r="L14" s="596">
        <f t="shared" si="5"/>
        <v>1.8</v>
      </c>
      <c r="M14" s="616"/>
      <c r="N14" s="549"/>
    </row>
    <row r="15" spans="1:28" x14ac:dyDescent="0.2">
      <c r="A15" s="615" t="str">
        <f t="shared" si="0"/>
        <v>TERREO</v>
      </c>
      <c r="B15" s="575" t="str">
        <f t="shared" si="1"/>
        <v>PORTA</v>
      </c>
      <c r="C15" s="576"/>
      <c r="D15" s="576" t="s">
        <v>747</v>
      </c>
      <c r="E15" s="577">
        <v>1</v>
      </c>
      <c r="F15" s="588">
        <v>1.4</v>
      </c>
      <c r="G15" s="588">
        <v>2.1</v>
      </c>
      <c r="H15" s="578">
        <v>1</v>
      </c>
      <c r="I15" s="578">
        <f t="shared" si="2"/>
        <v>2.94</v>
      </c>
      <c r="J15" s="596">
        <f t="shared" si="3"/>
        <v>1.4</v>
      </c>
      <c r="K15" s="596">
        <f t="shared" si="4"/>
        <v>1.7</v>
      </c>
      <c r="L15" s="596">
        <f t="shared" si="5"/>
        <v>2.2999999999999998</v>
      </c>
      <c r="M15" s="616"/>
      <c r="N15" s="549"/>
    </row>
    <row r="16" spans="1:28" x14ac:dyDescent="0.2">
      <c r="A16" s="615" t="str">
        <f t="shared" si="0"/>
        <v>TERREO</v>
      </c>
      <c r="B16" s="575" t="str">
        <f t="shared" si="1"/>
        <v>PORTA</v>
      </c>
      <c r="C16" s="576"/>
      <c r="D16" s="576" t="s">
        <v>746</v>
      </c>
      <c r="E16" s="577">
        <v>1</v>
      </c>
      <c r="F16" s="588">
        <v>2</v>
      </c>
      <c r="G16" s="588">
        <v>2.1</v>
      </c>
      <c r="H16" s="578">
        <v>1</v>
      </c>
      <c r="I16" s="578">
        <f t="shared" si="2"/>
        <v>4.2</v>
      </c>
      <c r="J16" s="596">
        <f t="shared" si="3"/>
        <v>2</v>
      </c>
      <c r="K16" s="596">
        <f t="shared" si="4"/>
        <v>2.4</v>
      </c>
      <c r="L16" s="596">
        <f t="shared" si="5"/>
        <v>3.2</v>
      </c>
      <c r="M16" s="616"/>
      <c r="N16" s="549"/>
    </row>
    <row r="17" spans="1:14" x14ac:dyDescent="0.2">
      <c r="A17" s="615" t="str">
        <f t="shared" si="0"/>
        <v>TERREO</v>
      </c>
      <c r="B17" s="575" t="str">
        <f t="shared" si="1"/>
        <v>PORTA</v>
      </c>
      <c r="C17" s="576"/>
      <c r="D17" s="576" t="s">
        <v>745</v>
      </c>
      <c r="E17" s="577">
        <v>1</v>
      </c>
      <c r="F17" s="588">
        <v>4</v>
      </c>
      <c r="G17" s="588">
        <v>2.1</v>
      </c>
      <c r="H17" s="578">
        <v>1</v>
      </c>
      <c r="I17" s="578">
        <f t="shared" si="2"/>
        <v>8.4</v>
      </c>
      <c r="J17" s="596">
        <f t="shared" si="3"/>
        <v>4</v>
      </c>
      <c r="K17" s="596">
        <f t="shared" si="4"/>
        <v>4.4000000000000004</v>
      </c>
      <c r="L17" s="596">
        <f t="shared" si="5"/>
        <v>5.2</v>
      </c>
      <c r="M17" s="616"/>
      <c r="N17" s="549"/>
    </row>
    <row r="18" spans="1:14" x14ac:dyDescent="0.2">
      <c r="A18" s="615" t="str">
        <f t="shared" si="0"/>
        <v>TERREO</v>
      </c>
      <c r="B18" s="575" t="str">
        <f t="shared" si="1"/>
        <v>PORTA</v>
      </c>
      <c r="C18" s="576"/>
      <c r="D18" s="576" t="s">
        <v>744</v>
      </c>
      <c r="E18" s="577">
        <v>1</v>
      </c>
      <c r="F18" s="588">
        <v>4</v>
      </c>
      <c r="G18" s="588">
        <v>2.5</v>
      </c>
      <c r="H18" s="578">
        <v>1</v>
      </c>
      <c r="I18" s="578">
        <f t="shared" si="2"/>
        <v>10</v>
      </c>
      <c r="J18" s="596">
        <f t="shared" si="3"/>
        <v>4</v>
      </c>
      <c r="K18" s="596">
        <f t="shared" si="4"/>
        <v>4.4000000000000004</v>
      </c>
      <c r="L18" s="596">
        <f t="shared" si="5"/>
        <v>5.2</v>
      </c>
      <c r="M18" s="616"/>
      <c r="N18" s="549"/>
    </row>
    <row r="19" spans="1:14" x14ac:dyDescent="0.2">
      <c r="A19" s="615" t="str">
        <f t="shared" si="0"/>
        <v>TERREO</v>
      </c>
      <c r="B19" s="575" t="str">
        <f t="shared" si="1"/>
        <v>PORTA</v>
      </c>
      <c r="C19" s="576"/>
      <c r="D19" s="576" t="s">
        <v>743</v>
      </c>
      <c r="E19" s="577">
        <v>1</v>
      </c>
      <c r="F19" s="588">
        <v>0.9</v>
      </c>
      <c r="G19" s="588">
        <v>2.1</v>
      </c>
      <c r="H19" s="578">
        <v>1</v>
      </c>
      <c r="I19" s="578">
        <f t="shared" si="2"/>
        <v>1.8900000000000001</v>
      </c>
      <c r="J19" s="596">
        <f t="shared" si="3"/>
        <v>0.9</v>
      </c>
      <c r="K19" s="596">
        <f t="shared" si="4"/>
        <v>1.2</v>
      </c>
      <c r="L19" s="596">
        <f t="shared" si="5"/>
        <v>1.8</v>
      </c>
      <c r="M19" s="616"/>
      <c r="N19" s="549"/>
    </row>
    <row r="20" spans="1:14" x14ac:dyDescent="0.2">
      <c r="A20" s="615" t="str">
        <f t="shared" si="0"/>
        <v>TERREO</v>
      </c>
      <c r="B20" s="575" t="str">
        <f t="shared" si="1"/>
        <v>PORTA</v>
      </c>
      <c r="C20" s="576"/>
      <c r="D20" s="576" t="s">
        <v>742</v>
      </c>
      <c r="E20" s="577">
        <v>1</v>
      </c>
      <c r="F20" s="588">
        <v>2.6</v>
      </c>
      <c r="G20" s="588">
        <v>2.96</v>
      </c>
      <c r="H20" s="578">
        <v>1</v>
      </c>
      <c r="I20" s="578">
        <f t="shared" si="2"/>
        <v>7.6959999999999997</v>
      </c>
      <c r="J20" s="596">
        <f t="shared" si="3"/>
        <v>2.6</v>
      </c>
      <c r="K20" s="596">
        <f t="shared" si="4"/>
        <v>3</v>
      </c>
      <c r="L20" s="596">
        <f t="shared" si="5"/>
        <v>3.8</v>
      </c>
      <c r="M20" s="616"/>
      <c r="N20" s="549"/>
    </row>
    <row r="21" spans="1:14" x14ac:dyDescent="0.2">
      <c r="A21" s="615" t="str">
        <f t="shared" si="0"/>
        <v>TERREO</v>
      </c>
      <c r="B21" s="575" t="str">
        <f t="shared" si="1"/>
        <v>PORTA</v>
      </c>
      <c r="C21" s="576"/>
      <c r="D21" s="576" t="s">
        <v>741</v>
      </c>
      <c r="E21" s="577">
        <v>1</v>
      </c>
      <c r="F21" s="588">
        <v>4.8</v>
      </c>
      <c r="G21" s="588">
        <v>2.91</v>
      </c>
      <c r="H21" s="578">
        <v>1</v>
      </c>
      <c r="I21" s="578">
        <f t="shared" si="2"/>
        <v>13.968</v>
      </c>
      <c r="J21" s="596">
        <f t="shared" si="3"/>
        <v>4.8</v>
      </c>
      <c r="K21" s="596">
        <f t="shared" si="4"/>
        <v>5.2</v>
      </c>
      <c r="L21" s="596">
        <f t="shared" si="5"/>
        <v>6</v>
      </c>
      <c r="M21" s="616"/>
      <c r="N21" s="549"/>
    </row>
    <row r="22" spans="1:14" x14ac:dyDescent="0.2">
      <c r="A22" s="615" t="str">
        <f t="shared" si="0"/>
        <v>TERREO</v>
      </c>
      <c r="B22" s="575" t="str">
        <f t="shared" si="1"/>
        <v>PORTA</v>
      </c>
      <c r="C22" s="576"/>
      <c r="D22" s="576" t="s">
        <v>740</v>
      </c>
      <c r="E22" s="577">
        <v>1</v>
      </c>
      <c r="F22" s="588">
        <v>4.9000000000000004</v>
      </c>
      <c r="G22" s="588">
        <v>2.91</v>
      </c>
      <c r="H22" s="578">
        <v>1</v>
      </c>
      <c r="I22" s="578">
        <f t="shared" si="2"/>
        <v>14.259000000000002</v>
      </c>
      <c r="J22" s="596">
        <f t="shared" si="3"/>
        <v>4.9000000000000004</v>
      </c>
      <c r="K22" s="596">
        <f t="shared" si="4"/>
        <v>5.3000000000000007</v>
      </c>
      <c r="L22" s="596">
        <f t="shared" si="5"/>
        <v>6.1000000000000005</v>
      </c>
      <c r="M22" s="616"/>
      <c r="N22" s="549"/>
    </row>
    <row r="23" spans="1:14" ht="14.45" customHeight="1" x14ac:dyDescent="0.2">
      <c r="A23" s="620" t="s">
        <v>893</v>
      </c>
      <c r="B23" s="561"/>
      <c r="C23" s="562"/>
      <c r="D23" s="562"/>
      <c r="E23" s="563"/>
      <c r="F23" s="563"/>
      <c r="G23" s="563"/>
      <c r="H23" s="564"/>
      <c r="I23" s="564"/>
      <c r="J23" s="593">
        <f>J24+J29</f>
        <v>24.55</v>
      </c>
      <c r="K23" s="593"/>
      <c r="L23" s="593">
        <f>L24+L29</f>
        <v>48.85</v>
      </c>
      <c r="M23" s="621"/>
      <c r="N23" s="549"/>
    </row>
    <row r="24" spans="1:14" ht="14.45" customHeight="1" x14ac:dyDescent="0.2">
      <c r="A24" s="615" t="str">
        <f t="shared" ref="A24:A30" si="6">A23</f>
        <v>GARAGEM 2</v>
      </c>
      <c r="B24" s="608" t="s">
        <v>348</v>
      </c>
      <c r="C24" s="609"/>
      <c r="D24" s="609"/>
      <c r="E24" s="610"/>
      <c r="F24" s="610"/>
      <c r="G24" s="610"/>
      <c r="H24" s="611"/>
      <c r="I24" s="611"/>
      <c r="J24" s="612">
        <f>SUM(J25:J28)</f>
        <v>12.55</v>
      </c>
      <c r="K24" s="612">
        <f>SUM(K25:K28)</f>
        <v>14.649999999999999</v>
      </c>
      <c r="L24" s="612">
        <f>SUM(L25:L28)</f>
        <v>18.850000000000001</v>
      </c>
      <c r="M24" s="614"/>
      <c r="N24" s="549"/>
    </row>
    <row r="25" spans="1:14" x14ac:dyDescent="0.2">
      <c r="A25" s="615" t="str">
        <f t="shared" si="6"/>
        <v>GARAGEM 2</v>
      </c>
      <c r="B25" s="575" t="str">
        <f>B24</f>
        <v>JANELA</v>
      </c>
      <c r="C25" s="576"/>
      <c r="D25" s="576" t="s">
        <v>591</v>
      </c>
      <c r="E25" s="577">
        <v>1</v>
      </c>
      <c r="F25" s="588">
        <v>1.25</v>
      </c>
      <c r="G25" s="588">
        <v>0.8</v>
      </c>
      <c r="H25" s="578">
        <v>1</v>
      </c>
      <c r="I25" s="578">
        <f>H25*G25*F25*E25</f>
        <v>1</v>
      </c>
      <c r="J25" s="596">
        <f>F25*H25*E25</f>
        <v>1.25</v>
      </c>
      <c r="K25" s="596">
        <f>IF(F25&lt;1.5,(F25+0.15*2),(F25+0.2*2))*H25*E25</f>
        <v>1.55</v>
      </c>
      <c r="L25" s="596">
        <f>IF(F25&lt;1.5,(F25+0.45*2),(F25+0.6*2))*H25*E25</f>
        <v>2.15</v>
      </c>
      <c r="M25" s="616"/>
      <c r="N25" s="549"/>
    </row>
    <row r="26" spans="1:14" x14ac:dyDescent="0.2">
      <c r="A26" s="615" t="str">
        <f t="shared" si="6"/>
        <v>GARAGEM 2</v>
      </c>
      <c r="B26" s="575" t="str">
        <f>B10</f>
        <v>JANELA</v>
      </c>
      <c r="C26" s="576"/>
      <c r="D26" s="576" t="s">
        <v>590</v>
      </c>
      <c r="E26" s="577">
        <v>2</v>
      </c>
      <c r="F26" s="588">
        <v>1.25</v>
      </c>
      <c r="G26" s="588">
        <v>0.8</v>
      </c>
      <c r="H26" s="578">
        <v>1</v>
      </c>
      <c r="I26" s="578">
        <f>H26*G26*F26*E26</f>
        <v>2</v>
      </c>
      <c r="J26" s="596">
        <f>F26*H26*E26</f>
        <v>2.5</v>
      </c>
      <c r="K26" s="596">
        <f>IF(F26&lt;1.5,(F26+0.15*2),(F26+0.2*2))*H26*E26</f>
        <v>3.1</v>
      </c>
      <c r="L26" s="596">
        <f>IF(F26&lt;1.5,(F26+0.45*2),(F26+0.6*2))*H26*E26</f>
        <v>4.3</v>
      </c>
      <c r="M26" s="616"/>
      <c r="N26" s="549"/>
    </row>
    <row r="27" spans="1:14" x14ac:dyDescent="0.2">
      <c r="A27" s="615" t="str">
        <f t="shared" si="6"/>
        <v>GARAGEM 2</v>
      </c>
      <c r="B27" s="575" t="str">
        <f>B26</f>
        <v>JANELA</v>
      </c>
      <c r="C27" s="576"/>
      <c r="D27" s="576" t="s">
        <v>737</v>
      </c>
      <c r="E27" s="577">
        <v>2</v>
      </c>
      <c r="F27" s="588">
        <v>2</v>
      </c>
      <c r="G27" s="588">
        <v>2.38</v>
      </c>
      <c r="H27" s="578">
        <v>1</v>
      </c>
      <c r="I27" s="578">
        <f>H27*G27*F27*E27</f>
        <v>9.52</v>
      </c>
      <c r="J27" s="596">
        <f>F27*H27*E27</f>
        <v>4</v>
      </c>
      <c r="K27" s="596">
        <f>IF(F27&lt;1.5,(F27+0.15*2),(F27+0.2*2))*H27*E27</f>
        <v>4.8</v>
      </c>
      <c r="L27" s="596">
        <f>IF(F27&lt;1.5,(F27+0.45*2),(F27+0.6*2))*H27*E27</f>
        <v>6.4</v>
      </c>
      <c r="M27" s="616"/>
      <c r="N27" s="549"/>
    </row>
    <row r="28" spans="1:14" x14ac:dyDescent="0.2">
      <c r="A28" s="615" t="str">
        <f t="shared" si="6"/>
        <v>GARAGEM 2</v>
      </c>
      <c r="B28" s="575" t="str">
        <f>B27</f>
        <v>JANELA</v>
      </c>
      <c r="C28" s="576"/>
      <c r="D28" s="576" t="s">
        <v>736</v>
      </c>
      <c r="E28" s="577">
        <v>1</v>
      </c>
      <c r="F28" s="588">
        <v>4.8</v>
      </c>
      <c r="G28" s="588">
        <v>2.38</v>
      </c>
      <c r="H28" s="578">
        <v>1</v>
      </c>
      <c r="I28" s="578">
        <f>H28*G28*F28*E28</f>
        <v>11.423999999999999</v>
      </c>
      <c r="J28" s="596">
        <f>F28*H28*E28</f>
        <v>4.8</v>
      </c>
      <c r="K28" s="596">
        <f>IF(F28&lt;1.5,(F28+0.15*2),(F28+0.2*2))*H28*E28</f>
        <v>5.2</v>
      </c>
      <c r="L28" s="596">
        <f>IF(F28&lt;1.5,(F28+0.45*2),(F28+0.6*2))*H28*E28</f>
        <v>6</v>
      </c>
      <c r="M28" s="616"/>
      <c r="N28" s="549"/>
    </row>
    <row r="29" spans="1:14" ht="14.45" customHeight="1" x14ac:dyDescent="0.2">
      <c r="A29" s="615" t="str">
        <f t="shared" si="6"/>
        <v>GARAGEM 2</v>
      </c>
      <c r="B29" s="568" t="s">
        <v>349</v>
      </c>
      <c r="C29" s="569"/>
      <c r="D29" s="569"/>
      <c r="E29" s="570"/>
      <c r="F29" s="570"/>
      <c r="G29" s="570"/>
      <c r="H29" s="571"/>
      <c r="I29" s="571"/>
      <c r="J29" s="599">
        <f>SUM(J30)</f>
        <v>12</v>
      </c>
      <c r="K29" s="599">
        <f>SUM(K30)</f>
        <v>18</v>
      </c>
      <c r="L29" s="599">
        <f>SUM(L30)</f>
        <v>30</v>
      </c>
      <c r="M29" s="618"/>
      <c r="N29" s="549"/>
    </row>
    <row r="30" spans="1:14" x14ac:dyDescent="0.2">
      <c r="A30" s="615" t="str">
        <f t="shared" si="6"/>
        <v>GARAGEM 2</v>
      </c>
      <c r="B30" s="575" t="str">
        <f>B22</f>
        <v>PORTA</v>
      </c>
      <c r="C30" s="576"/>
      <c r="D30" s="576" t="s">
        <v>716</v>
      </c>
      <c r="E30" s="577">
        <v>20</v>
      </c>
      <c r="F30" s="588">
        <v>0.6</v>
      </c>
      <c r="G30" s="588">
        <v>1</v>
      </c>
      <c r="H30" s="578">
        <v>1</v>
      </c>
      <c r="I30" s="578">
        <f>H30*G30*F30*E30</f>
        <v>12</v>
      </c>
      <c r="J30" s="596">
        <f>F30*H30*E30</f>
        <v>12</v>
      </c>
      <c r="K30" s="596">
        <f>IF(F30&lt;1.5,(F30+0.15*2),(F30+0.2*2))*H30*E30</f>
        <v>18</v>
      </c>
      <c r="L30" s="596">
        <f>IF(F30&lt;1.5,(F30+0.45*2),(F30+0.6*2))*H30*E30</f>
        <v>30</v>
      </c>
      <c r="M30" s="616"/>
      <c r="N30" s="549"/>
    </row>
    <row r="31" spans="1:14" ht="14.45" customHeight="1" x14ac:dyDescent="0.2">
      <c r="A31" s="620" t="s">
        <v>894</v>
      </c>
      <c r="B31" s="561"/>
      <c r="C31" s="562"/>
      <c r="D31" s="562"/>
      <c r="E31" s="563"/>
      <c r="F31" s="563"/>
      <c r="G31" s="563"/>
      <c r="H31" s="564"/>
      <c r="I31" s="564"/>
      <c r="J31" s="593">
        <f>J32+J38</f>
        <v>28</v>
      </c>
      <c r="K31" s="593"/>
      <c r="L31" s="593">
        <f>L32+L38</f>
        <v>51.4</v>
      </c>
      <c r="M31" s="621"/>
      <c r="N31" s="549"/>
    </row>
    <row r="32" spans="1:14" ht="14.45" customHeight="1" x14ac:dyDescent="0.2">
      <c r="A32" s="615" t="str">
        <f>A31</f>
        <v>GARAGEM 3</v>
      </c>
      <c r="B32" s="608" t="s">
        <v>348</v>
      </c>
      <c r="C32" s="609"/>
      <c r="D32" s="609"/>
      <c r="E32" s="610"/>
      <c r="F32" s="610"/>
      <c r="G32" s="610"/>
      <c r="H32" s="611"/>
      <c r="I32" s="611"/>
      <c r="J32" s="612">
        <f>SUM(J33:J37)</f>
        <v>15.999999999999998</v>
      </c>
      <c r="K32" s="612">
        <f>SUM(K33:K37)</f>
        <v>17.8</v>
      </c>
      <c r="L32" s="612">
        <f>SUM(L33:L37)</f>
        <v>21.4</v>
      </c>
      <c r="M32" s="614"/>
      <c r="N32" s="549"/>
    </row>
    <row r="33" spans="1:14" x14ac:dyDescent="0.2">
      <c r="A33" s="615" t="str">
        <f t="shared" ref="A33:A39" si="7">A32</f>
        <v>GARAGEM 3</v>
      </c>
      <c r="B33" s="575" t="str">
        <f>B32</f>
        <v>JANELA</v>
      </c>
      <c r="C33" s="576"/>
      <c r="D33" s="576" t="s">
        <v>591</v>
      </c>
      <c r="E33" s="577">
        <v>1</v>
      </c>
      <c r="F33" s="588">
        <v>1.25</v>
      </c>
      <c r="G33" s="588">
        <v>0.8</v>
      </c>
      <c r="H33" s="578">
        <v>1</v>
      </c>
      <c r="I33" s="578">
        <f>H33*G33*F33*E33</f>
        <v>1</v>
      </c>
      <c r="J33" s="596">
        <f>F33*H33*E33</f>
        <v>1.25</v>
      </c>
      <c r="K33" s="596">
        <f>IF(F33&lt;1.5,(F33+0.15*2),(F33+0.2*2))*H33*E33</f>
        <v>1.55</v>
      </c>
      <c r="L33" s="596">
        <f>IF(F33&lt;1.5,(F33+0.45*2),(F33+0.6*2))*H33*E33</f>
        <v>2.15</v>
      </c>
      <c r="M33" s="616"/>
      <c r="N33" s="549"/>
    </row>
    <row r="34" spans="1:14" x14ac:dyDescent="0.2">
      <c r="A34" s="615" t="str">
        <f t="shared" si="7"/>
        <v>GARAGEM 3</v>
      </c>
      <c r="B34" s="575" t="str">
        <f>B18</f>
        <v>PORTA</v>
      </c>
      <c r="C34" s="576"/>
      <c r="D34" s="576" t="s">
        <v>590</v>
      </c>
      <c r="E34" s="577">
        <v>1</v>
      </c>
      <c r="F34" s="588">
        <v>1.25</v>
      </c>
      <c r="G34" s="588">
        <v>0.8</v>
      </c>
      <c r="H34" s="578">
        <v>1</v>
      </c>
      <c r="I34" s="578">
        <f>H34*G34*F34*E34</f>
        <v>1</v>
      </c>
      <c r="J34" s="596">
        <f>F34*H34*E34</f>
        <v>1.25</v>
      </c>
      <c r="K34" s="596">
        <f>IF(F34&lt;1.5,(F34+0.15*2),(F34+0.2*2))*H34*E34</f>
        <v>1.55</v>
      </c>
      <c r="L34" s="596">
        <f>IF(F34&lt;1.5,(F34+0.45*2),(F34+0.6*2))*H34*E34</f>
        <v>2.15</v>
      </c>
      <c r="M34" s="616"/>
      <c r="N34" s="549"/>
    </row>
    <row r="35" spans="1:14" x14ac:dyDescent="0.2">
      <c r="A35" s="615" t="str">
        <f>A34</f>
        <v>GARAGEM 3</v>
      </c>
      <c r="B35" s="575" t="str">
        <f>B34</f>
        <v>PORTA</v>
      </c>
      <c r="C35" s="576"/>
      <c r="D35" s="576" t="s">
        <v>732</v>
      </c>
      <c r="E35" s="577">
        <v>1</v>
      </c>
      <c r="F35" s="588">
        <v>4.5999999999999996</v>
      </c>
      <c r="G35" s="588">
        <v>2.38</v>
      </c>
      <c r="H35" s="578">
        <v>1</v>
      </c>
      <c r="I35" s="578">
        <f>H35*G35*F35*E35</f>
        <v>10.947999999999999</v>
      </c>
      <c r="J35" s="596">
        <f>F35*H35*E35</f>
        <v>4.5999999999999996</v>
      </c>
      <c r="K35" s="596">
        <f>IF(F35&lt;1.5,(F35+0.15*2),(F35+0.2*2))*H35*E35</f>
        <v>5</v>
      </c>
      <c r="L35" s="596">
        <f>IF(F35&lt;1.5,(F35+0.45*2),(F35+0.6*2))*H35*E35</f>
        <v>5.8</v>
      </c>
      <c r="M35" s="616"/>
      <c r="N35" s="549"/>
    </row>
    <row r="36" spans="1:14" x14ac:dyDescent="0.2">
      <c r="A36" s="615" t="str">
        <f>A34</f>
        <v>GARAGEM 3</v>
      </c>
      <c r="B36" s="575" t="str">
        <f>B34</f>
        <v>PORTA</v>
      </c>
      <c r="C36" s="576"/>
      <c r="D36" s="576" t="s">
        <v>731</v>
      </c>
      <c r="E36" s="577">
        <v>1</v>
      </c>
      <c r="F36" s="588">
        <v>3.8</v>
      </c>
      <c r="G36" s="588">
        <v>2.38</v>
      </c>
      <c r="H36" s="578">
        <v>1</v>
      </c>
      <c r="I36" s="578">
        <f>H36*G36*F36*E36</f>
        <v>9.0439999999999987</v>
      </c>
      <c r="J36" s="596">
        <f>F36*H36*E36</f>
        <v>3.8</v>
      </c>
      <c r="K36" s="596">
        <f>IF(F36&lt;1.5,(F36+0.15*2),(F36+0.2*2))*H36*E36</f>
        <v>4.2</v>
      </c>
      <c r="L36" s="596">
        <f>IF(F36&lt;1.5,(F36+0.45*2),(F36+0.6*2))*H36*E36</f>
        <v>5</v>
      </c>
      <c r="M36" s="616"/>
      <c r="N36" s="549"/>
    </row>
    <row r="37" spans="1:14" x14ac:dyDescent="0.2">
      <c r="A37" s="615" t="str">
        <f t="shared" si="7"/>
        <v>GARAGEM 3</v>
      </c>
      <c r="B37" s="575" t="str">
        <f>B36</f>
        <v>PORTA</v>
      </c>
      <c r="C37" s="576"/>
      <c r="D37" s="576" t="s">
        <v>730</v>
      </c>
      <c r="E37" s="577">
        <v>1</v>
      </c>
      <c r="F37" s="588">
        <v>5.0999999999999996</v>
      </c>
      <c r="G37" s="588">
        <v>2.38</v>
      </c>
      <c r="H37" s="578">
        <v>1</v>
      </c>
      <c r="I37" s="578">
        <f>H37*G37*F37*E37</f>
        <v>12.137999999999998</v>
      </c>
      <c r="J37" s="596">
        <f>F37*H37*E37</f>
        <v>5.0999999999999996</v>
      </c>
      <c r="K37" s="596">
        <f>IF(F37&lt;1.5,(F37+0.15*2),(F37+0.2*2))*H37*E37</f>
        <v>5.5</v>
      </c>
      <c r="L37" s="596">
        <f>IF(F37&lt;1.5,(F37+0.45*2),(F37+0.6*2))*H37*E37</f>
        <v>6.3</v>
      </c>
      <c r="M37" s="616"/>
      <c r="N37" s="549"/>
    </row>
    <row r="38" spans="1:14" ht="14.45" customHeight="1" x14ac:dyDescent="0.2">
      <c r="A38" s="615" t="str">
        <f t="shared" si="7"/>
        <v>GARAGEM 3</v>
      </c>
      <c r="B38" s="568" t="s">
        <v>349</v>
      </c>
      <c r="C38" s="569"/>
      <c r="D38" s="569"/>
      <c r="E38" s="570"/>
      <c r="F38" s="570"/>
      <c r="G38" s="570"/>
      <c r="H38" s="571"/>
      <c r="I38" s="571"/>
      <c r="J38" s="599">
        <f>SUM(J39)</f>
        <v>12</v>
      </c>
      <c r="K38" s="599">
        <f>SUM(K39)</f>
        <v>18</v>
      </c>
      <c r="L38" s="599">
        <f>SUM(L39)</f>
        <v>30</v>
      </c>
      <c r="M38" s="618"/>
      <c r="N38" s="549"/>
    </row>
    <row r="39" spans="1:14" x14ac:dyDescent="0.2">
      <c r="A39" s="615" t="str">
        <f t="shared" si="7"/>
        <v>GARAGEM 3</v>
      </c>
      <c r="B39" s="575" t="str">
        <f>B30</f>
        <v>PORTA</v>
      </c>
      <c r="C39" s="576"/>
      <c r="D39" s="576" t="s">
        <v>716</v>
      </c>
      <c r="E39" s="577">
        <v>20</v>
      </c>
      <c r="F39" s="588">
        <v>0.6</v>
      </c>
      <c r="G39" s="588">
        <v>1</v>
      </c>
      <c r="H39" s="578">
        <v>1</v>
      </c>
      <c r="I39" s="578">
        <f>H39*G39*F39*E39</f>
        <v>12</v>
      </c>
      <c r="J39" s="596">
        <f>F39*H39*E39</f>
        <v>12</v>
      </c>
      <c r="K39" s="596">
        <f>IF(F39&lt;1.5,(F39+0.15*2),(F39+0.2*2))*H39*E39</f>
        <v>18</v>
      </c>
      <c r="L39" s="596">
        <f>IF(F39&lt;1.5,(F39+0.45*2),(F39+0.6*2))*H39*E39</f>
        <v>30</v>
      </c>
      <c r="M39" s="616"/>
      <c r="N39" s="549"/>
    </row>
    <row r="40" spans="1:14" ht="14.45" customHeight="1" x14ac:dyDescent="0.2">
      <c r="A40" s="620" t="s">
        <v>895</v>
      </c>
      <c r="B40" s="561"/>
      <c r="C40" s="562"/>
      <c r="D40" s="562"/>
      <c r="E40" s="563"/>
      <c r="F40" s="563"/>
      <c r="G40" s="563"/>
      <c r="H40" s="564"/>
      <c r="I40" s="564"/>
      <c r="J40" s="593">
        <f>J41+J46</f>
        <v>24.45</v>
      </c>
      <c r="K40" s="593"/>
      <c r="L40" s="593">
        <f>L41+L46</f>
        <v>46.95</v>
      </c>
      <c r="M40" s="621"/>
      <c r="N40" s="549"/>
    </row>
    <row r="41" spans="1:14" ht="14.45" customHeight="1" x14ac:dyDescent="0.2">
      <c r="A41" s="615" t="str">
        <f>A40</f>
        <v>GARAGEM 4</v>
      </c>
      <c r="B41" s="608" t="s">
        <v>348</v>
      </c>
      <c r="C41" s="609"/>
      <c r="D41" s="609"/>
      <c r="E41" s="610"/>
      <c r="F41" s="610"/>
      <c r="G41" s="610"/>
      <c r="H41" s="611"/>
      <c r="I41" s="611"/>
      <c r="J41" s="612">
        <f>SUM(J42:J45)</f>
        <v>12.45</v>
      </c>
      <c r="K41" s="612">
        <f>SUM(K42:K45)</f>
        <v>13.95</v>
      </c>
      <c r="L41" s="612">
        <f>SUM(L42:L45)</f>
        <v>16.95</v>
      </c>
      <c r="M41" s="614"/>
      <c r="N41" s="549"/>
    </row>
    <row r="42" spans="1:14" x14ac:dyDescent="0.2">
      <c r="A42" s="615" t="str">
        <f t="shared" ref="A42:A47" si="8">A41</f>
        <v>GARAGEM 4</v>
      </c>
      <c r="B42" s="575" t="str">
        <f>B41</f>
        <v>JANELA</v>
      </c>
      <c r="C42" s="576"/>
      <c r="D42" s="576" t="s">
        <v>591</v>
      </c>
      <c r="E42" s="577">
        <v>1</v>
      </c>
      <c r="F42" s="588">
        <v>1.25</v>
      </c>
      <c r="G42" s="588">
        <v>0.8</v>
      </c>
      <c r="H42" s="578">
        <v>1</v>
      </c>
      <c r="I42" s="578">
        <f>H42*G42*F42*E42</f>
        <v>1</v>
      </c>
      <c r="J42" s="596">
        <f>F42*H42*E42</f>
        <v>1.25</v>
      </c>
      <c r="K42" s="596">
        <f>IF(F42&lt;1.5,(F42+0.15*2),(F42+0.2*2))*H42*E42</f>
        <v>1.55</v>
      </c>
      <c r="L42" s="596">
        <f>IF(F42&lt;1.5,(F42+0.45*2),(F42+0.6*2))*H42*E42</f>
        <v>2.15</v>
      </c>
      <c r="M42" s="616"/>
      <c r="N42" s="549"/>
    </row>
    <row r="43" spans="1:14" x14ac:dyDescent="0.2">
      <c r="A43" s="615" t="str">
        <f t="shared" si="8"/>
        <v>GARAGEM 4</v>
      </c>
      <c r="B43" s="575" t="str">
        <f>B26</f>
        <v>JANELA</v>
      </c>
      <c r="C43" s="576"/>
      <c r="D43" s="576" t="s">
        <v>719</v>
      </c>
      <c r="E43" s="577">
        <v>1</v>
      </c>
      <c r="F43" s="588">
        <v>3.4</v>
      </c>
      <c r="G43" s="588">
        <v>3.1</v>
      </c>
      <c r="H43" s="578">
        <v>1</v>
      </c>
      <c r="I43" s="578">
        <f>H43*G43*F43*E43</f>
        <v>10.54</v>
      </c>
      <c r="J43" s="596">
        <f>F43*H43*E43</f>
        <v>3.4</v>
      </c>
      <c r="K43" s="596">
        <f>IF(F43&lt;1.5,(F43+0.15*2),(F43+0.2*2))*H43*E43</f>
        <v>3.8</v>
      </c>
      <c r="L43" s="596">
        <f>IF(F43&lt;1.5,(F43+0.45*2),(F43+0.6*2))*H43*E43</f>
        <v>4.5999999999999996</v>
      </c>
      <c r="M43" s="616"/>
      <c r="N43" s="549"/>
    </row>
    <row r="44" spans="1:14" x14ac:dyDescent="0.2">
      <c r="A44" s="615" t="str">
        <f t="shared" si="8"/>
        <v>GARAGEM 4</v>
      </c>
      <c r="B44" s="575" t="str">
        <f>B43</f>
        <v>JANELA</v>
      </c>
      <c r="C44" s="576"/>
      <c r="D44" s="576" t="s">
        <v>718</v>
      </c>
      <c r="E44" s="577">
        <v>1</v>
      </c>
      <c r="F44" s="588">
        <v>2</v>
      </c>
      <c r="G44" s="588">
        <v>3.1</v>
      </c>
      <c r="H44" s="578">
        <v>1</v>
      </c>
      <c r="I44" s="578">
        <f>H44*G44*F44*E44</f>
        <v>6.2</v>
      </c>
      <c r="J44" s="596">
        <f>F44*H44*E44</f>
        <v>2</v>
      </c>
      <c r="K44" s="596">
        <f>IF(F44&lt;1.5,(F44+0.15*2),(F44+0.2*2))*H44*E44</f>
        <v>2.4</v>
      </c>
      <c r="L44" s="596">
        <f>IF(F44&lt;1.5,(F44+0.45*2),(F44+0.6*2))*H44*E44</f>
        <v>3.2</v>
      </c>
      <c r="M44" s="616"/>
      <c r="N44" s="549"/>
    </row>
    <row r="45" spans="1:14" x14ac:dyDescent="0.2">
      <c r="A45" s="615" t="str">
        <f t="shared" si="8"/>
        <v>GARAGEM 4</v>
      </c>
      <c r="B45" s="575" t="str">
        <f>B44</f>
        <v>JANELA</v>
      </c>
      <c r="C45" s="576"/>
      <c r="D45" s="576" t="s">
        <v>717</v>
      </c>
      <c r="E45" s="577">
        <v>1</v>
      </c>
      <c r="F45" s="588">
        <v>5.8</v>
      </c>
      <c r="G45" s="588">
        <v>3.1</v>
      </c>
      <c r="H45" s="578">
        <v>1</v>
      </c>
      <c r="I45" s="578">
        <f>H45*G45*F45*E45</f>
        <v>17.98</v>
      </c>
      <c r="J45" s="596">
        <f>F45*H45*E45</f>
        <v>5.8</v>
      </c>
      <c r="K45" s="596">
        <f>IF(F45&lt;1.5,(F45+0.15*2),(F45+0.2*2))*H45*E45</f>
        <v>6.2</v>
      </c>
      <c r="L45" s="596">
        <f>IF(F45&lt;1.5,(F45+0.45*2),(F45+0.6*2))*H45*E45</f>
        <v>7</v>
      </c>
      <c r="M45" s="616"/>
      <c r="N45" s="549"/>
    </row>
    <row r="46" spans="1:14" ht="14.45" customHeight="1" x14ac:dyDescent="0.2">
      <c r="A46" s="615" t="str">
        <f t="shared" si="8"/>
        <v>GARAGEM 4</v>
      </c>
      <c r="B46" s="568" t="s">
        <v>349</v>
      </c>
      <c r="C46" s="569"/>
      <c r="D46" s="569"/>
      <c r="E46" s="570"/>
      <c r="F46" s="570"/>
      <c r="G46" s="570"/>
      <c r="H46" s="571"/>
      <c r="I46" s="571"/>
      <c r="J46" s="599">
        <f>SUM(J47)</f>
        <v>12</v>
      </c>
      <c r="K46" s="599">
        <f>SUM(K47)</f>
        <v>18</v>
      </c>
      <c r="L46" s="599">
        <f>SUM(L47)</f>
        <v>30</v>
      </c>
      <c r="M46" s="618"/>
      <c r="N46" s="549"/>
    </row>
    <row r="47" spans="1:14" x14ac:dyDescent="0.2">
      <c r="A47" s="615" t="str">
        <f t="shared" si="8"/>
        <v>GARAGEM 4</v>
      </c>
      <c r="B47" s="575" t="str">
        <f>B39</f>
        <v>PORTA</v>
      </c>
      <c r="C47" s="576"/>
      <c r="D47" s="576" t="s">
        <v>716</v>
      </c>
      <c r="E47" s="577">
        <v>20</v>
      </c>
      <c r="F47" s="588">
        <v>0.6</v>
      </c>
      <c r="G47" s="588">
        <v>1</v>
      </c>
      <c r="H47" s="578">
        <v>1</v>
      </c>
      <c r="I47" s="578">
        <f>H47*G47*F47*E47</f>
        <v>12</v>
      </c>
      <c r="J47" s="596">
        <f>F47*H47*E47</f>
        <v>12</v>
      </c>
      <c r="K47" s="596">
        <f>IF(F47&lt;1.5,(F47+0.15*2),(F47+0.2*2))*H47*E47</f>
        <v>18</v>
      </c>
      <c r="L47" s="596">
        <f>IF(F47&lt;1.5,(F47+0.45*2),(F47+0.6*2))*H47*E47</f>
        <v>30</v>
      </c>
      <c r="M47" s="616"/>
      <c r="N47" s="549"/>
    </row>
    <row r="48" spans="1:14" ht="14.45" customHeight="1" x14ac:dyDescent="0.2">
      <c r="A48" s="620" t="s">
        <v>229</v>
      </c>
      <c r="B48" s="561"/>
      <c r="C48" s="562"/>
      <c r="D48" s="562"/>
      <c r="E48" s="563"/>
      <c r="F48" s="563"/>
      <c r="G48" s="563"/>
      <c r="H48" s="564"/>
      <c r="I48" s="564"/>
      <c r="J48" s="593">
        <f>J49+J56</f>
        <v>6</v>
      </c>
      <c r="K48" s="593"/>
      <c r="L48" s="593">
        <f>L49+L56</f>
        <v>2549.5500000000011</v>
      </c>
      <c r="M48" s="621"/>
      <c r="N48" s="549"/>
    </row>
    <row r="49" spans="1:14" ht="14.45" customHeight="1" x14ac:dyDescent="0.2">
      <c r="A49" s="615" t="str">
        <f>A48</f>
        <v>LAZER</v>
      </c>
      <c r="B49" s="608" t="s">
        <v>348</v>
      </c>
      <c r="C49" s="609"/>
      <c r="D49" s="609"/>
      <c r="E49" s="610"/>
      <c r="F49" s="610"/>
      <c r="G49" s="610"/>
      <c r="H49" s="611"/>
      <c r="I49" s="611"/>
      <c r="J49" s="612">
        <f>SUM(J50:J53)</f>
        <v>5.0999999999999996</v>
      </c>
      <c r="K49" s="612">
        <f>SUM(K50:K111)</f>
        <v>1259.7</v>
      </c>
      <c r="L49" s="612">
        <f>SUM(L50:L111)</f>
        <v>2547.7500000000009</v>
      </c>
      <c r="M49" s="614"/>
      <c r="N49" s="549"/>
    </row>
    <row r="50" spans="1:14" x14ac:dyDescent="0.2">
      <c r="A50" s="615" t="str">
        <f>A49</f>
        <v>LAZER</v>
      </c>
      <c r="B50" s="575" t="str">
        <f>B49</f>
        <v>JANELA</v>
      </c>
      <c r="C50" s="576"/>
      <c r="D50" s="576" t="s">
        <v>591</v>
      </c>
      <c r="E50" s="577">
        <v>1</v>
      </c>
      <c r="F50" s="588">
        <v>1.25</v>
      </c>
      <c r="G50" s="588">
        <v>0.8</v>
      </c>
      <c r="H50" s="578">
        <v>1</v>
      </c>
      <c r="I50" s="578">
        <f t="shared" ref="I50:I55" si="9">H50*G50*F50*E50</f>
        <v>1</v>
      </c>
      <c r="J50" s="596">
        <f t="shared" ref="J50:J55" si="10">F50*H50*E50</f>
        <v>1.25</v>
      </c>
      <c r="K50" s="596">
        <f t="shared" ref="K50:K55" si="11">IF(F50&lt;1.5,(F50+0.15*2),(F50+0.2*2))*H50*E50</f>
        <v>1.55</v>
      </c>
      <c r="L50" s="596">
        <f t="shared" ref="L50:L55" si="12">IF(F50&lt;1.5,(F50+0.45*2),(F50+0.6*2))*H50*E50</f>
        <v>2.15</v>
      </c>
      <c r="M50" s="616"/>
      <c r="N50" s="549"/>
    </row>
    <row r="51" spans="1:14" x14ac:dyDescent="0.2">
      <c r="A51" s="615" t="str">
        <f>A50</f>
        <v>LAZER</v>
      </c>
      <c r="B51" s="575" t="str">
        <f>B34</f>
        <v>PORTA</v>
      </c>
      <c r="C51" s="576"/>
      <c r="D51" s="576" t="s">
        <v>590</v>
      </c>
      <c r="E51" s="577">
        <v>1</v>
      </c>
      <c r="F51" s="588">
        <v>1.25</v>
      </c>
      <c r="G51" s="588">
        <v>0.8</v>
      </c>
      <c r="H51" s="578">
        <v>1</v>
      </c>
      <c r="I51" s="578">
        <f t="shared" si="9"/>
        <v>1</v>
      </c>
      <c r="J51" s="596">
        <f t="shared" si="10"/>
        <v>1.25</v>
      </c>
      <c r="K51" s="596">
        <f t="shared" si="11"/>
        <v>1.55</v>
      </c>
      <c r="L51" s="596">
        <f t="shared" si="12"/>
        <v>2.15</v>
      </c>
      <c r="M51" s="616"/>
      <c r="N51" s="549"/>
    </row>
    <row r="52" spans="1:14" x14ac:dyDescent="0.2">
      <c r="A52" s="615" t="str">
        <f>A51</f>
        <v>LAZER</v>
      </c>
      <c r="B52" s="575" t="str">
        <f>B51</f>
        <v>PORTA</v>
      </c>
      <c r="C52" s="576"/>
      <c r="D52" s="576" t="s">
        <v>692</v>
      </c>
      <c r="E52" s="577">
        <v>2</v>
      </c>
      <c r="F52" s="588">
        <v>1</v>
      </c>
      <c r="G52" s="588">
        <v>7.85</v>
      </c>
      <c r="H52" s="578">
        <v>1</v>
      </c>
      <c r="I52" s="578">
        <f t="shared" si="9"/>
        <v>15.7</v>
      </c>
      <c r="J52" s="596">
        <f t="shared" si="10"/>
        <v>2</v>
      </c>
      <c r="K52" s="596">
        <f t="shared" si="11"/>
        <v>2.6</v>
      </c>
      <c r="L52" s="596">
        <f t="shared" si="12"/>
        <v>3.8</v>
      </c>
      <c r="M52" s="616"/>
      <c r="N52" s="549"/>
    </row>
    <row r="53" spans="1:14" x14ac:dyDescent="0.2">
      <c r="A53" s="615" t="str">
        <f>A52</f>
        <v>LAZER</v>
      </c>
      <c r="B53" s="575" t="str">
        <f>B52</f>
        <v>PORTA</v>
      </c>
      <c r="C53" s="576"/>
      <c r="D53" s="576" t="s">
        <v>621</v>
      </c>
      <c r="E53" s="577">
        <v>1</v>
      </c>
      <c r="F53" s="588">
        <v>0.6</v>
      </c>
      <c r="G53" s="588">
        <v>0.6</v>
      </c>
      <c r="H53" s="578">
        <v>1</v>
      </c>
      <c r="I53" s="578">
        <f t="shared" si="9"/>
        <v>0.36</v>
      </c>
      <c r="J53" s="596">
        <f t="shared" si="10"/>
        <v>0.6</v>
      </c>
      <c r="K53" s="596">
        <f t="shared" si="11"/>
        <v>0.89999999999999991</v>
      </c>
      <c r="L53" s="596">
        <f t="shared" si="12"/>
        <v>1.5</v>
      </c>
      <c r="M53" s="616"/>
      <c r="N53" s="549"/>
    </row>
    <row r="54" spans="1:14" x14ac:dyDescent="0.2">
      <c r="A54" s="615" t="str">
        <f>A45</f>
        <v>GARAGEM 4</v>
      </c>
      <c r="B54" s="575" t="str">
        <f>B45</f>
        <v>JANELA</v>
      </c>
      <c r="C54" s="576"/>
      <c r="D54" s="576" t="s">
        <v>617</v>
      </c>
      <c r="E54" s="577">
        <v>3</v>
      </c>
      <c r="F54" s="588">
        <v>0.7</v>
      </c>
      <c r="G54" s="588">
        <v>0.6</v>
      </c>
      <c r="H54" s="578">
        <v>1</v>
      </c>
      <c r="I54" s="578">
        <f t="shared" si="9"/>
        <v>1.26</v>
      </c>
      <c r="J54" s="596">
        <f t="shared" si="10"/>
        <v>2.0999999999999996</v>
      </c>
      <c r="K54" s="596">
        <f t="shared" si="11"/>
        <v>3</v>
      </c>
      <c r="L54" s="596">
        <f t="shared" si="12"/>
        <v>4.8000000000000007</v>
      </c>
      <c r="M54" s="616"/>
      <c r="N54" s="549"/>
    </row>
    <row r="55" spans="1:14" x14ac:dyDescent="0.2">
      <c r="A55" s="615" t="str">
        <f>A53</f>
        <v>LAZER</v>
      </c>
      <c r="B55" s="575" t="str">
        <f>B53</f>
        <v>PORTA</v>
      </c>
      <c r="C55" s="576"/>
      <c r="D55" s="576" t="s">
        <v>616</v>
      </c>
      <c r="E55" s="577">
        <v>3</v>
      </c>
      <c r="F55" s="588">
        <v>0.7</v>
      </c>
      <c r="G55" s="588">
        <v>0.6</v>
      </c>
      <c r="H55" s="578">
        <v>1</v>
      </c>
      <c r="I55" s="578">
        <f t="shared" si="9"/>
        <v>1.26</v>
      </c>
      <c r="J55" s="596">
        <f t="shared" si="10"/>
        <v>2.0999999999999996</v>
      </c>
      <c r="K55" s="596">
        <f t="shared" si="11"/>
        <v>3</v>
      </c>
      <c r="L55" s="596">
        <f t="shared" si="12"/>
        <v>4.8000000000000007</v>
      </c>
      <c r="M55" s="616"/>
      <c r="N55" s="549"/>
    </row>
    <row r="56" spans="1:14" ht="14.45" customHeight="1" x14ac:dyDescent="0.2">
      <c r="A56" s="615" t="str">
        <f>A53</f>
        <v>LAZER</v>
      </c>
      <c r="B56" s="568" t="s">
        <v>349</v>
      </c>
      <c r="C56" s="569"/>
      <c r="D56" s="569"/>
      <c r="E56" s="570"/>
      <c r="F56" s="570"/>
      <c r="G56" s="570"/>
      <c r="H56" s="571"/>
      <c r="I56" s="571"/>
      <c r="J56" s="599">
        <f>SUM(J57)</f>
        <v>0.9</v>
      </c>
      <c r="K56" s="599">
        <f>SUM(K57)</f>
        <v>1.2</v>
      </c>
      <c r="L56" s="599">
        <f>SUM(L57)</f>
        <v>1.8</v>
      </c>
      <c r="M56" s="618"/>
      <c r="N56" s="549"/>
    </row>
    <row r="57" spans="1:14" x14ac:dyDescent="0.2">
      <c r="A57" s="615" t="str">
        <f t="shared" ref="A57:A62" si="13">A56</f>
        <v>LAZER</v>
      </c>
      <c r="B57" s="575" t="str">
        <f t="shared" ref="B57:B62" si="14">B47</f>
        <v>PORTA</v>
      </c>
      <c r="C57" s="576"/>
      <c r="D57" s="576" t="s">
        <v>589</v>
      </c>
      <c r="E57" s="577">
        <v>1</v>
      </c>
      <c r="F57" s="588">
        <v>0.9</v>
      </c>
      <c r="G57" s="588">
        <v>2.1</v>
      </c>
      <c r="H57" s="578">
        <v>1</v>
      </c>
      <c r="I57" s="578">
        <f t="shared" ref="I57:I62" si="15">H57*G57*F57*E57</f>
        <v>1.8900000000000001</v>
      </c>
      <c r="J57" s="596">
        <f t="shared" ref="J57:J62" si="16">F57*H57*E57</f>
        <v>0.9</v>
      </c>
      <c r="K57" s="596">
        <f t="shared" ref="K57:K62" si="17">IF(F57&lt;1.5,(F57+0.15*2),(F57+0.2*2))*H57*E57</f>
        <v>1.2</v>
      </c>
      <c r="L57" s="596">
        <f t="shared" ref="L57:L62" si="18">IF(F57&lt;1.5,(F57+0.45*2),(F57+0.6*2))*H57*E57</f>
        <v>1.8</v>
      </c>
      <c r="M57" s="616"/>
      <c r="N57" s="549"/>
    </row>
    <row r="58" spans="1:14" x14ac:dyDescent="0.2">
      <c r="A58" s="615" t="str">
        <f t="shared" si="13"/>
        <v>LAZER</v>
      </c>
      <c r="B58" s="575">
        <f t="shared" si="14"/>
        <v>0</v>
      </c>
      <c r="C58" s="576"/>
      <c r="D58" s="576" t="s">
        <v>685</v>
      </c>
      <c r="E58" s="577">
        <v>3</v>
      </c>
      <c r="F58" s="588">
        <v>0.9</v>
      </c>
      <c r="G58" s="588">
        <v>2.1</v>
      </c>
      <c r="H58" s="578">
        <v>1</v>
      </c>
      <c r="I58" s="578">
        <f t="shared" si="15"/>
        <v>5.67</v>
      </c>
      <c r="J58" s="596">
        <f t="shared" si="16"/>
        <v>2.7</v>
      </c>
      <c r="K58" s="596">
        <f t="shared" si="17"/>
        <v>3.5999999999999996</v>
      </c>
      <c r="L58" s="596">
        <f t="shared" si="18"/>
        <v>5.4</v>
      </c>
      <c r="M58" s="616"/>
      <c r="N58" s="549"/>
    </row>
    <row r="59" spans="1:14" x14ac:dyDescent="0.2">
      <c r="A59" s="615" t="str">
        <f t="shared" si="13"/>
        <v>LAZER</v>
      </c>
      <c r="B59" s="575" t="str">
        <f t="shared" si="14"/>
        <v>JANELA</v>
      </c>
      <c r="C59" s="576"/>
      <c r="D59" s="576" t="s">
        <v>684</v>
      </c>
      <c r="E59" s="577">
        <v>3</v>
      </c>
      <c r="F59" s="588">
        <v>2</v>
      </c>
      <c r="G59" s="588">
        <v>2.1</v>
      </c>
      <c r="H59" s="578">
        <v>1</v>
      </c>
      <c r="I59" s="578">
        <f t="shared" si="15"/>
        <v>12.600000000000001</v>
      </c>
      <c r="J59" s="596">
        <f t="shared" si="16"/>
        <v>6</v>
      </c>
      <c r="K59" s="596">
        <f t="shared" si="17"/>
        <v>7.1999999999999993</v>
      </c>
      <c r="L59" s="596">
        <f t="shared" si="18"/>
        <v>9.6000000000000014</v>
      </c>
      <c r="M59" s="616"/>
      <c r="N59" s="549"/>
    </row>
    <row r="60" spans="1:14" x14ac:dyDescent="0.2">
      <c r="A60" s="615" t="str">
        <f t="shared" si="13"/>
        <v>LAZER</v>
      </c>
      <c r="B60" s="575" t="str">
        <f t="shared" si="14"/>
        <v>JANELA</v>
      </c>
      <c r="C60" s="576"/>
      <c r="D60" s="576" t="s">
        <v>683</v>
      </c>
      <c r="E60" s="577">
        <v>3</v>
      </c>
      <c r="F60" s="588">
        <v>3</v>
      </c>
      <c r="G60" s="588">
        <v>2.1</v>
      </c>
      <c r="H60" s="578">
        <v>1</v>
      </c>
      <c r="I60" s="578">
        <f t="shared" si="15"/>
        <v>18.900000000000002</v>
      </c>
      <c r="J60" s="596">
        <f t="shared" si="16"/>
        <v>9</v>
      </c>
      <c r="K60" s="596">
        <f t="shared" si="17"/>
        <v>10.199999999999999</v>
      </c>
      <c r="L60" s="596">
        <f t="shared" si="18"/>
        <v>12.600000000000001</v>
      </c>
      <c r="M60" s="616"/>
      <c r="N60" s="549"/>
    </row>
    <row r="61" spans="1:14" x14ac:dyDescent="0.2">
      <c r="A61" s="615" t="str">
        <f t="shared" si="13"/>
        <v>LAZER</v>
      </c>
      <c r="B61" s="575" t="str">
        <f t="shared" si="14"/>
        <v>PORTA</v>
      </c>
      <c r="C61" s="576"/>
      <c r="D61" s="576" t="s">
        <v>682</v>
      </c>
      <c r="E61" s="577">
        <v>2</v>
      </c>
      <c r="F61" s="588">
        <v>0.7</v>
      </c>
      <c r="G61" s="588">
        <v>2.1</v>
      </c>
      <c r="H61" s="578">
        <v>1</v>
      </c>
      <c r="I61" s="578">
        <f t="shared" si="15"/>
        <v>2.94</v>
      </c>
      <c r="J61" s="596">
        <f t="shared" si="16"/>
        <v>1.4</v>
      </c>
      <c r="K61" s="596">
        <f t="shared" si="17"/>
        <v>2</v>
      </c>
      <c r="L61" s="596">
        <f t="shared" si="18"/>
        <v>3.2</v>
      </c>
      <c r="M61" s="616"/>
      <c r="N61" s="549"/>
    </row>
    <row r="62" spans="1:14" x14ac:dyDescent="0.2">
      <c r="A62" s="615" t="str">
        <f t="shared" si="13"/>
        <v>LAZER</v>
      </c>
      <c r="B62" s="575" t="str">
        <f t="shared" si="14"/>
        <v>PORTA</v>
      </c>
      <c r="C62" s="576"/>
      <c r="D62" s="576"/>
      <c r="E62" s="577">
        <v>1</v>
      </c>
      <c r="F62" s="588"/>
      <c r="G62" s="588"/>
      <c r="H62" s="578">
        <v>1</v>
      </c>
      <c r="I62" s="578">
        <f t="shared" si="15"/>
        <v>0</v>
      </c>
      <c r="J62" s="596">
        <f t="shared" si="16"/>
        <v>0</v>
      </c>
      <c r="K62" s="596">
        <f t="shared" si="17"/>
        <v>0.3</v>
      </c>
      <c r="L62" s="596">
        <f t="shared" si="18"/>
        <v>0.9</v>
      </c>
      <c r="M62" s="616"/>
      <c r="N62" s="549"/>
    </row>
    <row r="63" spans="1:14" ht="14.45" customHeight="1" x14ac:dyDescent="0.2">
      <c r="A63" s="620" t="s">
        <v>405</v>
      </c>
      <c r="B63" s="561"/>
      <c r="C63" s="562"/>
      <c r="D63" s="562"/>
      <c r="E63" s="563"/>
      <c r="F63" s="563"/>
      <c r="G63" s="563"/>
      <c r="H63" s="564"/>
      <c r="I63" s="564"/>
      <c r="J63" s="593">
        <f>J64+J78</f>
        <v>218</v>
      </c>
      <c r="K63" s="593"/>
      <c r="L63" s="593">
        <f>L64+L78</f>
        <v>500</v>
      </c>
      <c r="M63" s="621"/>
      <c r="N63" s="549"/>
    </row>
    <row r="64" spans="1:14" ht="14.45" customHeight="1" x14ac:dyDescent="0.2">
      <c r="A64" s="615" t="str">
        <f>A63</f>
        <v>TIPOS</v>
      </c>
      <c r="B64" s="608" t="s">
        <v>348</v>
      </c>
      <c r="C64" s="609"/>
      <c r="D64" s="609"/>
      <c r="E64" s="610"/>
      <c r="F64" s="610"/>
      <c r="G64" s="610"/>
      <c r="H64" s="611"/>
      <c r="I64" s="611"/>
      <c r="J64" s="612">
        <f>SUM(J65:J68)</f>
        <v>218</v>
      </c>
      <c r="K64" s="612">
        <f>SUM(K65:K68)</f>
        <v>252.00000000000003</v>
      </c>
      <c r="L64" s="612">
        <f>SUM(L65:L68)</f>
        <v>320</v>
      </c>
      <c r="M64" s="614"/>
      <c r="N64" s="549"/>
    </row>
    <row r="65" spans="1:14" x14ac:dyDescent="0.2">
      <c r="A65" s="615" t="str">
        <f>A64</f>
        <v>TIPOS</v>
      </c>
      <c r="B65" s="575" t="str">
        <f>B64</f>
        <v>JANELA</v>
      </c>
      <c r="C65" s="576"/>
      <c r="D65" s="576" t="s">
        <v>591</v>
      </c>
      <c r="E65" s="578">
        <v>1</v>
      </c>
      <c r="F65" s="588">
        <v>1.25</v>
      </c>
      <c r="G65" s="588">
        <v>0.8</v>
      </c>
      <c r="H65" s="578">
        <v>20</v>
      </c>
      <c r="I65" s="578">
        <f t="shared" ref="I65:I77" si="19">H65*G65*F65*E65</f>
        <v>20</v>
      </c>
      <c r="J65" s="596">
        <f>F65*H65*E65</f>
        <v>25</v>
      </c>
      <c r="K65" s="596">
        <f>IF(F65&lt;1.5,(F65+0.15*2),(F65+0.2*2))*H65*E65</f>
        <v>31</v>
      </c>
      <c r="L65" s="596">
        <f>IF(F65&lt;1.5,(F65+0.45*2),(F65+0.6*2))*H65*E65</f>
        <v>43</v>
      </c>
      <c r="M65" s="616"/>
      <c r="N65" s="549"/>
    </row>
    <row r="66" spans="1:14" x14ac:dyDescent="0.2">
      <c r="A66" s="615" t="str">
        <f>A65</f>
        <v>TIPOS</v>
      </c>
      <c r="B66" s="575" t="str">
        <f>B43</f>
        <v>JANELA</v>
      </c>
      <c r="C66" s="576"/>
      <c r="D66" s="576" t="s">
        <v>590</v>
      </c>
      <c r="E66" s="577">
        <v>1</v>
      </c>
      <c r="F66" s="588">
        <v>1.25</v>
      </c>
      <c r="G66" s="588">
        <v>0.8</v>
      </c>
      <c r="H66" s="578">
        <v>20</v>
      </c>
      <c r="I66" s="578">
        <f t="shared" si="19"/>
        <v>20</v>
      </c>
      <c r="J66" s="596">
        <f t="shared" ref="J66:J77" si="20">F66*H66*E66</f>
        <v>25</v>
      </c>
      <c r="K66" s="596">
        <f t="shared" ref="K66:K77" si="21">IF(F66&lt;1.5,(F66+0.15*2),(F66+0.2*2))*H66*E66</f>
        <v>31</v>
      </c>
      <c r="L66" s="596">
        <f t="shared" ref="L66:L77" si="22">IF(F66&lt;1.5,(F66+0.45*2),(F66+0.6*2))*H66*E66</f>
        <v>43</v>
      </c>
      <c r="M66" s="616"/>
      <c r="N66" s="549"/>
    </row>
    <row r="67" spans="1:14" x14ac:dyDescent="0.2">
      <c r="A67" s="615" t="str">
        <f>A66</f>
        <v>TIPOS</v>
      </c>
      <c r="B67" s="575" t="str">
        <f>B66</f>
        <v>JANELA</v>
      </c>
      <c r="C67" s="576"/>
      <c r="D67" s="576" t="s">
        <v>625</v>
      </c>
      <c r="E67" s="577">
        <v>1</v>
      </c>
      <c r="F67" s="588">
        <v>1</v>
      </c>
      <c r="G67" s="588">
        <v>2.25</v>
      </c>
      <c r="H67" s="578">
        <v>20</v>
      </c>
      <c r="I67" s="578">
        <f t="shared" si="19"/>
        <v>45</v>
      </c>
      <c r="J67" s="596">
        <f t="shared" si="20"/>
        <v>20</v>
      </c>
      <c r="K67" s="596">
        <f t="shared" si="21"/>
        <v>26</v>
      </c>
      <c r="L67" s="596">
        <f t="shared" si="22"/>
        <v>38</v>
      </c>
      <c r="M67" s="616"/>
      <c r="N67" s="549"/>
    </row>
    <row r="68" spans="1:14" x14ac:dyDescent="0.2">
      <c r="A68" s="615" t="str">
        <f>A67</f>
        <v>TIPOS</v>
      </c>
      <c r="B68" s="575" t="str">
        <f>B67</f>
        <v>JANELA</v>
      </c>
      <c r="C68" s="576"/>
      <c r="D68" s="576" t="s">
        <v>624</v>
      </c>
      <c r="E68" s="577">
        <v>2</v>
      </c>
      <c r="F68" s="588">
        <v>3.7</v>
      </c>
      <c r="G68" s="588">
        <v>1.2</v>
      </c>
      <c r="H68" s="578">
        <v>20</v>
      </c>
      <c r="I68" s="578">
        <f t="shared" si="19"/>
        <v>177.60000000000002</v>
      </c>
      <c r="J68" s="596">
        <f t="shared" si="20"/>
        <v>148</v>
      </c>
      <c r="K68" s="596">
        <f t="shared" si="21"/>
        <v>164.00000000000003</v>
      </c>
      <c r="L68" s="596">
        <f t="shared" si="22"/>
        <v>196</v>
      </c>
      <c r="M68" s="616"/>
      <c r="N68" s="549"/>
    </row>
    <row r="69" spans="1:14" x14ac:dyDescent="0.2">
      <c r="A69" s="615" t="str">
        <f t="shared" ref="A69:B72" si="23">A62</f>
        <v>LAZER</v>
      </c>
      <c r="B69" s="575" t="str">
        <f t="shared" si="23"/>
        <v>PORTA</v>
      </c>
      <c r="C69" s="576"/>
      <c r="D69" s="576" t="s">
        <v>621</v>
      </c>
      <c r="E69" s="577">
        <v>1</v>
      </c>
      <c r="F69" s="588">
        <v>0.6</v>
      </c>
      <c r="G69" s="588">
        <v>0.6</v>
      </c>
      <c r="H69" s="578">
        <v>20</v>
      </c>
      <c r="I69" s="578">
        <f t="shared" si="19"/>
        <v>7.1999999999999993</v>
      </c>
      <c r="J69" s="596">
        <f t="shared" si="20"/>
        <v>12</v>
      </c>
      <c r="K69" s="596">
        <f t="shared" si="21"/>
        <v>18</v>
      </c>
      <c r="L69" s="596">
        <f t="shared" si="22"/>
        <v>30</v>
      </c>
      <c r="M69" s="616"/>
      <c r="N69" s="549"/>
    </row>
    <row r="70" spans="1:14" x14ac:dyDescent="0.2">
      <c r="A70" s="615" t="str">
        <f t="shared" si="23"/>
        <v>TIPOS</v>
      </c>
      <c r="B70" s="575">
        <f t="shared" si="23"/>
        <v>0</v>
      </c>
      <c r="C70" s="576"/>
      <c r="D70" s="576" t="s">
        <v>620</v>
      </c>
      <c r="E70" s="577">
        <v>2</v>
      </c>
      <c r="F70" s="588">
        <v>0.7</v>
      </c>
      <c r="G70" s="588">
        <v>0.8</v>
      </c>
      <c r="H70" s="578">
        <v>20</v>
      </c>
      <c r="I70" s="578">
        <f>H70*G70*F70*E70</f>
        <v>22.4</v>
      </c>
      <c r="J70" s="596">
        <f>F70*H70*E70</f>
        <v>28</v>
      </c>
      <c r="K70" s="596">
        <f>IF(F70&lt;1.5,(F70+0.15*2),(F70+0.2*2))*H70*E70</f>
        <v>40</v>
      </c>
      <c r="L70" s="596">
        <f>IF(F70&lt;1.5,(F70+0.45*2),(F70+0.6*2))*H70*E70</f>
        <v>64</v>
      </c>
      <c r="M70" s="616"/>
      <c r="N70" s="549"/>
    </row>
    <row r="71" spans="1:14" x14ac:dyDescent="0.2">
      <c r="A71" s="615" t="str">
        <f t="shared" si="23"/>
        <v>TIPOS</v>
      </c>
      <c r="B71" s="575" t="str">
        <f t="shared" si="23"/>
        <v>JANELA</v>
      </c>
      <c r="C71" s="576"/>
      <c r="D71" s="576" t="s">
        <v>619</v>
      </c>
      <c r="E71" s="577">
        <v>6</v>
      </c>
      <c r="F71" s="588">
        <v>0.8</v>
      </c>
      <c r="G71" s="588">
        <v>0.8</v>
      </c>
      <c r="H71" s="578">
        <v>20</v>
      </c>
      <c r="I71" s="578">
        <f t="shared" si="19"/>
        <v>76.800000000000011</v>
      </c>
      <c r="J71" s="596">
        <f t="shared" si="20"/>
        <v>96</v>
      </c>
      <c r="K71" s="596">
        <f t="shared" si="21"/>
        <v>132</v>
      </c>
      <c r="L71" s="596">
        <f t="shared" si="22"/>
        <v>204</v>
      </c>
      <c r="M71" s="616"/>
      <c r="N71" s="549"/>
    </row>
    <row r="72" spans="1:14" x14ac:dyDescent="0.2">
      <c r="A72" s="615" t="str">
        <f t="shared" si="23"/>
        <v>TIPOS</v>
      </c>
      <c r="B72" s="575" t="str">
        <f t="shared" si="23"/>
        <v>JANELA</v>
      </c>
      <c r="C72" s="576"/>
      <c r="D72" s="576" t="s">
        <v>618</v>
      </c>
      <c r="E72" s="577">
        <v>6</v>
      </c>
      <c r="F72" s="588">
        <v>1.8</v>
      </c>
      <c r="G72" s="588">
        <v>1.2</v>
      </c>
      <c r="H72" s="578">
        <v>20</v>
      </c>
      <c r="I72" s="578">
        <f>H72*G72*F72*E72</f>
        <v>259.20000000000005</v>
      </c>
      <c r="J72" s="596">
        <f>F72*H72*E72</f>
        <v>216</v>
      </c>
      <c r="K72" s="596">
        <f>IF(F72&lt;1.5,(F72+0.15*2),(F72+0.2*2))*H72*E72</f>
        <v>264</v>
      </c>
      <c r="L72" s="596">
        <f>IF(F72&lt;1.5,(F72+0.45*2),(F72+0.6*2))*H72*E72</f>
        <v>360</v>
      </c>
      <c r="M72" s="616"/>
      <c r="N72" s="549"/>
    </row>
    <row r="73" spans="1:14" x14ac:dyDescent="0.2">
      <c r="A73" s="615" t="str">
        <f>A64</f>
        <v>TIPOS</v>
      </c>
      <c r="B73" s="575" t="str">
        <f>B64</f>
        <v>JANELA</v>
      </c>
      <c r="C73" s="576"/>
      <c r="D73" s="576" t="s">
        <v>617</v>
      </c>
      <c r="E73" s="577">
        <v>2</v>
      </c>
      <c r="F73" s="588">
        <v>0.7</v>
      </c>
      <c r="G73" s="588">
        <v>0.6</v>
      </c>
      <c r="H73" s="578">
        <v>20</v>
      </c>
      <c r="I73" s="578">
        <f>H73*G73*F73*E73</f>
        <v>16.799999999999997</v>
      </c>
      <c r="J73" s="596">
        <f>F73*H73*E73</f>
        <v>28</v>
      </c>
      <c r="K73" s="596">
        <f>IF(F73&lt;1.5,(F73+0.15*2),(F73+0.2*2))*H73*E73</f>
        <v>40</v>
      </c>
      <c r="L73" s="596">
        <f>IF(F73&lt;1.5,(F73+0.45*2),(F73+0.6*2))*H73*E73</f>
        <v>64</v>
      </c>
      <c r="M73" s="616"/>
      <c r="N73" s="549"/>
    </row>
    <row r="74" spans="1:14" x14ac:dyDescent="0.2">
      <c r="A74" s="615" t="str">
        <f>A66</f>
        <v>TIPOS</v>
      </c>
      <c r="B74" s="575" t="str">
        <f>B66</f>
        <v>JANELA</v>
      </c>
      <c r="C74" s="576"/>
      <c r="D74" s="576" t="s">
        <v>616</v>
      </c>
      <c r="E74" s="577">
        <v>2</v>
      </c>
      <c r="F74" s="588">
        <v>0.7</v>
      </c>
      <c r="G74" s="588">
        <v>0.6</v>
      </c>
      <c r="H74" s="578">
        <v>20</v>
      </c>
      <c r="I74" s="578">
        <f>H74*G74*F74*E74</f>
        <v>16.799999999999997</v>
      </c>
      <c r="J74" s="596">
        <f t="shared" si="20"/>
        <v>28</v>
      </c>
      <c r="K74" s="596">
        <f t="shared" si="21"/>
        <v>40</v>
      </c>
      <c r="L74" s="596">
        <f t="shared" si="22"/>
        <v>64</v>
      </c>
      <c r="M74" s="616"/>
      <c r="N74" s="549"/>
    </row>
    <row r="75" spans="1:14" x14ac:dyDescent="0.2">
      <c r="A75" s="615" t="str">
        <f t="shared" ref="A75:B77" si="24">A66</f>
        <v>TIPOS</v>
      </c>
      <c r="B75" s="575" t="str">
        <f t="shared" si="24"/>
        <v>JANELA</v>
      </c>
      <c r="C75" s="576"/>
      <c r="D75" s="576" t="s">
        <v>615</v>
      </c>
      <c r="E75" s="577">
        <v>1</v>
      </c>
      <c r="F75" s="588">
        <v>0.6</v>
      </c>
      <c r="G75" s="588">
        <v>0.6</v>
      </c>
      <c r="H75" s="578">
        <v>20</v>
      </c>
      <c r="I75" s="578">
        <f>H75*G75*F75*E75</f>
        <v>7.1999999999999993</v>
      </c>
      <c r="J75" s="596">
        <f>F75*H75*E75</f>
        <v>12</v>
      </c>
      <c r="K75" s="596">
        <f>IF(F75&lt;1.5,(F75+0.15*2),(F75+0.2*2))*H75*E75</f>
        <v>18</v>
      </c>
      <c r="L75" s="596">
        <f>IF(F75&lt;1.5,(F75+0.45*2),(F75+0.6*2))*H75*E75</f>
        <v>30</v>
      </c>
      <c r="M75" s="616"/>
      <c r="N75" s="549"/>
    </row>
    <row r="76" spans="1:14" x14ac:dyDescent="0.2">
      <c r="A76" s="615" t="str">
        <f t="shared" si="24"/>
        <v>TIPOS</v>
      </c>
      <c r="B76" s="575" t="str">
        <f t="shared" si="24"/>
        <v>JANELA</v>
      </c>
      <c r="C76" s="576"/>
      <c r="D76" s="576" t="s">
        <v>614</v>
      </c>
      <c r="E76" s="577">
        <v>1</v>
      </c>
      <c r="F76" s="588">
        <v>0.6</v>
      </c>
      <c r="G76" s="588">
        <v>0.6</v>
      </c>
      <c r="H76" s="578">
        <v>20</v>
      </c>
      <c r="I76" s="578">
        <f>H76*G76*F76*E76</f>
        <v>7.1999999999999993</v>
      </c>
      <c r="J76" s="596">
        <f>F76*H76*E76</f>
        <v>12</v>
      </c>
      <c r="K76" s="596">
        <f>IF(F76&lt;1.5,(F76+0.15*2),(F76+0.2*2))*H76*E76</f>
        <v>18</v>
      </c>
      <c r="L76" s="596">
        <f>IF(F76&lt;1.5,(F76+0.45*2),(F76+0.6*2))*H76*E76</f>
        <v>30</v>
      </c>
      <c r="M76" s="616"/>
      <c r="N76" s="549"/>
    </row>
    <row r="77" spans="1:14" x14ac:dyDescent="0.2">
      <c r="A77" s="615" t="str">
        <f t="shared" si="24"/>
        <v>TIPOS</v>
      </c>
      <c r="B77" s="575" t="str">
        <f t="shared" si="24"/>
        <v>JANELA</v>
      </c>
      <c r="C77" s="576"/>
      <c r="D77" s="576"/>
      <c r="E77" s="577"/>
      <c r="F77" s="588"/>
      <c r="G77" s="588"/>
      <c r="H77" s="578">
        <v>1</v>
      </c>
      <c r="I77" s="578">
        <f t="shared" si="19"/>
        <v>0</v>
      </c>
      <c r="J77" s="596">
        <f t="shared" si="20"/>
        <v>0</v>
      </c>
      <c r="K77" s="596">
        <f t="shared" si="21"/>
        <v>0</v>
      </c>
      <c r="L77" s="596">
        <f t="shared" si="22"/>
        <v>0</v>
      </c>
      <c r="M77" s="616"/>
      <c r="N77" s="549"/>
    </row>
    <row r="78" spans="1:14" ht="14.45" customHeight="1" x14ac:dyDescent="0.2">
      <c r="A78" s="615" t="str">
        <f>A68</f>
        <v>TIPOS</v>
      </c>
      <c r="B78" s="568" t="s">
        <v>349</v>
      </c>
      <c r="C78" s="569"/>
      <c r="D78" s="569"/>
      <c r="E78" s="570"/>
      <c r="F78" s="570"/>
      <c r="G78" s="570"/>
      <c r="H78" s="571"/>
      <c r="I78" s="571"/>
      <c r="J78" s="599">
        <f>SUM(J79)</f>
        <v>0</v>
      </c>
      <c r="K78" s="599">
        <f>SUM(K79)</f>
        <v>60</v>
      </c>
      <c r="L78" s="599">
        <f>SUM(L79)</f>
        <v>180</v>
      </c>
      <c r="M78" s="618"/>
      <c r="N78" s="549"/>
    </row>
    <row r="79" spans="1:14" x14ac:dyDescent="0.2">
      <c r="A79" s="615" t="str">
        <f>A78</f>
        <v>TIPOS</v>
      </c>
      <c r="B79" s="575" t="str">
        <f>B57</f>
        <v>PORTA</v>
      </c>
      <c r="C79" s="576"/>
      <c r="D79" s="576" t="s">
        <v>716</v>
      </c>
      <c r="E79" s="577">
        <v>10</v>
      </c>
      <c r="F79" s="588"/>
      <c r="G79" s="588"/>
      <c r="H79" s="578">
        <v>20</v>
      </c>
      <c r="I79" s="578">
        <f>H79*G79*F79*E79</f>
        <v>0</v>
      </c>
      <c r="J79" s="596">
        <f>F79*H79*E79</f>
        <v>0</v>
      </c>
      <c r="K79" s="596">
        <f>IF(F79&lt;1.5,(F79+0.15*2),(F79+0.2*2))*H79*E79</f>
        <v>60</v>
      </c>
      <c r="L79" s="596">
        <f>IF(F79&lt;1.5,(F79+0.45*2),(F79+0.6*2))*H79*E79</f>
        <v>180</v>
      </c>
      <c r="M79" s="616"/>
      <c r="N79" s="549"/>
    </row>
    <row r="80" spans="1:14" x14ac:dyDescent="0.2">
      <c r="A80" s="615" t="str">
        <f>A79</f>
        <v>TIPOS</v>
      </c>
      <c r="B80" s="575" t="str">
        <f>B79</f>
        <v>PORTA</v>
      </c>
      <c r="C80" s="576"/>
      <c r="D80" s="576"/>
      <c r="E80" s="577"/>
      <c r="F80" s="588"/>
      <c r="G80" s="588"/>
      <c r="H80" s="578"/>
      <c r="I80" s="578">
        <f>H80*G80*F80*E80</f>
        <v>0</v>
      </c>
      <c r="J80" s="596">
        <f>F80*H80*E80</f>
        <v>0</v>
      </c>
      <c r="K80" s="596">
        <f>IF(F80&lt;1.5,(F80+0.15*2),(F80+0.2*2))*H80*E80</f>
        <v>0</v>
      </c>
      <c r="L80" s="596">
        <f>IF(F80&lt;1.5,(F80+0.45*2),(F80+0.6*2))*H80*E80</f>
        <v>0</v>
      </c>
      <c r="M80" s="616"/>
      <c r="N80" s="549"/>
    </row>
    <row r="81" spans="1:14" ht="14.45" customHeight="1" x14ac:dyDescent="0.2">
      <c r="A81" s="620" t="s">
        <v>84</v>
      </c>
      <c r="B81" s="561"/>
      <c r="C81" s="562"/>
      <c r="D81" s="562"/>
      <c r="E81" s="563"/>
      <c r="F81" s="563"/>
      <c r="G81" s="563"/>
      <c r="H81" s="564"/>
      <c r="I81" s="564"/>
      <c r="J81" s="593">
        <f>J82+J85</f>
        <v>5.2</v>
      </c>
      <c r="K81" s="593"/>
      <c r="L81" s="593">
        <f>L82+L85</f>
        <v>9.6999999999999993</v>
      </c>
      <c r="M81" s="621"/>
      <c r="N81" s="549"/>
    </row>
    <row r="82" spans="1:14" ht="14.45" customHeight="1" x14ac:dyDescent="0.2">
      <c r="A82" s="615" t="str">
        <f>A81</f>
        <v>COBERTURA</v>
      </c>
      <c r="B82" s="608" t="s">
        <v>348</v>
      </c>
      <c r="C82" s="609"/>
      <c r="D82" s="609"/>
      <c r="E82" s="610"/>
      <c r="F82" s="610"/>
      <c r="G82" s="610"/>
      <c r="H82" s="611"/>
      <c r="I82" s="611"/>
      <c r="J82" s="612">
        <f>SUM(J83:J84)</f>
        <v>2.5</v>
      </c>
      <c r="K82" s="612">
        <f>SUM(K83:K84)</f>
        <v>3.1</v>
      </c>
      <c r="L82" s="612">
        <f>SUM(L83:L84)</f>
        <v>4.3</v>
      </c>
      <c r="M82" s="614"/>
      <c r="N82" s="549"/>
    </row>
    <row r="83" spans="1:14" x14ac:dyDescent="0.2">
      <c r="A83" s="615" t="str">
        <f t="shared" ref="A83:A89" si="25">A82</f>
        <v>COBERTURA</v>
      </c>
      <c r="B83" s="575" t="str">
        <f>B82</f>
        <v>JANELA</v>
      </c>
      <c r="C83" s="576"/>
      <c r="D83" s="576" t="s">
        <v>591</v>
      </c>
      <c r="E83" s="577">
        <v>1</v>
      </c>
      <c r="F83" s="588">
        <v>1.25</v>
      </c>
      <c r="G83" s="588">
        <v>0.8</v>
      </c>
      <c r="H83" s="578">
        <v>1</v>
      </c>
      <c r="I83" s="578">
        <f>H83*G83*F83*E83</f>
        <v>1</v>
      </c>
      <c r="J83" s="596">
        <f>F83*H83*E83</f>
        <v>1.25</v>
      </c>
      <c r="K83" s="596">
        <f>IF(F83&lt;1.5,(F83+0.15*2),(F83+0.2*2))*H83*E83</f>
        <v>1.55</v>
      </c>
      <c r="L83" s="596">
        <f>IF(F83&lt;1.5,(F83+0.45*2),(F83+0.6*2))*H83*E83</f>
        <v>2.15</v>
      </c>
      <c r="M83" s="616"/>
      <c r="N83" s="549"/>
    </row>
    <row r="84" spans="1:14" x14ac:dyDescent="0.2">
      <c r="A84" s="615" t="str">
        <f t="shared" si="25"/>
        <v>COBERTURA</v>
      </c>
      <c r="B84" s="575" t="str">
        <f>B83</f>
        <v>JANELA</v>
      </c>
      <c r="C84" s="576"/>
      <c r="D84" s="576" t="s">
        <v>590</v>
      </c>
      <c r="E84" s="577">
        <v>1</v>
      </c>
      <c r="F84" s="588">
        <v>1.25</v>
      </c>
      <c r="G84" s="588">
        <v>0.8</v>
      </c>
      <c r="H84" s="578">
        <v>1</v>
      </c>
      <c r="I84" s="578">
        <f>H84*G84*F84*E84</f>
        <v>1</v>
      </c>
      <c r="J84" s="596">
        <f>F84*H84*E84</f>
        <v>1.25</v>
      </c>
      <c r="K84" s="596">
        <f>IF(F84&lt;1.5,(F84+0.15*2),(F84+0.2*2))*H84*E84</f>
        <v>1.55</v>
      </c>
      <c r="L84" s="596">
        <f>IF(F84&lt;1.5,(F84+0.45*2),(F84+0.6*2))*H84*E84</f>
        <v>2.15</v>
      </c>
      <c r="M84" s="616"/>
      <c r="N84" s="549"/>
    </row>
    <row r="85" spans="1:14" ht="14.45" customHeight="1" x14ac:dyDescent="0.2">
      <c r="A85" s="615" t="str">
        <f t="shared" si="25"/>
        <v>COBERTURA</v>
      </c>
      <c r="B85" s="568" t="s">
        <v>349</v>
      </c>
      <c r="C85" s="569"/>
      <c r="D85" s="569"/>
      <c r="E85" s="570"/>
      <c r="F85" s="570"/>
      <c r="G85" s="570"/>
      <c r="H85" s="571"/>
      <c r="I85" s="571"/>
      <c r="J85" s="599">
        <f>SUM(J86)</f>
        <v>2.7</v>
      </c>
      <c r="K85" s="599">
        <f>SUM(K86)</f>
        <v>3.5999999999999996</v>
      </c>
      <c r="L85" s="599">
        <f>SUM(L86)</f>
        <v>5.4</v>
      </c>
      <c r="M85" s="618"/>
      <c r="N85" s="549"/>
    </row>
    <row r="86" spans="1:14" x14ac:dyDescent="0.2">
      <c r="A86" s="615" t="str">
        <f t="shared" si="25"/>
        <v>COBERTURA</v>
      </c>
      <c r="B86" s="575" t="str">
        <f>B80</f>
        <v>PORTA</v>
      </c>
      <c r="C86" s="576"/>
      <c r="D86" s="576" t="s">
        <v>589</v>
      </c>
      <c r="E86" s="577">
        <v>3</v>
      </c>
      <c r="F86" s="588">
        <v>0.9</v>
      </c>
      <c r="G86" s="588">
        <v>2.1</v>
      </c>
      <c r="H86" s="578">
        <v>1</v>
      </c>
      <c r="I86" s="578">
        <f>H86*G86*F86*E86</f>
        <v>5.67</v>
      </c>
      <c r="J86" s="596">
        <f>F86*H86*E86</f>
        <v>2.7</v>
      </c>
      <c r="K86" s="596">
        <f>IF(F86&lt;1.5,(F86+0.15*2),(F86+0.2*2))*H86*E86</f>
        <v>3.5999999999999996</v>
      </c>
      <c r="L86" s="596">
        <f>IF(F86&lt;1.5,(F86+0.45*2),(F86+0.6*2))*H86*E86</f>
        <v>5.4</v>
      </c>
      <c r="M86" s="616"/>
      <c r="N86" s="549"/>
    </row>
    <row r="87" spans="1:14" x14ac:dyDescent="0.2">
      <c r="A87" s="615" t="str">
        <f t="shared" si="25"/>
        <v>COBERTURA</v>
      </c>
      <c r="B87" s="575" t="str">
        <f>B86</f>
        <v>PORTA</v>
      </c>
      <c r="C87" s="576"/>
      <c r="D87" s="576" t="s">
        <v>588</v>
      </c>
      <c r="E87" s="577">
        <v>1</v>
      </c>
      <c r="F87" s="588">
        <v>0.9</v>
      </c>
      <c r="G87" s="588">
        <v>2.1</v>
      </c>
      <c r="H87" s="578">
        <v>1</v>
      </c>
      <c r="I87" s="578">
        <f>H87*G87*F87*E87</f>
        <v>1.8900000000000001</v>
      </c>
      <c r="J87" s="596">
        <f>F87*H87*E87</f>
        <v>0.9</v>
      </c>
      <c r="K87" s="596">
        <f>IF(F87&lt;1.5,(F87+0.15*2),(F87+0.2*2))*H87*E87</f>
        <v>1.2</v>
      </c>
      <c r="L87" s="596">
        <f>IF(F87&lt;1.5,(F87+0.45*2),(F87+0.6*2))*H87*E87</f>
        <v>1.8</v>
      </c>
      <c r="M87" s="616"/>
      <c r="N87" s="549"/>
    </row>
    <row r="88" spans="1:14" x14ac:dyDescent="0.2">
      <c r="A88" s="615" t="str">
        <f t="shared" si="25"/>
        <v>COBERTURA</v>
      </c>
      <c r="B88" s="575" t="str">
        <f>B87</f>
        <v>PORTA</v>
      </c>
      <c r="C88" s="576"/>
      <c r="D88" s="576" t="s">
        <v>587</v>
      </c>
      <c r="E88" s="577">
        <v>2</v>
      </c>
      <c r="F88" s="588">
        <v>0.9</v>
      </c>
      <c r="G88" s="588">
        <v>1.7</v>
      </c>
      <c r="H88" s="578">
        <v>1</v>
      </c>
      <c r="I88" s="578">
        <f>H88*G88*F88*E88</f>
        <v>3.06</v>
      </c>
      <c r="J88" s="596">
        <f>F88*H88*E88</f>
        <v>1.8</v>
      </c>
      <c r="K88" s="596">
        <f>IF(F88&lt;1.5,(F88+0.15*2),(F88+0.2*2))*H88*E88</f>
        <v>2.4</v>
      </c>
      <c r="L88" s="596">
        <f>IF(F88&lt;1.5,(F88+0.45*2),(F88+0.6*2))*H88*E88</f>
        <v>3.6</v>
      </c>
      <c r="M88" s="616"/>
      <c r="N88" s="549"/>
    </row>
    <row r="89" spans="1:14" x14ac:dyDescent="0.2">
      <c r="A89" s="615" t="str">
        <f t="shared" si="25"/>
        <v>COBERTURA</v>
      </c>
      <c r="B89" s="575" t="str">
        <f>B86</f>
        <v>PORTA</v>
      </c>
      <c r="C89" s="576"/>
      <c r="D89" s="576"/>
      <c r="E89" s="577"/>
      <c r="F89" s="588"/>
      <c r="G89" s="588"/>
      <c r="H89" s="578"/>
      <c r="I89" s="578">
        <f>H89*G89*F89*E89</f>
        <v>0</v>
      </c>
      <c r="J89" s="596">
        <f>F89*H89*E89</f>
        <v>0</v>
      </c>
      <c r="K89" s="596">
        <f>IF(F89&lt;1.5,(F89+0.15*2),(F89+0.2*2))*H89*E89</f>
        <v>0</v>
      </c>
      <c r="L89" s="596">
        <f>IF(F89&lt;1.5,(F89+0.45*2),(F89+0.6*2))*H89*E89</f>
        <v>0</v>
      </c>
      <c r="M89" s="616"/>
      <c r="N89" s="549"/>
    </row>
    <row r="90" spans="1:14" ht="14.45" customHeight="1" x14ac:dyDescent="0.2">
      <c r="A90" s="620" t="s">
        <v>897</v>
      </c>
      <c r="B90" s="561"/>
      <c r="C90" s="562"/>
      <c r="D90" s="562"/>
      <c r="E90" s="563"/>
      <c r="F90" s="563"/>
      <c r="G90" s="563"/>
      <c r="H90" s="564"/>
      <c r="I90" s="564"/>
      <c r="J90" s="593">
        <f>J91</f>
        <v>4.4000000000000004</v>
      </c>
      <c r="K90" s="593"/>
      <c r="L90" s="593">
        <f>L91</f>
        <v>6.8000000000000007</v>
      </c>
      <c r="M90" s="621"/>
      <c r="N90" s="549"/>
    </row>
    <row r="91" spans="1:14" ht="14.45" customHeight="1" x14ac:dyDescent="0.2">
      <c r="A91" s="615" t="str">
        <f>A90</f>
        <v>PAV. TÉCNICOS</v>
      </c>
      <c r="B91" s="608" t="s">
        <v>348</v>
      </c>
      <c r="C91" s="609"/>
      <c r="D91" s="609"/>
      <c r="E91" s="610"/>
      <c r="F91" s="610"/>
      <c r="G91" s="610"/>
      <c r="H91" s="611"/>
      <c r="I91" s="611"/>
      <c r="J91" s="612">
        <f>SUM(J92:J92)</f>
        <v>4.4000000000000004</v>
      </c>
      <c r="K91" s="612">
        <f>SUM(K92:K92)</f>
        <v>5.2</v>
      </c>
      <c r="L91" s="612">
        <f>SUM(L92:L92)</f>
        <v>6.8000000000000007</v>
      </c>
      <c r="M91" s="614"/>
      <c r="N91" s="549"/>
    </row>
    <row r="92" spans="1:14" x14ac:dyDescent="0.2">
      <c r="A92" s="615" t="str">
        <f>A91</f>
        <v>PAV. TÉCNICOS</v>
      </c>
      <c r="B92" s="575" t="str">
        <f>B91</f>
        <v>JANELA</v>
      </c>
      <c r="C92" s="576"/>
      <c r="D92" s="576" t="s">
        <v>553</v>
      </c>
      <c r="E92" s="577">
        <v>2</v>
      </c>
      <c r="F92" s="588">
        <v>2.2000000000000002</v>
      </c>
      <c r="G92" s="588">
        <v>1.25</v>
      </c>
      <c r="H92" s="578">
        <v>1</v>
      </c>
      <c r="I92" s="578">
        <f>H92*G92*F92*E92</f>
        <v>5.5</v>
      </c>
      <c r="J92" s="596">
        <f>F92*H92*E92</f>
        <v>4.4000000000000004</v>
      </c>
      <c r="K92" s="596">
        <f>IF(F92&lt;1.5,(F92+0.15*2),(F92+0.2*2))*H92*E92</f>
        <v>5.2</v>
      </c>
      <c r="L92" s="596">
        <f>IF(F92&lt;1.5,(F92+0.45*2),(F92+0.6*2))*H92*E92</f>
        <v>6.8000000000000007</v>
      </c>
      <c r="M92" s="616"/>
      <c r="N92" s="549"/>
    </row>
    <row r="93" spans="1:14" ht="13.5" thickBot="1" x14ac:dyDescent="0.25">
      <c r="A93" s="544" t="s">
        <v>16</v>
      </c>
      <c r="B93" s="544"/>
      <c r="C93" s="545"/>
      <c r="D93" s="545"/>
      <c r="E93" s="548">
        <f>E7+E23</f>
        <v>0</v>
      </c>
      <c r="F93" s="548"/>
      <c r="G93" s="548"/>
      <c r="H93" s="545"/>
      <c r="I93" s="545"/>
      <c r="J93" s="597">
        <f>J7+J23</f>
        <v>54.55</v>
      </c>
      <c r="K93" s="597"/>
      <c r="L93" s="597">
        <f>L7+L23</f>
        <v>92.35</v>
      </c>
      <c r="M93" s="547"/>
      <c r="N93" s="549"/>
    </row>
    <row r="94" spans="1:14" ht="13.5" thickTop="1" x14ac:dyDescent="0.2"/>
    <row r="97" spans="1:31" ht="13.5" thickBot="1" x14ac:dyDescent="0.25"/>
    <row r="98" spans="1:31" s="584" customFormat="1" x14ac:dyDescent="0.2">
      <c r="A98" s="553" t="s">
        <v>890</v>
      </c>
      <c r="B98" s="549"/>
      <c r="C98" s="549"/>
      <c r="D98" s="549"/>
      <c r="E98" s="549"/>
      <c r="F98" s="549"/>
      <c r="G98" s="549"/>
      <c r="H98" s="549"/>
      <c r="I98" s="549"/>
      <c r="J98" s="598"/>
      <c r="K98" s="598"/>
      <c r="L98" s="598"/>
      <c r="M98" s="583"/>
      <c r="O98" s="549"/>
      <c r="P98" s="549"/>
      <c r="Q98" s="549"/>
      <c r="R98" s="549"/>
      <c r="S98" s="549"/>
      <c r="T98" s="549"/>
      <c r="U98" s="549"/>
      <c r="V98" s="549"/>
      <c r="W98" s="549"/>
      <c r="X98" s="549"/>
      <c r="Y98" s="549"/>
      <c r="Z98" s="549"/>
    </row>
    <row r="99" spans="1:31" s="584" customFormat="1" ht="25.5" x14ac:dyDescent="0.2">
      <c r="A99" s="693" t="s">
        <v>898</v>
      </c>
      <c r="B99" s="568" t="s">
        <v>903</v>
      </c>
      <c r="C99" s="569"/>
      <c r="D99" s="692" t="s">
        <v>900</v>
      </c>
      <c r="E99" s="692" t="s">
        <v>352</v>
      </c>
      <c r="F99" s="692" t="s">
        <v>354</v>
      </c>
      <c r="G99" s="570" t="s">
        <v>906</v>
      </c>
      <c r="H99" s="570" t="s">
        <v>905</v>
      </c>
      <c r="I99" s="570" t="s">
        <v>901</v>
      </c>
      <c r="J99" s="694" t="s">
        <v>902</v>
      </c>
      <c r="K99" s="598"/>
      <c r="L99" s="598"/>
      <c r="M99" s="583"/>
      <c r="O99" s="549"/>
      <c r="P99" s="549"/>
      <c r="Q99" s="549"/>
      <c r="R99" s="549"/>
      <c r="S99" s="549"/>
      <c r="T99" s="549"/>
      <c r="U99" s="549"/>
      <c r="V99" s="549"/>
      <c r="W99" s="549"/>
      <c r="X99" s="549"/>
      <c r="Y99" s="549"/>
      <c r="Z99" s="549"/>
      <c r="AA99" s="549"/>
      <c r="AB99" s="549"/>
      <c r="AC99" s="549"/>
      <c r="AD99" s="549"/>
      <c r="AE99" s="549"/>
    </row>
    <row r="100" spans="1:31" s="584" customFormat="1" x14ac:dyDescent="0.2">
      <c r="A100" s="695" t="s">
        <v>898</v>
      </c>
      <c r="B100" s="575" t="str">
        <f>B99</f>
        <v>ALUMÍNIO / JANELAS</v>
      </c>
      <c r="C100" s="576"/>
      <c r="D100" s="576" t="s">
        <v>591</v>
      </c>
      <c r="E100" s="576">
        <v>1.25</v>
      </c>
      <c r="F100" s="576">
        <v>0.8</v>
      </c>
      <c r="G100" s="577">
        <f ca="1">H100/(E100*F100)</f>
        <v>26</v>
      </c>
      <c r="H100" s="588">
        <f t="shared" ref="H100:H119" ca="1" si="26">SUMIF($D$9:$I$92,D100,$I$9:$I$92)</f>
        <v>26</v>
      </c>
      <c r="I100" s="703">
        <v>420.18</v>
      </c>
      <c r="J100" s="703">
        <f ca="1">G100*I100</f>
        <v>10924.68</v>
      </c>
      <c r="K100" s="598"/>
      <c r="L100" s="598"/>
      <c r="M100" s="583"/>
      <c r="O100" s="549"/>
      <c r="P100" s="549"/>
      <c r="Q100" s="549"/>
      <c r="R100" s="549"/>
      <c r="S100" s="549"/>
      <c r="T100" s="549"/>
      <c r="U100" s="549"/>
      <c r="V100" s="549"/>
      <c r="W100" s="549"/>
      <c r="X100" s="549"/>
      <c r="Y100" s="549"/>
      <c r="Z100" s="549"/>
      <c r="AA100" s="549"/>
      <c r="AB100" s="549"/>
      <c r="AC100" s="549"/>
      <c r="AD100" s="549"/>
      <c r="AE100" s="549"/>
    </row>
    <row r="101" spans="1:31" s="584" customFormat="1" x14ac:dyDescent="0.2">
      <c r="A101" s="695" t="s">
        <v>898</v>
      </c>
      <c r="B101" s="575" t="str">
        <f>B100</f>
        <v>ALUMÍNIO / JANELAS</v>
      </c>
      <c r="C101" s="576"/>
      <c r="D101" s="576" t="s">
        <v>553</v>
      </c>
      <c r="E101" s="576">
        <v>2.2000000000000002</v>
      </c>
      <c r="F101" s="576">
        <v>1.25</v>
      </c>
      <c r="G101" s="577">
        <f t="shared" ref="G101:G119" ca="1" si="27">H101/(E101*F101)</f>
        <v>2</v>
      </c>
      <c r="H101" s="588">
        <f t="shared" ca="1" si="26"/>
        <v>5.5</v>
      </c>
      <c r="I101" s="703">
        <v>1064.8800000000001</v>
      </c>
      <c r="J101" s="703">
        <f t="shared" ref="J101:J118" ca="1" si="28">G101*I101</f>
        <v>2129.7600000000002</v>
      </c>
      <c r="K101" s="598"/>
      <c r="L101" s="598"/>
      <c r="M101" s="583"/>
      <c r="O101" s="549"/>
      <c r="P101" s="549"/>
      <c r="Q101" s="549"/>
      <c r="R101" s="549"/>
      <c r="S101" s="549"/>
      <c r="T101" s="549"/>
      <c r="U101" s="549"/>
      <c r="V101" s="549"/>
      <c r="W101" s="549"/>
      <c r="X101" s="549"/>
      <c r="Y101" s="549"/>
      <c r="Z101" s="549"/>
      <c r="AA101" s="549"/>
      <c r="AB101" s="549"/>
      <c r="AC101" s="549"/>
      <c r="AD101" s="549"/>
      <c r="AE101" s="549"/>
    </row>
    <row r="102" spans="1:31" s="584" customFormat="1" x14ac:dyDescent="0.2">
      <c r="A102" s="695" t="s">
        <v>898</v>
      </c>
      <c r="B102" s="575" t="str">
        <f>B101</f>
        <v>ALUMÍNIO / JANELAS</v>
      </c>
      <c r="C102" s="576"/>
      <c r="D102" s="576" t="s">
        <v>590</v>
      </c>
      <c r="E102" s="576">
        <v>1.25</v>
      </c>
      <c r="F102" s="576">
        <v>0.8</v>
      </c>
      <c r="G102" s="577">
        <f t="shared" ca="1" si="27"/>
        <v>26</v>
      </c>
      <c r="H102" s="588">
        <f t="shared" ca="1" si="26"/>
        <v>26</v>
      </c>
      <c r="I102" s="703">
        <v>420.18</v>
      </c>
      <c r="J102" s="703">
        <f t="shared" ca="1" si="28"/>
        <v>10924.68</v>
      </c>
      <c r="K102" s="598"/>
      <c r="L102" s="598"/>
      <c r="M102" s="583"/>
      <c r="O102" s="549"/>
      <c r="P102" s="549"/>
      <c r="Q102" s="549"/>
      <c r="R102" s="549"/>
      <c r="S102" s="549"/>
      <c r="T102" s="549"/>
      <c r="U102" s="549"/>
      <c r="V102" s="549"/>
      <c r="W102" s="549"/>
      <c r="X102" s="549"/>
      <c r="Y102" s="549"/>
      <c r="Z102" s="549"/>
      <c r="AA102" s="549"/>
      <c r="AB102" s="549"/>
      <c r="AC102" s="549"/>
      <c r="AD102" s="549"/>
      <c r="AE102" s="549"/>
    </row>
    <row r="103" spans="1:31" s="584" customFormat="1" x14ac:dyDescent="0.2">
      <c r="A103" s="695" t="s">
        <v>898</v>
      </c>
      <c r="B103" s="575" t="str">
        <f>B102</f>
        <v>ALUMÍNIO / JANELAS</v>
      </c>
      <c r="C103" s="576"/>
      <c r="D103" s="576" t="s">
        <v>692</v>
      </c>
      <c r="E103" s="576">
        <v>1</v>
      </c>
      <c r="F103" s="576">
        <f>15.7/2</f>
        <v>7.85</v>
      </c>
      <c r="G103" s="577">
        <f t="shared" ca="1" si="27"/>
        <v>2</v>
      </c>
      <c r="H103" s="588">
        <f t="shared" ca="1" si="26"/>
        <v>15.7</v>
      </c>
      <c r="I103" s="703">
        <v>9826.43</v>
      </c>
      <c r="J103" s="703">
        <f t="shared" ca="1" si="28"/>
        <v>19652.86</v>
      </c>
      <c r="K103" s="598"/>
      <c r="L103" s="598"/>
      <c r="M103" s="583"/>
      <c r="O103" s="549"/>
      <c r="P103" s="549"/>
      <c r="Q103" s="549"/>
      <c r="R103" s="549"/>
      <c r="S103" s="549"/>
      <c r="T103" s="549"/>
      <c r="U103" s="549"/>
      <c r="V103" s="549"/>
      <c r="W103" s="549"/>
      <c r="X103" s="549"/>
      <c r="Y103" s="549"/>
      <c r="Z103" s="549"/>
      <c r="AA103" s="549"/>
      <c r="AB103" s="549"/>
      <c r="AC103" s="549"/>
      <c r="AD103" s="549"/>
      <c r="AE103" s="549"/>
    </row>
    <row r="104" spans="1:31" s="584" customFormat="1" x14ac:dyDescent="0.2">
      <c r="A104" s="695" t="s">
        <v>898</v>
      </c>
      <c r="B104" s="575" t="str">
        <f>B103</f>
        <v>ALUMÍNIO / JANELAS</v>
      </c>
      <c r="C104" s="576"/>
      <c r="D104" s="576" t="s">
        <v>625</v>
      </c>
      <c r="E104" s="576">
        <v>1</v>
      </c>
      <c r="F104" s="576">
        <v>2.25</v>
      </c>
      <c r="G104" s="577">
        <f t="shared" ca="1" si="27"/>
        <v>20</v>
      </c>
      <c r="H104" s="588">
        <f t="shared" ca="1" si="26"/>
        <v>45</v>
      </c>
      <c r="I104" s="703">
        <v>4005.98</v>
      </c>
      <c r="J104" s="703">
        <f t="shared" ca="1" si="28"/>
        <v>80119.600000000006</v>
      </c>
      <c r="K104" s="598"/>
      <c r="L104" s="598"/>
      <c r="M104" s="583"/>
      <c r="O104" s="549"/>
      <c r="P104" s="549"/>
      <c r="Q104" s="549"/>
      <c r="R104" s="549"/>
      <c r="S104" s="549"/>
      <c r="T104" s="549"/>
      <c r="U104" s="549"/>
      <c r="V104" s="549"/>
      <c r="W104" s="549"/>
      <c r="X104" s="549"/>
      <c r="Y104" s="549"/>
      <c r="Z104" s="549"/>
      <c r="AA104" s="549"/>
      <c r="AB104" s="549"/>
      <c r="AC104" s="549"/>
      <c r="AD104" s="549"/>
      <c r="AE104" s="549"/>
    </row>
    <row r="105" spans="1:31" s="584" customFormat="1" x14ac:dyDescent="0.2">
      <c r="A105" s="695" t="s">
        <v>898</v>
      </c>
      <c r="B105" s="575" t="str">
        <f t="shared" ref="B105:B117" si="29">B104</f>
        <v>ALUMÍNIO / JANELAS</v>
      </c>
      <c r="C105" s="576"/>
      <c r="D105" s="576" t="s">
        <v>624</v>
      </c>
      <c r="E105" s="576">
        <v>3.7</v>
      </c>
      <c r="F105" s="576">
        <v>1.2</v>
      </c>
      <c r="G105" s="577">
        <f t="shared" ca="1" si="27"/>
        <v>40</v>
      </c>
      <c r="H105" s="588">
        <f t="shared" ca="1" si="26"/>
        <v>177.60000000000002</v>
      </c>
      <c r="I105" s="703">
        <v>5268.83</v>
      </c>
      <c r="J105" s="703">
        <f t="shared" ca="1" si="28"/>
        <v>210753.2</v>
      </c>
      <c r="K105" s="598"/>
      <c r="L105" s="598"/>
      <c r="M105" s="583"/>
      <c r="O105" s="549"/>
      <c r="P105" s="549"/>
      <c r="Q105" s="549"/>
      <c r="R105" s="549"/>
      <c r="S105" s="549"/>
      <c r="T105" s="549"/>
      <c r="U105" s="549"/>
      <c r="V105" s="549"/>
      <c r="W105" s="549"/>
      <c r="X105" s="549"/>
      <c r="Y105" s="549"/>
      <c r="Z105" s="549"/>
      <c r="AA105" s="549"/>
      <c r="AB105" s="549"/>
      <c r="AC105" s="549"/>
      <c r="AD105" s="549"/>
      <c r="AE105" s="549"/>
    </row>
    <row r="106" spans="1:31" x14ac:dyDescent="0.2">
      <c r="A106" s="695" t="s">
        <v>898</v>
      </c>
      <c r="B106" s="575" t="str">
        <f t="shared" si="29"/>
        <v>ALUMÍNIO / JANELAS</v>
      </c>
      <c r="C106" s="576"/>
      <c r="D106" s="576" t="s">
        <v>621</v>
      </c>
      <c r="E106" s="576">
        <v>0.6</v>
      </c>
      <c r="F106" s="576">
        <v>0.6</v>
      </c>
      <c r="G106" s="577">
        <f t="shared" ca="1" si="27"/>
        <v>21</v>
      </c>
      <c r="H106" s="588">
        <f t="shared" ca="1" si="26"/>
        <v>7.56</v>
      </c>
      <c r="I106" s="703">
        <v>253.67</v>
      </c>
      <c r="J106" s="703">
        <f t="shared" ca="1" si="28"/>
        <v>5327.07</v>
      </c>
    </row>
    <row r="107" spans="1:31" x14ac:dyDescent="0.2">
      <c r="A107" s="695" t="s">
        <v>898</v>
      </c>
      <c r="B107" s="575" t="str">
        <f t="shared" si="29"/>
        <v>ALUMÍNIO / JANELAS</v>
      </c>
      <c r="C107" s="576"/>
      <c r="D107" s="576" t="s">
        <v>719</v>
      </c>
      <c r="E107" s="576">
        <v>3.4</v>
      </c>
      <c r="F107" s="576">
        <v>3.1</v>
      </c>
      <c r="G107" s="577">
        <f t="shared" ca="1" si="27"/>
        <v>1</v>
      </c>
      <c r="H107" s="588">
        <f t="shared" ca="1" si="26"/>
        <v>10.54</v>
      </c>
      <c r="I107" s="703">
        <v>16547.02</v>
      </c>
      <c r="J107" s="703">
        <f t="shared" ca="1" si="28"/>
        <v>16547.02</v>
      </c>
    </row>
    <row r="108" spans="1:31" x14ac:dyDescent="0.2">
      <c r="A108" s="695" t="s">
        <v>898</v>
      </c>
      <c r="B108" s="575" t="str">
        <f t="shared" si="29"/>
        <v>ALUMÍNIO / JANELAS</v>
      </c>
      <c r="C108" s="576"/>
      <c r="D108" s="576" t="s">
        <v>718</v>
      </c>
      <c r="E108" s="576">
        <v>2</v>
      </c>
      <c r="F108" s="576">
        <v>3.1</v>
      </c>
      <c r="G108" s="577">
        <f t="shared" ca="1" si="27"/>
        <v>1</v>
      </c>
      <c r="H108" s="588">
        <f t="shared" ca="1" si="26"/>
        <v>6.2</v>
      </c>
      <c r="I108" s="703">
        <v>10148.33</v>
      </c>
      <c r="J108" s="703">
        <f t="shared" ca="1" si="28"/>
        <v>10148.33</v>
      </c>
    </row>
    <row r="109" spans="1:31" x14ac:dyDescent="0.2">
      <c r="A109" s="695" t="s">
        <v>898</v>
      </c>
      <c r="B109" s="575" t="str">
        <f t="shared" si="29"/>
        <v>ALUMÍNIO / JANELAS</v>
      </c>
      <c r="C109" s="576"/>
      <c r="D109" s="576" t="s">
        <v>717</v>
      </c>
      <c r="E109" s="576">
        <v>5.8</v>
      </c>
      <c r="F109" s="576">
        <v>3.1</v>
      </c>
      <c r="G109" s="577">
        <f t="shared" ca="1" si="27"/>
        <v>1</v>
      </c>
      <c r="H109" s="588">
        <f t="shared" ca="1" si="26"/>
        <v>17.98</v>
      </c>
      <c r="I109" s="703">
        <v>29227.32</v>
      </c>
      <c r="J109" s="703">
        <f t="shared" ca="1" si="28"/>
        <v>29227.32</v>
      </c>
    </row>
    <row r="110" spans="1:31" x14ac:dyDescent="0.2">
      <c r="A110" s="695" t="s">
        <v>898</v>
      </c>
      <c r="B110" s="575" t="str">
        <f t="shared" si="29"/>
        <v>ALUMÍNIO / JANELAS</v>
      </c>
      <c r="C110" s="576"/>
      <c r="D110" s="576" t="s">
        <v>620</v>
      </c>
      <c r="E110" s="576">
        <v>0.7</v>
      </c>
      <c r="F110" s="576">
        <v>0.8</v>
      </c>
      <c r="G110" s="577">
        <f t="shared" ca="1" si="27"/>
        <v>40</v>
      </c>
      <c r="H110" s="588">
        <f t="shared" ca="1" si="26"/>
        <v>22.4</v>
      </c>
      <c r="I110" s="703">
        <v>441.97</v>
      </c>
      <c r="J110" s="703">
        <f t="shared" ca="1" si="28"/>
        <v>17678.800000000003</v>
      </c>
    </row>
    <row r="111" spans="1:31" x14ac:dyDescent="0.2">
      <c r="A111" s="695" t="s">
        <v>898</v>
      </c>
      <c r="B111" s="575" t="str">
        <f t="shared" si="29"/>
        <v>ALUMÍNIO / JANELAS</v>
      </c>
      <c r="C111" s="576"/>
      <c r="D111" s="576" t="s">
        <v>619</v>
      </c>
      <c r="E111" s="576">
        <v>0.8</v>
      </c>
      <c r="F111" s="576">
        <v>0.8</v>
      </c>
      <c r="G111" s="577">
        <f t="shared" ca="1" si="27"/>
        <v>120</v>
      </c>
      <c r="H111" s="588">
        <f t="shared" ca="1" si="26"/>
        <v>76.800000000000011</v>
      </c>
      <c r="I111" s="703">
        <v>472.32</v>
      </c>
      <c r="J111" s="703">
        <f t="shared" ca="1" si="28"/>
        <v>56678.400000000001</v>
      </c>
    </row>
    <row r="112" spans="1:31" x14ac:dyDescent="0.2">
      <c r="A112" s="695" t="s">
        <v>898</v>
      </c>
      <c r="B112" s="575" t="str">
        <f t="shared" si="29"/>
        <v>ALUMÍNIO / JANELAS</v>
      </c>
      <c r="C112" s="576"/>
      <c r="D112" s="576" t="s">
        <v>618</v>
      </c>
      <c r="E112" s="576">
        <v>1.8</v>
      </c>
      <c r="F112" s="576">
        <v>1.2</v>
      </c>
      <c r="G112" s="577">
        <f t="shared" ca="1" si="27"/>
        <v>120.00000000000001</v>
      </c>
      <c r="H112" s="588">
        <f t="shared" ca="1" si="26"/>
        <v>259.20000000000005</v>
      </c>
      <c r="I112" s="703">
        <v>1146.51</v>
      </c>
      <c r="J112" s="703">
        <f t="shared" ca="1" si="28"/>
        <v>137581.20000000001</v>
      </c>
    </row>
    <row r="113" spans="1:10" x14ac:dyDescent="0.2">
      <c r="A113" s="695" t="s">
        <v>898</v>
      </c>
      <c r="B113" s="575" t="str">
        <f t="shared" si="29"/>
        <v>ALUMÍNIO / JANELAS</v>
      </c>
      <c r="C113" s="576"/>
      <c r="D113" s="576" t="s">
        <v>737</v>
      </c>
      <c r="E113" s="576">
        <v>2</v>
      </c>
      <c r="F113" s="576">
        <v>2.38</v>
      </c>
      <c r="G113" s="577">
        <f t="shared" ca="1" si="27"/>
        <v>2</v>
      </c>
      <c r="H113" s="588">
        <f t="shared" ca="1" si="26"/>
        <v>9.52</v>
      </c>
      <c r="I113" s="703">
        <v>8374.11</v>
      </c>
      <c r="J113" s="703">
        <f t="shared" ca="1" si="28"/>
        <v>16748.22</v>
      </c>
    </row>
    <row r="114" spans="1:10" x14ac:dyDescent="0.2">
      <c r="A114" s="695" t="s">
        <v>898</v>
      </c>
      <c r="B114" s="575" t="str">
        <f t="shared" si="29"/>
        <v>ALUMÍNIO / JANELAS</v>
      </c>
      <c r="C114" s="576"/>
      <c r="D114" s="576" t="s">
        <v>736</v>
      </c>
      <c r="E114" s="576">
        <v>4.8</v>
      </c>
      <c r="F114" s="576">
        <v>2.38</v>
      </c>
      <c r="G114" s="577">
        <f t="shared" ca="1" si="27"/>
        <v>1</v>
      </c>
      <c r="H114" s="588">
        <f t="shared" ca="1" si="26"/>
        <v>11.423999999999999</v>
      </c>
      <c r="I114" s="703">
        <v>20076.509999999998</v>
      </c>
      <c r="J114" s="703">
        <f t="shared" ca="1" si="28"/>
        <v>20076.509999999998</v>
      </c>
    </row>
    <row r="115" spans="1:10" x14ac:dyDescent="0.2">
      <c r="A115" s="695" t="s">
        <v>898</v>
      </c>
      <c r="B115" s="575" t="str">
        <f t="shared" si="29"/>
        <v>ALUMÍNIO / JANELAS</v>
      </c>
      <c r="C115" s="576"/>
      <c r="D115" s="576" t="s">
        <v>732</v>
      </c>
      <c r="E115" s="576">
        <v>4.5999999999999996</v>
      </c>
      <c r="F115" s="576">
        <v>2.38</v>
      </c>
      <c r="G115" s="577">
        <f t="shared" ca="1" si="27"/>
        <v>1</v>
      </c>
      <c r="H115" s="588">
        <f t="shared" ca="1" si="26"/>
        <v>10.947999999999999</v>
      </c>
      <c r="I115" s="703">
        <v>19486.86</v>
      </c>
      <c r="J115" s="703">
        <f t="shared" ca="1" si="28"/>
        <v>19486.86</v>
      </c>
    </row>
    <row r="116" spans="1:10" x14ac:dyDescent="0.2">
      <c r="A116" s="695" t="s">
        <v>898</v>
      </c>
      <c r="B116" s="575" t="str">
        <f t="shared" si="29"/>
        <v>ALUMÍNIO / JANELAS</v>
      </c>
      <c r="C116" s="576"/>
      <c r="D116" s="576" t="s">
        <v>731</v>
      </c>
      <c r="E116" s="576">
        <v>3.8</v>
      </c>
      <c r="F116" s="576">
        <v>2.38</v>
      </c>
      <c r="G116" s="577">
        <f t="shared" ca="1" si="27"/>
        <v>1</v>
      </c>
      <c r="H116" s="588">
        <f t="shared" ca="1" si="26"/>
        <v>9.0439999999999987</v>
      </c>
      <c r="I116" s="703">
        <v>15981.24</v>
      </c>
      <c r="J116" s="703">
        <f t="shared" ca="1" si="28"/>
        <v>15981.24</v>
      </c>
    </row>
    <row r="117" spans="1:10" x14ac:dyDescent="0.2">
      <c r="A117" s="695" t="s">
        <v>898</v>
      </c>
      <c r="B117" s="575" t="str">
        <f t="shared" si="29"/>
        <v>ALUMÍNIO / JANELAS</v>
      </c>
      <c r="C117" s="576"/>
      <c r="D117" s="576" t="s">
        <v>730</v>
      </c>
      <c r="E117" s="576">
        <v>5.0999999999999996</v>
      </c>
      <c r="F117" s="576">
        <v>2.38</v>
      </c>
      <c r="G117" s="577">
        <f t="shared" ca="1" si="27"/>
        <v>1</v>
      </c>
      <c r="H117" s="588">
        <f t="shared" ca="1" si="26"/>
        <v>12.137999999999998</v>
      </c>
      <c r="I117" s="703">
        <v>20961</v>
      </c>
      <c r="J117" s="703">
        <f t="shared" ca="1" si="28"/>
        <v>20961</v>
      </c>
    </row>
    <row r="118" spans="1:10" x14ac:dyDescent="0.2">
      <c r="A118" s="695" t="s">
        <v>898</v>
      </c>
      <c r="B118" s="575" t="str">
        <f>B116</f>
        <v>ALUMÍNIO / JANELAS</v>
      </c>
      <c r="C118" s="576"/>
      <c r="D118" s="576" t="s">
        <v>616</v>
      </c>
      <c r="E118" s="576">
        <v>0.7</v>
      </c>
      <c r="F118" s="576">
        <v>0.6</v>
      </c>
      <c r="G118" s="577">
        <f ca="1">H118/(E118*F118)</f>
        <v>43</v>
      </c>
      <c r="H118" s="588">
        <f t="shared" ca="1" si="26"/>
        <v>18.059999999999999</v>
      </c>
      <c r="I118" s="703">
        <v>440</v>
      </c>
      <c r="J118" s="703">
        <f t="shared" ca="1" si="28"/>
        <v>18920</v>
      </c>
    </row>
    <row r="119" spans="1:10" x14ac:dyDescent="0.2">
      <c r="A119" s="696" t="s">
        <v>898</v>
      </c>
      <c r="B119" s="575" t="str">
        <f>B117</f>
        <v>ALUMÍNIO / JANELAS</v>
      </c>
      <c r="C119" s="698"/>
      <c r="D119" s="698" t="s">
        <v>614</v>
      </c>
      <c r="E119" s="698">
        <v>0.6</v>
      </c>
      <c r="F119" s="698">
        <v>0.6</v>
      </c>
      <c r="G119" s="706">
        <f t="shared" ca="1" si="27"/>
        <v>20</v>
      </c>
      <c r="H119" s="700">
        <f t="shared" ca="1" si="26"/>
        <v>7.1999999999999993</v>
      </c>
      <c r="I119" s="704">
        <v>440</v>
      </c>
      <c r="J119" s="704">
        <f ca="1">G119*I119</f>
        <v>8800</v>
      </c>
    </row>
    <row r="120" spans="1:10" ht="13.5" thickBot="1" x14ac:dyDescent="0.25">
      <c r="I120" s="582"/>
      <c r="J120" s="705">
        <f ca="1">SUM(J100:J119)</f>
        <v>728666.75000000012</v>
      </c>
    </row>
    <row r="121" spans="1:10" x14ac:dyDescent="0.2">
      <c r="A121" s="553" t="s">
        <v>890</v>
      </c>
    </row>
    <row r="122" spans="1:10" ht="25.5" x14ac:dyDescent="0.2">
      <c r="A122" s="693" t="s">
        <v>898</v>
      </c>
      <c r="B122" s="568" t="s">
        <v>904</v>
      </c>
      <c r="C122" s="569"/>
      <c r="D122" s="692" t="s">
        <v>900</v>
      </c>
      <c r="E122" s="692" t="s">
        <v>352</v>
      </c>
      <c r="F122" s="692" t="s">
        <v>354</v>
      </c>
      <c r="G122" s="570" t="s">
        <v>906</v>
      </c>
      <c r="H122" s="570" t="s">
        <v>905</v>
      </c>
      <c r="I122" s="707" t="s">
        <v>901</v>
      </c>
      <c r="J122" s="694" t="s">
        <v>902</v>
      </c>
    </row>
    <row r="123" spans="1:10" x14ac:dyDescent="0.2">
      <c r="A123" s="695" t="s">
        <v>898</v>
      </c>
      <c r="B123" s="575" t="str">
        <f t="shared" ref="B123:B139" si="30">B122</f>
        <v>ALUMÍNIO / PORTAS</v>
      </c>
      <c r="C123" s="576"/>
      <c r="D123" s="576" t="s">
        <v>589</v>
      </c>
      <c r="E123" s="576">
        <v>0.9</v>
      </c>
      <c r="F123" s="576">
        <v>2.1</v>
      </c>
      <c r="G123" s="577">
        <f ca="1">H123/(E123*F123)</f>
        <v>4.9999999999999991</v>
      </c>
      <c r="H123" s="588">
        <f ca="1">SUMIF($D$9:$I$92,D123,$I$9:$I$92)</f>
        <v>9.4499999999999993</v>
      </c>
      <c r="I123" s="703">
        <v>1187.77</v>
      </c>
      <c r="J123" s="703">
        <f ca="1">G123*I123</f>
        <v>5938.8499999999985</v>
      </c>
    </row>
    <row r="124" spans="1:10" x14ac:dyDescent="0.2">
      <c r="A124" s="695" t="s">
        <v>898</v>
      </c>
      <c r="B124" s="575" t="str">
        <f t="shared" si="30"/>
        <v>ALUMÍNIO / PORTAS</v>
      </c>
      <c r="C124" s="576"/>
      <c r="D124" s="576" t="s">
        <v>912</v>
      </c>
      <c r="E124" s="576">
        <v>1.1000000000000001</v>
      </c>
      <c r="F124" s="576">
        <v>2.1</v>
      </c>
      <c r="G124" s="577">
        <f t="shared" ref="G124:G139" ca="1" si="31">H124/(E124*F124)</f>
        <v>1</v>
      </c>
      <c r="H124" s="588">
        <f t="shared" ref="H124:H139" ca="1" si="32">SUMIF($D$9:$I$92,D124,$I$9:$I$92)</f>
        <v>2.3100000000000005</v>
      </c>
      <c r="I124" s="703">
        <v>1327.18</v>
      </c>
      <c r="J124" s="703">
        <f t="shared" ref="J124:J139" ca="1" si="33">G124*I124</f>
        <v>1327.18</v>
      </c>
    </row>
    <row r="125" spans="1:10" x14ac:dyDescent="0.2">
      <c r="A125" s="695" t="s">
        <v>898</v>
      </c>
      <c r="B125" s="575" t="str">
        <f t="shared" si="30"/>
        <v>ALUMÍNIO / PORTAS</v>
      </c>
      <c r="C125" s="576"/>
      <c r="D125" s="576" t="s">
        <v>588</v>
      </c>
      <c r="E125" s="576">
        <v>0.9</v>
      </c>
      <c r="F125" s="576">
        <v>2.1</v>
      </c>
      <c r="G125" s="577">
        <f t="shared" ca="1" si="31"/>
        <v>1</v>
      </c>
      <c r="H125" s="588">
        <f t="shared" ca="1" si="32"/>
        <v>1.8900000000000001</v>
      </c>
      <c r="I125" s="703">
        <v>1010.37</v>
      </c>
      <c r="J125" s="703">
        <f t="shared" ca="1" si="33"/>
        <v>1010.37</v>
      </c>
    </row>
    <row r="126" spans="1:10" x14ac:dyDescent="0.2">
      <c r="A126" s="695" t="s">
        <v>898</v>
      </c>
      <c r="B126" s="575" t="str">
        <f t="shared" si="30"/>
        <v>ALUMÍNIO / PORTAS</v>
      </c>
      <c r="C126" s="576"/>
      <c r="D126" s="576" t="s">
        <v>587</v>
      </c>
      <c r="E126" s="576">
        <v>0.9</v>
      </c>
      <c r="F126" s="576">
        <v>1.7</v>
      </c>
      <c r="G126" s="577">
        <f t="shared" ca="1" si="31"/>
        <v>2</v>
      </c>
      <c r="H126" s="588">
        <f t="shared" ca="1" si="32"/>
        <v>3.06</v>
      </c>
      <c r="I126" s="703">
        <v>1010.37</v>
      </c>
      <c r="J126" s="703">
        <f t="shared" ca="1" si="33"/>
        <v>2020.74</v>
      </c>
    </row>
    <row r="127" spans="1:10" x14ac:dyDescent="0.2">
      <c r="A127" s="695" t="s">
        <v>898</v>
      </c>
      <c r="B127" s="575" t="str">
        <f t="shared" si="30"/>
        <v>ALUMÍNIO / PORTAS</v>
      </c>
      <c r="C127" s="576"/>
      <c r="D127" s="576" t="s">
        <v>748</v>
      </c>
      <c r="E127" s="576">
        <v>0.9</v>
      </c>
      <c r="F127" s="576">
        <v>2.1</v>
      </c>
      <c r="G127" s="577">
        <f t="shared" ca="1" si="31"/>
        <v>1</v>
      </c>
      <c r="H127" s="588">
        <f t="shared" ca="1" si="32"/>
        <v>1.8900000000000001</v>
      </c>
      <c r="I127" s="703">
        <v>1631.57</v>
      </c>
      <c r="J127" s="703">
        <f t="shared" ca="1" si="33"/>
        <v>1631.57</v>
      </c>
    </row>
    <row r="128" spans="1:10" x14ac:dyDescent="0.2">
      <c r="A128" s="695" t="s">
        <v>898</v>
      </c>
      <c r="B128" s="575" t="str">
        <f t="shared" si="30"/>
        <v>ALUMÍNIO / PORTAS</v>
      </c>
      <c r="C128" s="576"/>
      <c r="D128" s="576" t="s">
        <v>747</v>
      </c>
      <c r="E128" s="576">
        <v>1.4</v>
      </c>
      <c r="F128" s="576">
        <v>2.1</v>
      </c>
      <c r="G128" s="577">
        <f t="shared" ca="1" si="31"/>
        <v>1</v>
      </c>
      <c r="H128" s="588">
        <f t="shared" ca="1" si="32"/>
        <v>2.94</v>
      </c>
      <c r="I128" s="703">
        <v>2169.5</v>
      </c>
      <c r="J128" s="703">
        <f t="shared" ca="1" si="33"/>
        <v>2169.5</v>
      </c>
    </row>
    <row r="129" spans="1:14" x14ac:dyDescent="0.2">
      <c r="A129" s="695" t="s">
        <v>898</v>
      </c>
      <c r="B129" s="575" t="str">
        <f t="shared" si="30"/>
        <v>ALUMÍNIO / PORTAS</v>
      </c>
      <c r="C129" s="576"/>
      <c r="D129" s="576" t="s">
        <v>746</v>
      </c>
      <c r="E129" s="576">
        <v>2</v>
      </c>
      <c r="F129" s="576">
        <v>2.1</v>
      </c>
      <c r="G129" s="577">
        <f t="shared" ca="1" si="31"/>
        <v>1</v>
      </c>
      <c r="H129" s="588">
        <f t="shared" ca="1" si="32"/>
        <v>4.2</v>
      </c>
      <c r="I129" s="703">
        <v>2219.19</v>
      </c>
      <c r="J129" s="703">
        <f t="shared" ca="1" si="33"/>
        <v>2219.19</v>
      </c>
    </row>
    <row r="130" spans="1:14" x14ac:dyDescent="0.2">
      <c r="A130" s="695" t="s">
        <v>898</v>
      </c>
      <c r="B130" s="575" t="str">
        <f t="shared" si="30"/>
        <v>ALUMÍNIO / PORTAS</v>
      </c>
      <c r="C130" s="576"/>
      <c r="D130" s="576" t="s">
        <v>745</v>
      </c>
      <c r="E130" s="576">
        <v>4</v>
      </c>
      <c r="F130" s="576">
        <v>2.1</v>
      </c>
      <c r="G130" s="577">
        <f t="shared" ca="1" si="31"/>
        <v>1</v>
      </c>
      <c r="H130" s="588">
        <f t="shared" ca="1" si="32"/>
        <v>8.4</v>
      </c>
      <c r="I130" s="703">
        <v>4707.3900000000003</v>
      </c>
      <c r="J130" s="703">
        <f t="shared" ca="1" si="33"/>
        <v>4707.3900000000003</v>
      </c>
    </row>
    <row r="131" spans="1:14" x14ac:dyDescent="0.2">
      <c r="A131" s="695" t="s">
        <v>898</v>
      </c>
      <c r="B131" s="575" t="str">
        <f t="shared" si="30"/>
        <v>ALUMÍNIO / PORTAS</v>
      </c>
      <c r="C131" s="576"/>
      <c r="D131" s="576" t="s">
        <v>685</v>
      </c>
      <c r="E131" s="576">
        <v>0.9</v>
      </c>
      <c r="F131" s="576">
        <v>2.1</v>
      </c>
      <c r="G131" s="577">
        <f t="shared" ca="1" si="31"/>
        <v>2.9999999999999996</v>
      </c>
      <c r="H131" s="588">
        <f t="shared" ca="1" si="32"/>
        <v>5.67</v>
      </c>
      <c r="I131" s="703">
        <v>1442.83</v>
      </c>
      <c r="J131" s="703">
        <f t="shared" ca="1" si="33"/>
        <v>4328.4899999999989</v>
      </c>
    </row>
    <row r="132" spans="1:14" x14ac:dyDescent="0.2">
      <c r="A132" s="695" t="s">
        <v>898</v>
      </c>
      <c r="B132" s="575" t="str">
        <f t="shared" si="30"/>
        <v>ALUMÍNIO / PORTAS</v>
      </c>
      <c r="C132" s="576"/>
      <c r="D132" s="576" t="s">
        <v>684</v>
      </c>
      <c r="E132" s="576">
        <v>2</v>
      </c>
      <c r="F132" s="576">
        <v>2.1</v>
      </c>
      <c r="G132" s="577">
        <f t="shared" ca="1" si="31"/>
        <v>3</v>
      </c>
      <c r="H132" s="588">
        <f t="shared" ca="1" si="32"/>
        <v>12.600000000000001</v>
      </c>
      <c r="I132" s="703">
        <v>2769.35</v>
      </c>
      <c r="J132" s="703">
        <f t="shared" ca="1" si="33"/>
        <v>8308.0499999999993</v>
      </c>
    </row>
    <row r="133" spans="1:14" x14ac:dyDescent="0.2">
      <c r="A133" s="695" t="s">
        <v>898</v>
      </c>
      <c r="B133" s="575" t="str">
        <f t="shared" si="30"/>
        <v>ALUMÍNIO / PORTAS</v>
      </c>
      <c r="C133" s="576"/>
      <c r="D133" s="576" t="s">
        <v>683</v>
      </c>
      <c r="E133" s="576">
        <v>3</v>
      </c>
      <c r="F133" s="576">
        <v>2.1</v>
      </c>
      <c r="G133" s="577">
        <f t="shared" ca="1" si="31"/>
        <v>3</v>
      </c>
      <c r="H133" s="588">
        <f t="shared" ca="1" si="32"/>
        <v>18.900000000000002</v>
      </c>
      <c r="I133" s="703">
        <v>4024.78</v>
      </c>
      <c r="J133" s="703">
        <f t="shared" ca="1" si="33"/>
        <v>12074.34</v>
      </c>
    </row>
    <row r="134" spans="1:14" x14ac:dyDescent="0.2">
      <c r="A134" s="695" t="s">
        <v>898</v>
      </c>
      <c r="B134" s="575" t="str">
        <f t="shared" si="30"/>
        <v>ALUMÍNIO / PORTAS</v>
      </c>
      <c r="C134" s="576"/>
      <c r="D134" s="576" t="s">
        <v>743</v>
      </c>
      <c r="E134" s="576">
        <v>0.9</v>
      </c>
      <c r="F134" s="576">
        <v>2.1</v>
      </c>
      <c r="G134" s="577">
        <f t="shared" ca="1" si="31"/>
        <v>1</v>
      </c>
      <c r="H134" s="588">
        <f t="shared" ca="1" si="32"/>
        <v>1.8900000000000001</v>
      </c>
      <c r="I134" s="703">
        <v>1442.83</v>
      </c>
      <c r="J134" s="703">
        <f t="shared" ca="1" si="33"/>
        <v>1442.83</v>
      </c>
    </row>
    <row r="135" spans="1:14" x14ac:dyDescent="0.2">
      <c r="A135" s="695" t="s">
        <v>898</v>
      </c>
      <c r="B135" s="575" t="str">
        <f t="shared" si="30"/>
        <v>ALUMÍNIO / PORTAS</v>
      </c>
      <c r="C135" s="576"/>
      <c r="D135" s="576" t="s">
        <v>716</v>
      </c>
      <c r="E135" s="576">
        <v>0.6</v>
      </c>
      <c r="F135" s="576">
        <v>1</v>
      </c>
      <c r="G135" s="577">
        <f t="shared" ca="1" si="31"/>
        <v>60</v>
      </c>
      <c r="H135" s="588">
        <f ca="1">SUMIF($D$9:$I$92,D135,$I$9:$I$92)</f>
        <v>36</v>
      </c>
      <c r="I135" s="703">
        <v>419.75</v>
      </c>
      <c r="J135" s="703">
        <f ca="1">G135*I135</f>
        <v>25185</v>
      </c>
    </row>
    <row r="136" spans="1:14" x14ac:dyDescent="0.2">
      <c r="A136" s="695" t="s">
        <v>898</v>
      </c>
      <c r="B136" s="575" t="str">
        <f t="shared" si="30"/>
        <v>ALUMÍNIO / PORTAS</v>
      </c>
      <c r="C136" s="576"/>
      <c r="D136" s="576" t="s">
        <v>682</v>
      </c>
      <c r="E136" s="576">
        <v>0.7</v>
      </c>
      <c r="F136" s="576">
        <v>2.1</v>
      </c>
      <c r="G136" s="577">
        <f t="shared" ca="1" si="31"/>
        <v>2</v>
      </c>
      <c r="H136" s="588">
        <f t="shared" ca="1" si="32"/>
        <v>2.94</v>
      </c>
      <c r="I136" s="703">
        <v>1048.3599999999999</v>
      </c>
      <c r="J136" s="703">
        <f t="shared" ca="1" si="33"/>
        <v>2096.7199999999998</v>
      </c>
    </row>
    <row r="137" spans="1:14" x14ac:dyDescent="0.2">
      <c r="A137" s="695" t="s">
        <v>898</v>
      </c>
      <c r="B137" s="575" t="str">
        <f t="shared" si="30"/>
        <v>ALUMÍNIO / PORTAS</v>
      </c>
      <c r="C137" s="576"/>
      <c r="D137" s="576" t="s">
        <v>742</v>
      </c>
      <c r="E137" s="576">
        <v>2.6</v>
      </c>
      <c r="F137" s="576">
        <v>2.96</v>
      </c>
      <c r="G137" s="577">
        <f t="shared" ca="1" si="31"/>
        <v>1</v>
      </c>
      <c r="H137" s="588">
        <f t="shared" ca="1" si="32"/>
        <v>7.6959999999999997</v>
      </c>
      <c r="I137" s="703">
        <v>6008.99</v>
      </c>
      <c r="J137" s="703">
        <f t="shared" ca="1" si="33"/>
        <v>6008.99</v>
      </c>
    </row>
    <row r="138" spans="1:14" x14ac:dyDescent="0.2">
      <c r="A138" s="695" t="s">
        <v>898</v>
      </c>
      <c r="B138" s="575" t="str">
        <f t="shared" si="30"/>
        <v>ALUMÍNIO / PORTAS</v>
      </c>
      <c r="C138" s="576"/>
      <c r="D138" s="576" t="s">
        <v>741</v>
      </c>
      <c r="E138" s="576">
        <v>4.8</v>
      </c>
      <c r="F138" s="576">
        <v>2.91</v>
      </c>
      <c r="G138" s="577">
        <f t="shared" ca="1" si="31"/>
        <v>1</v>
      </c>
      <c r="H138" s="588">
        <f t="shared" ca="1" si="32"/>
        <v>13.968</v>
      </c>
      <c r="I138" s="703">
        <v>8021.25</v>
      </c>
      <c r="J138" s="703">
        <f t="shared" ca="1" si="33"/>
        <v>8021.25</v>
      </c>
    </row>
    <row r="139" spans="1:14" x14ac:dyDescent="0.2">
      <c r="A139" s="696" t="s">
        <v>898</v>
      </c>
      <c r="B139" s="575" t="str">
        <f t="shared" si="30"/>
        <v>ALUMÍNIO / PORTAS</v>
      </c>
      <c r="C139" s="698"/>
      <c r="D139" s="698" t="s">
        <v>740</v>
      </c>
      <c r="E139" s="698">
        <v>4.9000000000000004</v>
      </c>
      <c r="F139" s="698">
        <v>2.91</v>
      </c>
      <c r="G139" s="706">
        <f t="shared" ca="1" si="31"/>
        <v>1</v>
      </c>
      <c r="H139" s="700">
        <f t="shared" ca="1" si="32"/>
        <v>14.259000000000002</v>
      </c>
      <c r="I139" s="704">
        <v>8161.69</v>
      </c>
      <c r="J139" s="704">
        <f t="shared" ca="1" si="33"/>
        <v>8161.69</v>
      </c>
    </row>
    <row r="140" spans="1:14" x14ac:dyDescent="0.2">
      <c r="J140" s="705">
        <f ca="1">SUM(J123:J139)</f>
        <v>96652.150000000009</v>
      </c>
    </row>
    <row r="142" spans="1:14" x14ac:dyDescent="0.2">
      <c r="H142" s="701" t="s">
        <v>107</v>
      </c>
      <c r="J142" s="549"/>
      <c r="L142" s="722" t="s">
        <v>884</v>
      </c>
      <c r="M142" s="723"/>
      <c r="N142" s="724"/>
    </row>
    <row r="143" spans="1:14" x14ac:dyDescent="0.2">
      <c r="H143" s="710"/>
      <c r="I143" s="711">
        <f ca="1">ROUND(SUM(H99:H139),2)</f>
        <v>922.88</v>
      </c>
      <c r="J143" s="712" t="s">
        <v>13</v>
      </c>
      <c r="L143" s="725" t="s">
        <v>554</v>
      </c>
      <c r="M143" s="726">
        <f ca="1">SUMIF(ARQ.!$A$4:$C$2719,L143,ARQ.!$C$4:$C$2719)-'ESQ. MAD. E PCF'!E63</f>
        <v>2579.8100000000013</v>
      </c>
      <c r="N143" s="727" t="s">
        <v>3</v>
      </c>
    </row>
    <row r="144" spans="1:14" x14ac:dyDescent="0.2">
      <c r="H144" s="713" t="s">
        <v>907</v>
      </c>
      <c r="I144" s="714">
        <f ca="1">ROUND((J140+J120)/I143,2)</f>
        <v>894.29</v>
      </c>
      <c r="J144" s="715"/>
    </row>
    <row r="145" spans="1:14" ht="13.5" thickBot="1" x14ac:dyDescent="0.25"/>
    <row r="146" spans="1:14" x14ac:dyDescent="0.2">
      <c r="A146" s="553" t="s">
        <v>890</v>
      </c>
    </row>
    <row r="147" spans="1:14" ht="25.5" x14ac:dyDescent="0.2">
      <c r="A147" s="693" t="s">
        <v>898</v>
      </c>
      <c r="B147" s="568" t="s">
        <v>910</v>
      </c>
      <c r="C147" s="569"/>
      <c r="D147" s="692" t="s">
        <v>900</v>
      </c>
      <c r="E147" s="692" t="s">
        <v>352</v>
      </c>
      <c r="F147" s="692" t="s">
        <v>354</v>
      </c>
      <c r="G147" s="570" t="s">
        <v>906</v>
      </c>
      <c r="H147" s="570" t="s">
        <v>905</v>
      </c>
      <c r="I147" s="707" t="s">
        <v>901</v>
      </c>
      <c r="J147" s="694" t="s">
        <v>902</v>
      </c>
      <c r="L147" s="549"/>
      <c r="M147" s="549"/>
      <c r="N147" s="549"/>
    </row>
    <row r="148" spans="1:14" x14ac:dyDescent="0.2">
      <c r="A148" s="695" t="s">
        <v>898</v>
      </c>
      <c r="B148" s="575" t="str">
        <f>B147</f>
        <v>MOLDURAS DE CHURRASQUEIRAS</v>
      </c>
      <c r="C148" s="576"/>
      <c r="D148" s="576" t="s">
        <v>617</v>
      </c>
      <c r="E148" s="576">
        <v>0.7</v>
      </c>
      <c r="F148" s="576">
        <v>0.6</v>
      </c>
      <c r="G148" s="577">
        <f ca="1">H148/(E148*F148)</f>
        <v>43</v>
      </c>
      <c r="H148" s="588">
        <f ca="1">SUMIF($D$9:$I$92,D148,$I$9:$I$92)</f>
        <v>18.059999999999999</v>
      </c>
      <c r="I148" s="703">
        <v>500</v>
      </c>
      <c r="J148" s="703">
        <f ca="1">G148*I148</f>
        <v>21500</v>
      </c>
      <c r="L148" s="549"/>
      <c r="M148" s="549"/>
      <c r="N148" s="549"/>
    </row>
    <row r="149" spans="1:14" x14ac:dyDescent="0.2">
      <c r="A149" s="696" t="s">
        <v>898</v>
      </c>
      <c r="B149" s="697" t="str">
        <f>B147</f>
        <v>MOLDURAS DE CHURRASQUEIRAS</v>
      </c>
      <c r="C149" s="698"/>
      <c r="D149" s="698" t="s">
        <v>615</v>
      </c>
      <c r="E149" s="698">
        <v>0.6</v>
      </c>
      <c r="F149" s="698">
        <v>0.6</v>
      </c>
      <c r="G149" s="699">
        <f ca="1">H149/(E149*F149)</f>
        <v>20</v>
      </c>
      <c r="H149" s="700">
        <f ca="1">SUMIF($D$9:$I$92,D149,$I$9:$I$92)</f>
        <v>7.1999999999999993</v>
      </c>
      <c r="I149" s="704">
        <v>500</v>
      </c>
      <c r="J149" s="704">
        <f ca="1">G149*I149</f>
        <v>10000</v>
      </c>
      <c r="L149" s="549"/>
      <c r="M149" s="549"/>
      <c r="N149" s="549"/>
    </row>
    <row r="151" spans="1:14" x14ac:dyDescent="0.2">
      <c r="H151" s="701" t="s">
        <v>910</v>
      </c>
      <c r="J151" s="549"/>
    </row>
    <row r="152" spans="1:14" x14ac:dyDescent="0.2">
      <c r="H152" s="710"/>
      <c r="I152" s="716">
        <f ca="1">SUM(G148:G149)</f>
        <v>63</v>
      </c>
      <c r="J152" s="712" t="s">
        <v>2</v>
      </c>
    </row>
    <row r="153" spans="1:14" x14ac:dyDescent="0.2">
      <c r="H153" s="713" t="s">
        <v>911</v>
      </c>
      <c r="I153" s="714">
        <f ca="1">SUM(J148:J149)/I152</f>
        <v>500</v>
      </c>
      <c r="J153" s="715"/>
    </row>
    <row r="154" spans="1:14" ht="13.5" thickBot="1" x14ac:dyDescent="0.25"/>
    <row r="155" spans="1:14" x14ac:dyDescent="0.2">
      <c r="A155" s="553" t="s">
        <v>890</v>
      </c>
    </row>
    <row r="156" spans="1:14" ht="25.5" x14ac:dyDescent="0.2">
      <c r="A156" s="693" t="s">
        <v>898</v>
      </c>
      <c r="B156" s="568" t="s">
        <v>909</v>
      </c>
      <c r="C156" s="569"/>
      <c r="D156" s="708" t="s">
        <v>900</v>
      </c>
      <c r="E156" s="692" t="s">
        <v>352</v>
      </c>
      <c r="F156" s="692" t="s">
        <v>354</v>
      </c>
      <c r="G156" s="570" t="s">
        <v>906</v>
      </c>
      <c r="H156" s="570" t="s">
        <v>905</v>
      </c>
      <c r="I156" s="707" t="s">
        <v>901</v>
      </c>
      <c r="J156" s="694" t="s">
        <v>902</v>
      </c>
    </row>
    <row r="157" spans="1:14" x14ac:dyDescent="0.2">
      <c r="A157" s="696" t="s">
        <v>898</v>
      </c>
      <c r="B157" s="697" t="str">
        <f>B156</f>
        <v>PORTÃO</v>
      </c>
      <c r="C157" s="709"/>
      <c r="D157" s="698" t="s">
        <v>744</v>
      </c>
      <c r="E157" s="698">
        <v>4</v>
      </c>
      <c r="F157" s="698">
        <v>2.5</v>
      </c>
      <c r="G157" s="699">
        <f ca="1">H157/(E157*F157)</f>
        <v>1</v>
      </c>
      <c r="H157" s="700">
        <f ca="1">SUMIF($D$9:$I$92,D157,$I$9:$I$92)</f>
        <v>10</v>
      </c>
      <c r="I157" s="704">
        <v>14960.57</v>
      </c>
      <c r="J157" s="704">
        <f ca="1">G157*I157</f>
        <v>14960.57</v>
      </c>
    </row>
    <row r="160" spans="1:14" ht="13.5" thickBot="1" x14ac:dyDescent="0.25"/>
    <row r="161" spans="1:14" x14ac:dyDescent="0.2">
      <c r="A161" s="553" t="s">
        <v>890</v>
      </c>
    </row>
    <row r="162" spans="1:14" ht="25.5" x14ac:dyDescent="0.2">
      <c r="A162" s="693" t="s">
        <v>898</v>
      </c>
      <c r="B162" s="568" t="s">
        <v>933</v>
      </c>
      <c r="C162" s="569"/>
      <c r="D162" s="692" t="s">
        <v>900</v>
      </c>
      <c r="E162" s="692" t="s">
        <v>352</v>
      </c>
      <c r="F162" s="692" t="s">
        <v>354</v>
      </c>
      <c r="G162" s="570" t="s">
        <v>906</v>
      </c>
      <c r="H162" s="570" t="s">
        <v>905</v>
      </c>
      <c r="I162" s="707" t="s">
        <v>901</v>
      </c>
      <c r="J162" s="694" t="s">
        <v>902</v>
      </c>
      <c r="L162" s="549"/>
      <c r="M162" s="549"/>
      <c r="N162" s="549"/>
    </row>
    <row r="163" spans="1:14" x14ac:dyDescent="0.2">
      <c r="A163" s="695" t="s">
        <v>898</v>
      </c>
      <c r="B163" s="575" t="str">
        <f>B162</f>
        <v>BRISES</v>
      </c>
      <c r="C163" s="576" t="s">
        <v>934</v>
      </c>
      <c r="D163" s="576" t="s">
        <v>936</v>
      </c>
      <c r="E163" s="576">
        <v>1</v>
      </c>
      <c r="F163" s="576">
        <v>2.38</v>
      </c>
      <c r="G163" s="577">
        <v>2</v>
      </c>
      <c r="H163" s="588">
        <f>E163*F163*G163</f>
        <v>4.76</v>
      </c>
      <c r="I163" s="703">
        <v>1214.8399999999999</v>
      </c>
      <c r="J163" s="703">
        <f>G163*I163</f>
        <v>2429.6799999999998</v>
      </c>
      <c r="L163" s="549"/>
      <c r="M163" s="549"/>
      <c r="N163" s="549"/>
    </row>
    <row r="164" spans="1:14" x14ac:dyDescent="0.2">
      <c r="A164" s="696" t="s">
        <v>898</v>
      </c>
      <c r="B164" s="697" t="str">
        <f>B162</f>
        <v>BRISES</v>
      </c>
      <c r="C164" s="698" t="s">
        <v>935</v>
      </c>
      <c r="D164" s="698" t="s">
        <v>936</v>
      </c>
      <c r="E164" s="698">
        <v>1</v>
      </c>
      <c r="F164" s="698">
        <v>3.1</v>
      </c>
      <c r="G164" s="699">
        <v>1</v>
      </c>
      <c r="H164" s="700">
        <f>E164*F164*G164</f>
        <v>3.1</v>
      </c>
      <c r="I164" s="704">
        <v>1483.75</v>
      </c>
      <c r="J164" s="704">
        <f>G164*I164</f>
        <v>1483.75</v>
      </c>
      <c r="L164" s="549"/>
      <c r="M164" s="549"/>
      <c r="N164" s="549"/>
    </row>
    <row r="166" spans="1:14" x14ac:dyDescent="0.2">
      <c r="H166" s="701" t="s">
        <v>910</v>
      </c>
      <c r="J166" s="549"/>
    </row>
    <row r="167" spans="1:14" x14ac:dyDescent="0.2">
      <c r="H167" s="710"/>
      <c r="I167" s="716">
        <f>SUM(H163:H164)</f>
        <v>7.8599999999999994</v>
      </c>
      <c r="J167" s="712" t="s">
        <v>13</v>
      </c>
    </row>
    <row r="168" spans="1:14" x14ac:dyDescent="0.2">
      <c r="H168" s="713" t="s">
        <v>907</v>
      </c>
      <c r="I168" s="714">
        <f>SUM(J163:J164)/I167</f>
        <v>497.89185750636136</v>
      </c>
      <c r="J168" s="715"/>
    </row>
  </sheetData>
  <autoFilter ref="E6:M93" xr:uid="{00000000-0009-0000-0000-00001D000000}"/>
  <dataConsolidate/>
  <mergeCells count="1">
    <mergeCell ref="A5:M5"/>
  </mergeCells>
  <pageMargins left="0.511811024" right="0.511811024" top="0.78740157499999996" bottom="0.78740157499999996" header="0.31496062000000002" footer="0.31496062000000002"/>
  <pageSetup paperSize="9" scale="22" fitToWidth="0" orientation="landscape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1851D6"/>
    <pageSetUpPr fitToPage="1"/>
  </sheetPr>
  <dimension ref="A1:AA15"/>
  <sheetViews>
    <sheetView showGridLines="0" zoomScale="85" zoomScaleNormal="85" zoomScaleSheetLayoutView="80" workbookViewId="0">
      <selection activeCell="C3" sqref="C3:C4"/>
    </sheetView>
  </sheetViews>
  <sheetFormatPr defaultColWidth="9.140625" defaultRowHeight="12.75" outlineLevelCol="1" x14ac:dyDescent="0.2"/>
  <cols>
    <col min="1" max="1" width="24.5703125" style="549" customWidth="1"/>
    <col min="2" max="2" width="20.28515625" style="549" customWidth="1"/>
    <col min="3" max="3" width="13.28515625" style="549" customWidth="1"/>
    <col min="4" max="4" width="61.5703125" style="549" customWidth="1"/>
    <col min="5" max="5" width="18.28515625" style="549" bestFit="1" customWidth="1"/>
    <col min="6" max="7" width="18.28515625" style="549" customWidth="1"/>
    <col min="8" max="8" width="12.5703125" style="549" bestFit="1" customWidth="1"/>
    <col min="9" max="9" width="13.28515625" style="598" bestFit="1" customWidth="1"/>
    <col min="10" max="11" width="14" style="598" customWidth="1" outlineLevel="1"/>
    <col min="12" max="12" width="21.5703125" style="583" customWidth="1"/>
    <col min="13" max="13" width="22.5703125" style="584" bestFit="1" customWidth="1"/>
    <col min="14" max="16384" width="9.140625" style="549"/>
  </cols>
  <sheetData>
    <row r="1" spans="1:27" s="550" customFormat="1" ht="15" x14ac:dyDescent="0.25">
      <c r="A1" s="343"/>
      <c r="B1" s="362" t="s">
        <v>172</v>
      </c>
      <c r="C1" s="339" t="str">
        <f>ORÇAMENTO!I4</f>
        <v>SENSE106</v>
      </c>
      <c r="D1" s="339"/>
      <c r="E1" s="338"/>
      <c r="F1" s="338"/>
      <c r="G1" s="338"/>
      <c r="H1" s="338"/>
      <c r="I1" s="589"/>
      <c r="J1" s="589"/>
      <c r="K1" s="589"/>
      <c r="L1" s="538"/>
      <c r="M1" s="549"/>
      <c r="N1" s="549"/>
      <c r="O1" s="549"/>
    </row>
    <row r="2" spans="1:27" s="550" customFormat="1" ht="15" x14ac:dyDescent="0.25">
      <c r="A2" s="397"/>
      <c r="B2" s="362" t="s">
        <v>173</v>
      </c>
      <c r="C2" s="363" t="str">
        <f>ORÇAMENTO!I5</f>
        <v>HOLZE EMPREENDIMENTOS</v>
      </c>
      <c r="D2" s="541"/>
      <c r="E2" s="339"/>
      <c r="F2" s="339"/>
      <c r="G2" s="339"/>
      <c r="H2" s="339"/>
      <c r="I2" s="590"/>
      <c r="J2" s="590"/>
      <c r="K2" s="590"/>
      <c r="L2" s="540"/>
      <c r="M2" s="551"/>
      <c r="N2" s="551"/>
      <c r="O2" s="551"/>
      <c r="P2" s="551"/>
      <c r="Q2" s="551"/>
      <c r="R2" s="551"/>
      <c r="S2" s="551"/>
      <c r="T2" s="551"/>
      <c r="U2" s="551"/>
      <c r="V2" s="551"/>
      <c r="W2" s="551"/>
      <c r="X2" s="551"/>
      <c r="Y2" s="551"/>
      <c r="Z2" s="551"/>
      <c r="AA2" s="551"/>
    </row>
    <row r="3" spans="1:27" s="550" customFormat="1" ht="15" x14ac:dyDescent="0.25">
      <c r="A3" s="397"/>
      <c r="B3" s="362" t="s">
        <v>190</v>
      </c>
      <c r="C3" s="541">
        <f>ORÇAMENTO!P5</f>
        <v>45608</v>
      </c>
      <c r="D3" s="541"/>
      <c r="E3" s="339"/>
      <c r="F3" s="339"/>
      <c r="G3" s="339"/>
      <c r="H3" s="339"/>
      <c r="I3" s="590"/>
      <c r="J3" s="590"/>
      <c r="K3" s="590"/>
      <c r="L3" s="540"/>
      <c r="M3" s="551"/>
      <c r="N3" s="551"/>
      <c r="O3" s="551"/>
      <c r="P3" s="551"/>
      <c r="Q3" s="551"/>
      <c r="R3" s="551"/>
      <c r="S3" s="551"/>
      <c r="T3" s="551"/>
      <c r="U3" s="551"/>
      <c r="V3" s="551"/>
      <c r="W3" s="551"/>
      <c r="X3" s="551"/>
      <c r="Y3" s="551"/>
      <c r="Z3" s="551"/>
      <c r="AA3" s="551"/>
    </row>
    <row r="4" spans="1:27" s="550" customFormat="1" ht="15" x14ac:dyDescent="0.25">
      <c r="A4" s="344"/>
      <c r="B4" s="362" t="s">
        <v>174</v>
      </c>
      <c r="C4" s="633" t="str">
        <f>ORÇAMENTO!O5</f>
        <v>R01 - Edileni Silva</v>
      </c>
      <c r="D4" s="339"/>
      <c r="E4" s="339"/>
      <c r="F4" s="339"/>
      <c r="G4" s="339"/>
      <c r="H4" s="339"/>
      <c r="I4" s="590"/>
      <c r="J4" s="590"/>
      <c r="K4" s="590"/>
      <c r="L4" s="539"/>
      <c r="M4" s="552"/>
      <c r="N4" s="552"/>
      <c r="O4" s="552"/>
    </row>
    <row r="5" spans="1:27" ht="24" customHeight="1" thickBot="1" x14ac:dyDescent="0.25">
      <c r="A5" s="1366" t="s">
        <v>340</v>
      </c>
      <c r="B5" s="1366"/>
      <c r="C5" s="1366"/>
      <c r="D5" s="1366"/>
      <c r="E5" s="1366"/>
      <c r="F5" s="1366"/>
      <c r="G5" s="1366"/>
      <c r="H5" s="1366"/>
      <c r="I5" s="1366"/>
      <c r="J5" s="1366"/>
      <c r="K5" s="1366"/>
      <c r="L5" s="1366"/>
      <c r="M5" s="549"/>
    </row>
    <row r="6" spans="1:27" s="559" customFormat="1" ht="40.15" customHeight="1" x14ac:dyDescent="0.2">
      <c r="A6" s="553" t="s">
        <v>225</v>
      </c>
      <c r="B6" s="553" t="s">
        <v>86</v>
      </c>
      <c r="C6" s="554" t="s">
        <v>343</v>
      </c>
      <c r="D6" s="554" t="s">
        <v>0</v>
      </c>
      <c r="E6" s="554" t="s">
        <v>353</v>
      </c>
      <c r="F6" s="587" t="s">
        <v>352</v>
      </c>
      <c r="G6" s="587" t="s">
        <v>354</v>
      </c>
      <c r="H6" s="555" t="s">
        <v>344</v>
      </c>
      <c r="I6" s="591" t="s">
        <v>345</v>
      </c>
      <c r="J6" s="592" t="s">
        <v>901</v>
      </c>
      <c r="K6" s="592" t="s">
        <v>902</v>
      </c>
      <c r="L6" s="558" t="s">
        <v>339</v>
      </c>
    </row>
    <row r="7" spans="1:27" s="559" customFormat="1" ht="17.25" customHeight="1" x14ac:dyDescent="0.2">
      <c r="A7" s="600" t="s">
        <v>898</v>
      </c>
      <c r="B7" s="601"/>
      <c r="C7" s="602"/>
      <c r="D7" s="602"/>
      <c r="E7" s="603"/>
      <c r="F7" s="603"/>
      <c r="G7" s="603"/>
      <c r="H7" s="604"/>
      <c r="I7" s="605">
        <f>I8+I12</f>
        <v>5</v>
      </c>
      <c r="J7" s="605">
        <f>J8+J12</f>
        <v>11082.24</v>
      </c>
      <c r="K7" s="605">
        <f>K8+K12</f>
        <v>11478.48</v>
      </c>
      <c r="L7" s="606"/>
    </row>
    <row r="8" spans="1:27" ht="14.45" customHeight="1" x14ac:dyDescent="0.2">
      <c r="A8" s="607" t="str">
        <f>A7</f>
        <v>GERAL</v>
      </c>
      <c r="B8" s="608" t="s">
        <v>112</v>
      </c>
      <c r="C8" s="609"/>
      <c r="D8" s="609"/>
      <c r="E8" s="610"/>
      <c r="F8" s="610"/>
      <c r="G8" s="610"/>
      <c r="H8" s="611"/>
      <c r="I8" s="612">
        <f>SUM(I9:I11)</f>
        <v>3</v>
      </c>
      <c r="J8" s="613">
        <f>SUM(J9:J11)</f>
        <v>10686</v>
      </c>
      <c r="K8" s="613">
        <f>SUM(K9:K11)</f>
        <v>10686</v>
      </c>
      <c r="L8" s="614"/>
      <c r="M8" s="549"/>
    </row>
    <row r="9" spans="1:27" x14ac:dyDescent="0.2">
      <c r="A9" s="615" t="str">
        <f>A7</f>
        <v>GERAL</v>
      </c>
      <c r="B9" s="575" t="str">
        <f>B8</f>
        <v>ESCADA MARINHEIRO</v>
      </c>
      <c r="C9" s="576" t="s">
        <v>922</v>
      </c>
      <c r="D9" s="576" t="s">
        <v>921</v>
      </c>
      <c r="E9" s="577">
        <v>1</v>
      </c>
      <c r="F9" s="588">
        <v>0.9</v>
      </c>
      <c r="G9" s="588">
        <v>6.8</v>
      </c>
      <c r="H9" s="578">
        <v>1</v>
      </c>
      <c r="I9" s="595">
        <f>H9*E9</f>
        <v>1</v>
      </c>
      <c r="J9" s="596">
        <v>6200</v>
      </c>
      <c r="K9" s="596">
        <f>J9*I9</f>
        <v>6200</v>
      </c>
      <c r="L9" s="616"/>
      <c r="M9" s="549"/>
    </row>
    <row r="10" spans="1:27" ht="14.45" customHeight="1" x14ac:dyDescent="0.2">
      <c r="A10" s="615" t="str">
        <f>A8</f>
        <v>GERAL</v>
      </c>
      <c r="B10" s="575" t="str">
        <f>B9</f>
        <v>ESCADA MARINHEIRO</v>
      </c>
      <c r="C10" s="576" t="s">
        <v>923</v>
      </c>
      <c r="D10" s="576" t="s">
        <v>925</v>
      </c>
      <c r="E10" s="577">
        <v>1</v>
      </c>
      <c r="F10" s="588">
        <v>0.7</v>
      </c>
      <c r="G10" s="588">
        <v>1.5</v>
      </c>
      <c r="H10" s="578">
        <v>1</v>
      </c>
      <c r="I10" s="595">
        <f>H10*E10</f>
        <v>1</v>
      </c>
      <c r="J10" s="596">
        <v>2243</v>
      </c>
      <c r="K10" s="596">
        <f>J10*I10</f>
        <v>2243</v>
      </c>
      <c r="L10" s="617"/>
      <c r="M10" s="549"/>
    </row>
    <row r="11" spans="1:27" ht="14.45" customHeight="1" x14ac:dyDescent="0.2">
      <c r="A11" s="615" t="str">
        <f>A9</f>
        <v>GERAL</v>
      </c>
      <c r="B11" s="575" t="str">
        <f>B10</f>
        <v>ESCADA MARINHEIRO</v>
      </c>
      <c r="C11" s="576" t="s">
        <v>924</v>
      </c>
      <c r="D11" s="576" t="s">
        <v>925</v>
      </c>
      <c r="E11" s="577">
        <v>1</v>
      </c>
      <c r="F11" s="588">
        <v>0.5</v>
      </c>
      <c r="G11" s="588">
        <v>1.5</v>
      </c>
      <c r="H11" s="578">
        <v>1</v>
      </c>
      <c r="I11" s="595">
        <f>H11*E11</f>
        <v>1</v>
      </c>
      <c r="J11" s="596">
        <v>2243</v>
      </c>
      <c r="K11" s="596">
        <f>J11*I11</f>
        <v>2243</v>
      </c>
      <c r="L11" s="617"/>
      <c r="M11" s="549"/>
    </row>
    <row r="12" spans="1:27" x14ac:dyDescent="0.2">
      <c r="A12" s="615" t="str">
        <f>A10</f>
        <v>GERAL</v>
      </c>
      <c r="B12" s="568" t="s">
        <v>113</v>
      </c>
      <c r="C12" s="569"/>
      <c r="D12" s="569"/>
      <c r="E12" s="570"/>
      <c r="F12" s="570"/>
      <c r="G12" s="570"/>
      <c r="H12" s="571"/>
      <c r="I12" s="599">
        <f>SUM(I13:I13)</f>
        <v>2</v>
      </c>
      <c r="J12" s="594">
        <f>SUM(J13:J13)</f>
        <v>396.24</v>
      </c>
      <c r="K12" s="594">
        <f>SUM(K13:K13)</f>
        <v>792.48</v>
      </c>
      <c r="L12" s="618"/>
      <c r="M12" s="549"/>
    </row>
    <row r="13" spans="1:27" x14ac:dyDescent="0.2">
      <c r="A13" s="615" t="str">
        <f>A11</f>
        <v>GERAL</v>
      </c>
      <c r="B13" s="575" t="str">
        <f>B12</f>
        <v>ALÇAPÃO</v>
      </c>
      <c r="C13" s="576" t="s">
        <v>920</v>
      </c>
      <c r="D13" s="576" t="s">
        <v>721</v>
      </c>
      <c r="E13" s="577">
        <v>2</v>
      </c>
      <c r="F13" s="588">
        <v>0.8</v>
      </c>
      <c r="G13" s="588">
        <v>0.8</v>
      </c>
      <c r="H13" s="578">
        <v>1</v>
      </c>
      <c r="I13" s="595">
        <f>H13*E13</f>
        <v>2</v>
      </c>
      <c r="J13" s="596">
        <v>396.24</v>
      </c>
      <c r="K13" s="596">
        <f>J13*I13</f>
        <v>792.48</v>
      </c>
      <c r="L13" s="616"/>
      <c r="M13" s="549"/>
    </row>
    <row r="14" spans="1:27" ht="13.5" thickBot="1" x14ac:dyDescent="0.25">
      <c r="A14" s="544" t="s">
        <v>16</v>
      </c>
      <c r="B14" s="544"/>
      <c r="C14" s="545"/>
      <c r="D14" s="545"/>
      <c r="E14" s="548" t="e">
        <f>E7+#REF!</f>
        <v>#REF!</v>
      </c>
      <c r="F14" s="548"/>
      <c r="G14" s="548"/>
      <c r="H14" s="545"/>
      <c r="I14" s="597">
        <f>SUM(I7)</f>
        <v>5</v>
      </c>
      <c r="J14" s="597">
        <f>SUM(J7)</f>
        <v>11082.24</v>
      </c>
      <c r="K14" s="597">
        <f>SUM(K7)</f>
        <v>11478.48</v>
      </c>
      <c r="L14" s="547"/>
      <c r="M14" s="549"/>
    </row>
    <row r="15" spans="1:27" ht="13.5" thickTop="1" x14ac:dyDescent="0.2"/>
  </sheetData>
  <autoFilter ref="E6:L14" xr:uid="{00000000-0009-0000-0000-00001E000000}"/>
  <dataConsolidate/>
  <mergeCells count="1">
    <mergeCell ref="A5:L5"/>
  </mergeCells>
  <pageMargins left="0.511811024" right="0.511811024" top="0.78740157499999996" bottom="0.78740157499999996" header="0.31496062000000002" footer="0.31496062000000002"/>
  <pageSetup paperSize="9" scale="22" fitToWidth="0" orientation="landscape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1851D6"/>
    <pageSetUpPr fitToPage="1"/>
  </sheetPr>
  <dimension ref="A1:AD63"/>
  <sheetViews>
    <sheetView showGridLines="0" topLeftCell="D34" zoomScale="85" zoomScaleNormal="85" zoomScaleSheetLayoutView="80" workbookViewId="0">
      <selection activeCell="H57" sqref="H57"/>
    </sheetView>
  </sheetViews>
  <sheetFormatPr defaultColWidth="9.140625" defaultRowHeight="12.75" outlineLevelCol="1" x14ac:dyDescent="0.2"/>
  <cols>
    <col min="1" max="1" width="24.5703125" style="549" customWidth="1"/>
    <col min="2" max="2" width="20.28515625" style="549" customWidth="1"/>
    <col min="3" max="3" width="13.28515625" style="549" customWidth="1"/>
    <col min="4" max="4" width="61.5703125" style="549" customWidth="1"/>
    <col min="5" max="5" width="18.28515625" style="549" bestFit="1" customWidth="1"/>
    <col min="6" max="7" width="18.28515625" style="549" customWidth="1"/>
    <col min="8" max="8" width="12.5703125" style="549" bestFit="1" customWidth="1"/>
    <col min="9" max="9" width="13.28515625" style="598" bestFit="1" customWidth="1"/>
    <col min="10" max="11" width="14" style="598" customWidth="1" outlineLevel="1"/>
    <col min="12" max="12" width="21.5703125" style="583" customWidth="1"/>
    <col min="13" max="13" width="22.5703125" style="584" bestFit="1" customWidth="1"/>
    <col min="14" max="16384" width="9.140625" style="549"/>
  </cols>
  <sheetData>
    <row r="1" spans="1:27" s="550" customFormat="1" ht="15" x14ac:dyDescent="0.25">
      <c r="A1" s="343"/>
      <c r="B1" s="362" t="s">
        <v>172</v>
      </c>
      <c r="C1" s="339" t="str">
        <f>ORÇAMENTO!I4</f>
        <v>SENSE106</v>
      </c>
      <c r="D1" s="339"/>
      <c r="E1" s="338"/>
      <c r="F1" s="338"/>
      <c r="G1" s="338"/>
      <c r="H1" s="338"/>
      <c r="I1" s="589"/>
      <c r="J1" s="589"/>
      <c r="K1" s="589"/>
      <c r="L1" s="538"/>
      <c r="M1" s="549"/>
      <c r="N1" s="549"/>
      <c r="O1" s="549"/>
    </row>
    <row r="2" spans="1:27" s="550" customFormat="1" ht="15" x14ac:dyDescent="0.25">
      <c r="A2" s="397"/>
      <c r="B2" s="362" t="s">
        <v>173</v>
      </c>
      <c r="C2" s="363" t="str">
        <f>ORÇAMENTO!I5</f>
        <v>HOLZE EMPREENDIMENTOS</v>
      </c>
      <c r="D2" s="541"/>
      <c r="E2" s="339"/>
      <c r="F2" s="339"/>
      <c r="G2" s="339"/>
      <c r="H2" s="339"/>
      <c r="I2" s="590"/>
      <c r="J2" s="590"/>
      <c r="K2" s="590"/>
      <c r="L2" s="540"/>
      <c r="M2" s="551"/>
      <c r="N2" s="551"/>
      <c r="O2" s="551"/>
      <c r="P2" s="551"/>
      <c r="Q2" s="551"/>
      <c r="R2" s="551"/>
      <c r="S2" s="551"/>
      <c r="T2" s="551"/>
      <c r="U2" s="551"/>
      <c r="V2" s="551"/>
      <c r="W2" s="551"/>
      <c r="X2" s="551"/>
      <c r="Y2" s="551"/>
      <c r="Z2" s="551"/>
      <c r="AA2" s="551"/>
    </row>
    <row r="3" spans="1:27" s="550" customFormat="1" ht="15" x14ac:dyDescent="0.25">
      <c r="A3" s="397"/>
      <c r="B3" s="362" t="s">
        <v>190</v>
      </c>
      <c r="C3" s="541">
        <f>ORÇAMENTO!P5</f>
        <v>45608</v>
      </c>
      <c r="D3" s="541"/>
      <c r="E3" s="339"/>
      <c r="F3" s="339"/>
      <c r="G3" s="339"/>
      <c r="H3" s="339"/>
      <c r="I3" s="590"/>
      <c r="J3" s="590"/>
      <c r="K3" s="590"/>
      <c r="L3" s="540"/>
      <c r="M3" s="551"/>
      <c r="N3" s="551"/>
      <c r="O3" s="551"/>
      <c r="P3" s="551"/>
      <c r="Q3" s="551"/>
      <c r="R3" s="551"/>
      <c r="S3" s="551"/>
      <c r="T3" s="551"/>
      <c r="U3" s="551"/>
      <c r="V3" s="551"/>
      <c r="W3" s="551"/>
      <c r="X3" s="551"/>
      <c r="Y3" s="551"/>
      <c r="Z3" s="551"/>
      <c r="AA3" s="551"/>
    </row>
    <row r="4" spans="1:27" s="550" customFormat="1" ht="15" x14ac:dyDescent="0.25">
      <c r="A4" s="344"/>
      <c r="B4" s="362" t="s">
        <v>174</v>
      </c>
      <c r="C4" s="633" t="str">
        <f>ORÇAMENTO!O5</f>
        <v>R01 - Edileni Silva</v>
      </c>
      <c r="D4" s="339"/>
      <c r="E4" s="339"/>
      <c r="F4" s="339"/>
      <c r="G4" s="339"/>
      <c r="H4" s="339"/>
      <c r="I4" s="590"/>
      <c r="J4" s="590"/>
      <c r="K4" s="590"/>
      <c r="L4" s="539"/>
      <c r="M4" s="552"/>
      <c r="N4" s="552"/>
      <c r="O4" s="552"/>
    </row>
    <row r="5" spans="1:27" ht="24" customHeight="1" thickBot="1" x14ac:dyDescent="0.25">
      <c r="A5" s="1366" t="s">
        <v>340</v>
      </c>
      <c r="B5" s="1366"/>
      <c r="C5" s="1366"/>
      <c r="D5" s="1366"/>
      <c r="E5" s="1366"/>
      <c r="F5" s="1366"/>
      <c r="G5" s="1366"/>
      <c r="H5" s="1366"/>
      <c r="I5" s="1366"/>
      <c r="J5" s="1366"/>
      <c r="K5" s="1366"/>
      <c r="L5" s="1366"/>
      <c r="M5" s="549"/>
    </row>
    <row r="6" spans="1:27" s="559" customFormat="1" ht="40.15" customHeight="1" x14ac:dyDescent="0.2">
      <c r="A6" s="553" t="s">
        <v>225</v>
      </c>
      <c r="B6" s="553" t="s">
        <v>86</v>
      </c>
      <c r="C6" s="554" t="s">
        <v>343</v>
      </c>
      <c r="D6" s="554" t="s">
        <v>0</v>
      </c>
      <c r="E6" s="554" t="s">
        <v>353</v>
      </c>
      <c r="F6" s="587" t="s">
        <v>352</v>
      </c>
      <c r="G6" s="587" t="s">
        <v>354</v>
      </c>
      <c r="H6" s="555" t="s">
        <v>344</v>
      </c>
      <c r="I6" s="591" t="s">
        <v>345</v>
      </c>
      <c r="J6" s="592" t="s">
        <v>346</v>
      </c>
      <c r="K6" s="592" t="s">
        <v>347</v>
      </c>
      <c r="L6" s="558" t="s">
        <v>339</v>
      </c>
    </row>
    <row r="7" spans="1:27" s="559" customFormat="1" ht="17.25" customHeight="1" x14ac:dyDescent="0.2">
      <c r="A7" s="600" t="s">
        <v>337</v>
      </c>
      <c r="B7" s="601"/>
      <c r="C7" s="602"/>
      <c r="D7" s="602"/>
      <c r="E7" s="603"/>
      <c r="F7" s="603"/>
      <c r="G7" s="603"/>
      <c r="H7" s="604"/>
      <c r="I7" s="605">
        <f>I8+I12</f>
        <v>7</v>
      </c>
      <c r="J7" s="605">
        <f>J8+J12</f>
        <v>5.7</v>
      </c>
      <c r="K7" s="605">
        <f>K8+K12</f>
        <v>7.1</v>
      </c>
      <c r="L7" s="606"/>
    </row>
    <row r="8" spans="1:27" ht="14.45" customHeight="1" x14ac:dyDescent="0.2">
      <c r="A8" s="607" t="str">
        <f>A7</f>
        <v>TERREO</v>
      </c>
      <c r="B8" s="608" t="s">
        <v>341</v>
      </c>
      <c r="C8" s="609"/>
      <c r="D8" s="609"/>
      <c r="E8" s="610"/>
      <c r="F8" s="610"/>
      <c r="G8" s="610"/>
      <c r="H8" s="611"/>
      <c r="I8" s="612">
        <f>SUM(I9:I11)</f>
        <v>4</v>
      </c>
      <c r="J8" s="613">
        <f>SUM(J9:J11)</f>
        <v>3</v>
      </c>
      <c r="K8" s="613">
        <f>SUM(K9:K11)</f>
        <v>3.8</v>
      </c>
      <c r="L8" s="614"/>
      <c r="M8" s="549"/>
    </row>
    <row r="9" spans="1:27" x14ac:dyDescent="0.2">
      <c r="A9" s="615" t="str">
        <f t="shared" ref="A9:A14" si="0">A7</f>
        <v>TERREO</v>
      </c>
      <c r="B9" s="575" t="str">
        <f>B8</f>
        <v>MADEIRA</v>
      </c>
      <c r="C9" s="576"/>
      <c r="D9" s="576" t="s">
        <v>612</v>
      </c>
      <c r="E9" s="577">
        <v>2</v>
      </c>
      <c r="F9" s="588">
        <v>0.8</v>
      </c>
      <c r="G9" s="588">
        <v>2.1</v>
      </c>
      <c r="H9" s="578">
        <v>1</v>
      </c>
      <c r="I9" s="595">
        <f>H9*E9</f>
        <v>2</v>
      </c>
      <c r="J9" s="596">
        <f>F9*I9</f>
        <v>1.6</v>
      </c>
      <c r="K9" s="596">
        <f>IF(F9&lt;1.5,(F9+0.1*2),(F9+0.2*2))*I9</f>
        <v>2</v>
      </c>
      <c r="L9" s="616"/>
      <c r="M9" s="549"/>
    </row>
    <row r="10" spans="1:27" ht="14.45" customHeight="1" x14ac:dyDescent="0.2">
      <c r="A10" s="615" t="str">
        <f t="shared" si="0"/>
        <v>TERREO</v>
      </c>
      <c r="B10" s="575" t="str">
        <f>B9</f>
        <v>MADEIRA</v>
      </c>
      <c r="C10" s="576"/>
      <c r="D10" s="576" t="s">
        <v>739</v>
      </c>
      <c r="E10" s="577">
        <v>2</v>
      </c>
      <c r="F10" s="588">
        <v>0.7</v>
      </c>
      <c r="G10" s="588">
        <v>2.1</v>
      </c>
      <c r="H10" s="578">
        <v>1</v>
      </c>
      <c r="I10" s="595">
        <f>H10*E10</f>
        <v>2</v>
      </c>
      <c r="J10" s="596">
        <f>F10*I10</f>
        <v>1.4</v>
      </c>
      <c r="K10" s="596">
        <f>IF(F10&lt;1.5,(F10+0.1*2),(F10+0.2*2))*I10</f>
        <v>1.7999999999999998</v>
      </c>
      <c r="L10" s="617"/>
      <c r="M10" s="549"/>
    </row>
    <row r="11" spans="1:27" ht="14.45" customHeight="1" x14ac:dyDescent="0.2">
      <c r="A11" s="615" t="str">
        <f t="shared" si="0"/>
        <v>TERREO</v>
      </c>
      <c r="B11" s="575" t="str">
        <f>B10</f>
        <v>MADEIRA</v>
      </c>
      <c r="C11" s="576"/>
      <c r="D11" s="576" t="s">
        <v>681</v>
      </c>
      <c r="E11" s="577">
        <v>1</v>
      </c>
      <c r="F11" s="588"/>
      <c r="G11" s="588"/>
      <c r="H11" s="578"/>
      <c r="I11" s="595"/>
      <c r="J11" s="596">
        <f>F11*I11</f>
        <v>0</v>
      </c>
      <c r="K11" s="596">
        <f>IF(F11&lt;1.5,(F11+0.1*2),(F11+0.2*2))*I11</f>
        <v>0</v>
      </c>
      <c r="L11" s="617"/>
      <c r="M11" s="549"/>
    </row>
    <row r="12" spans="1:27" x14ac:dyDescent="0.2">
      <c r="A12" s="615" t="str">
        <f t="shared" si="0"/>
        <v>TERREO</v>
      </c>
      <c r="B12" s="568" t="s">
        <v>342</v>
      </c>
      <c r="C12" s="569"/>
      <c r="D12" s="569"/>
      <c r="E12" s="570"/>
      <c r="F12" s="570"/>
      <c r="G12" s="570"/>
      <c r="H12" s="571"/>
      <c r="I12" s="599">
        <f>SUM(I13:I14)</f>
        <v>3</v>
      </c>
      <c r="J12" s="594">
        <f>SUM(J13:J14)</f>
        <v>2.7</v>
      </c>
      <c r="K12" s="594">
        <f>SUM(K13:K14)</f>
        <v>3.3000000000000003</v>
      </c>
      <c r="L12" s="618"/>
      <c r="M12" s="549"/>
    </row>
    <row r="13" spans="1:27" x14ac:dyDescent="0.2">
      <c r="A13" s="615" t="str">
        <f t="shared" si="0"/>
        <v>TERREO</v>
      </c>
      <c r="B13" s="575" t="str">
        <f>B12</f>
        <v>CORTA-FOGO</v>
      </c>
      <c r="C13" s="576"/>
      <c r="D13" s="576" t="s">
        <v>1174</v>
      </c>
      <c r="E13" s="577">
        <v>1</v>
      </c>
      <c r="F13" s="588">
        <v>0.9</v>
      </c>
      <c r="G13" s="588">
        <v>2.1</v>
      </c>
      <c r="H13" s="578">
        <v>1</v>
      </c>
      <c r="I13" s="595">
        <f>H13*E13</f>
        <v>1</v>
      </c>
      <c r="J13" s="596">
        <f>F13*I13</f>
        <v>0.9</v>
      </c>
      <c r="K13" s="596">
        <f>IF(F13&lt;1.5,(F13+0.1*2),(F13+0.2*2))*I13</f>
        <v>1.1000000000000001</v>
      </c>
      <c r="L13" s="616"/>
      <c r="M13" s="549"/>
    </row>
    <row r="14" spans="1:27" ht="14.45" customHeight="1" x14ac:dyDescent="0.2">
      <c r="A14" s="615" t="str">
        <f t="shared" si="0"/>
        <v>TERREO</v>
      </c>
      <c r="B14" s="575" t="str">
        <f>B13</f>
        <v>CORTA-FOGO</v>
      </c>
      <c r="C14" s="576"/>
      <c r="D14" s="576" t="s">
        <v>1175</v>
      </c>
      <c r="E14" s="577">
        <v>2</v>
      </c>
      <c r="F14" s="588">
        <v>0.9</v>
      </c>
      <c r="G14" s="588">
        <v>2.1</v>
      </c>
      <c r="H14" s="578">
        <v>1</v>
      </c>
      <c r="I14" s="595">
        <f>H14*E14</f>
        <v>2</v>
      </c>
      <c r="J14" s="596">
        <f>F14*I14</f>
        <v>1.8</v>
      </c>
      <c r="K14" s="596">
        <f>IF(F14&lt;1.5,(F14+0.1*2),(F14+0.2*2))*I14</f>
        <v>2.2000000000000002</v>
      </c>
      <c r="L14" s="619"/>
      <c r="M14" s="549"/>
    </row>
    <row r="15" spans="1:27" ht="14.45" customHeight="1" x14ac:dyDescent="0.2">
      <c r="A15" s="620" t="s">
        <v>893</v>
      </c>
      <c r="B15" s="561"/>
      <c r="C15" s="562"/>
      <c r="D15" s="562"/>
      <c r="E15" s="563"/>
      <c r="F15" s="563"/>
      <c r="G15" s="563"/>
      <c r="H15" s="564"/>
      <c r="I15" s="593">
        <f>I16</f>
        <v>2</v>
      </c>
      <c r="J15" s="593">
        <f>J16</f>
        <v>1.8</v>
      </c>
      <c r="K15" s="593">
        <f>K16</f>
        <v>2.2000000000000002</v>
      </c>
      <c r="L15" s="621"/>
      <c r="M15" s="549"/>
    </row>
    <row r="16" spans="1:27" ht="14.45" customHeight="1" x14ac:dyDescent="0.2">
      <c r="A16" s="615" t="str">
        <f>A15</f>
        <v>GARAGEM 2</v>
      </c>
      <c r="B16" s="568" t="s">
        <v>342</v>
      </c>
      <c r="C16" s="569"/>
      <c r="D16" s="569"/>
      <c r="E16" s="570"/>
      <c r="F16" s="570"/>
      <c r="G16" s="570"/>
      <c r="H16" s="571"/>
      <c r="I16" s="599">
        <f>SUM(I17:I18)</f>
        <v>2</v>
      </c>
      <c r="J16" s="599">
        <f>SUM(J17:J18)</f>
        <v>1.8</v>
      </c>
      <c r="K16" s="599">
        <f>SUM(K17:K18)</f>
        <v>2.2000000000000002</v>
      </c>
      <c r="L16" s="618"/>
      <c r="M16" s="549"/>
    </row>
    <row r="17" spans="1:13" ht="14.45" customHeight="1" x14ac:dyDescent="0.2">
      <c r="A17" s="615" t="str">
        <f>A16</f>
        <v>GARAGEM 2</v>
      </c>
      <c r="B17" s="575" t="str">
        <f>B16</f>
        <v>CORTA-FOGO</v>
      </c>
      <c r="C17" s="576"/>
      <c r="D17" s="576" t="s">
        <v>1174</v>
      </c>
      <c r="E17" s="577">
        <v>1</v>
      </c>
      <c r="F17" s="588">
        <v>0.9</v>
      </c>
      <c r="G17" s="588">
        <v>210</v>
      </c>
      <c r="H17" s="578">
        <v>1</v>
      </c>
      <c r="I17" s="595">
        <f>H17*E17</f>
        <v>1</v>
      </c>
      <c r="J17" s="596">
        <f>F17*I17</f>
        <v>0.9</v>
      </c>
      <c r="K17" s="596">
        <f>IF(F17&lt;1.5,(F17+0.1*2),(F17+0.2*2))*I17</f>
        <v>1.1000000000000001</v>
      </c>
      <c r="L17" s="616"/>
      <c r="M17" s="549"/>
    </row>
    <row r="18" spans="1:13" x14ac:dyDescent="0.2">
      <c r="A18" s="615" t="str">
        <f>A17</f>
        <v>GARAGEM 2</v>
      </c>
      <c r="B18" s="575" t="str">
        <f>B17</f>
        <v>CORTA-FOGO</v>
      </c>
      <c r="C18" s="576"/>
      <c r="D18" s="576" t="s">
        <v>1175</v>
      </c>
      <c r="E18" s="577">
        <v>1</v>
      </c>
      <c r="F18" s="588">
        <v>0.9</v>
      </c>
      <c r="G18" s="588">
        <v>210</v>
      </c>
      <c r="H18" s="578">
        <v>1</v>
      </c>
      <c r="I18" s="595">
        <f>H18*E18</f>
        <v>1</v>
      </c>
      <c r="J18" s="596">
        <f>F18*I18</f>
        <v>0.9</v>
      </c>
      <c r="K18" s="596">
        <f>IF(F18&lt;1.5,(F18+0.1*2),(F18+0.2*2))*I18</f>
        <v>1.1000000000000001</v>
      </c>
      <c r="L18" s="619"/>
      <c r="M18" s="549"/>
    </row>
    <row r="19" spans="1:13" ht="14.45" customHeight="1" x14ac:dyDescent="0.2">
      <c r="A19" s="620" t="s">
        <v>894</v>
      </c>
      <c r="B19" s="561"/>
      <c r="C19" s="562"/>
      <c r="D19" s="562"/>
      <c r="E19" s="563"/>
      <c r="F19" s="563"/>
      <c r="G19" s="563"/>
      <c r="H19" s="564"/>
      <c r="I19" s="593">
        <f>I20</f>
        <v>2</v>
      </c>
      <c r="J19" s="593">
        <f>J20</f>
        <v>1.8</v>
      </c>
      <c r="K19" s="593">
        <f>K20</f>
        <v>2.2000000000000002</v>
      </c>
      <c r="L19" s="621"/>
      <c r="M19" s="549"/>
    </row>
    <row r="20" spans="1:13" ht="14.45" customHeight="1" x14ac:dyDescent="0.2">
      <c r="A20" s="615" t="str">
        <f>A19</f>
        <v>GARAGEM 3</v>
      </c>
      <c r="B20" s="568" t="s">
        <v>342</v>
      </c>
      <c r="C20" s="569"/>
      <c r="D20" s="569"/>
      <c r="E20" s="570"/>
      <c r="F20" s="570"/>
      <c r="G20" s="570"/>
      <c r="H20" s="571"/>
      <c r="I20" s="599">
        <f>SUM(I21:I22)</f>
        <v>2</v>
      </c>
      <c r="J20" s="599">
        <f>SUM(J21:J22)</f>
        <v>1.8</v>
      </c>
      <c r="K20" s="599">
        <f>SUM(K21:K22)</f>
        <v>2.2000000000000002</v>
      </c>
      <c r="L20" s="618"/>
      <c r="M20" s="549"/>
    </row>
    <row r="21" spans="1:13" ht="14.45" customHeight="1" x14ac:dyDescent="0.2">
      <c r="A21" s="615" t="str">
        <f>A20</f>
        <v>GARAGEM 3</v>
      </c>
      <c r="B21" s="575" t="str">
        <f>B20</f>
        <v>CORTA-FOGO</v>
      </c>
      <c r="C21" s="576"/>
      <c r="D21" s="576" t="s">
        <v>1174</v>
      </c>
      <c r="E21" s="577">
        <v>1</v>
      </c>
      <c r="F21" s="588">
        <v>0.9</v>
      </c>
      <c r="G21" s="588">
        <v>210</v>
      </c>
      <c r="H21" s="578">
        <v>1</v>
      </c>
      <c r="I21" s="595">
        <f>H21*E21</f>
        <v>1</v>
      </c>
      <c r="J21" s="596">
        <f>F21*I21</f>
        <v>0.9</v>
      </c>
      <c r="K21" s="596">
        <f>IF(F21&lt;1.5,(F21+0.1*2),(F21+0.2*2))*I21</f>
        <v>1.1000000000000001</v>
      </c>
      <c r="L21" s="616"/>
      <c r="M21" s="549"/>
    </row>
    <row r="22" spans="1:13" x14ac:dyDescent="0.2">
      <c r="A22" s="615" t="str">
        <f>A21</f>
        <v>GARAGEM 3</v>
      </c>
      <c r="B22" s="575" t="str">
        <f>B21</f>
        <v>CORTA-FOGO</v>
      </c>
      <c r="C22" s="576"/>
      <c r="D22" s="576" t="s">
        <v>1175</v>
      </c>
      <c r="E22" s="577">
        <v>1</v>
      </c>
      <c r="F22" s="588">
        <v>0.9</v>
      </c>
      <c r="G22" s="588">
        <v>210</v>
      </c>
      <c r="H22" s="578">
        <v>1</v>
      </c>
      <c r="I22" s="595">
        <f>H22*E22</f>
        <v>1</v>
      </c>
      <c r="J22" s="596">
        <f>F22*I22</f>
        <v>0.9</v>
      </c>
      <c r="K22" s="596">
        <f>IF(F22&lt;1.5,(F22+0.1*2),(F22+0.2*2))*I22</f>
        <v>1.1000000000000001</v>
      </c>
      <c r="L22" s="619"/>
      <c r="M22" s="549"/>
    </row>
    <row r="23" spans="1:13" ht="14.45" customHeight="1" x14ac:dyDescent="0.2">
      <c r="A23" s="620" t="s">
        <v>895</v>
      </c>
      <c r="B23" s="561"/>
      <c r="C23" s="562"/>
      <c r="D23" s="562"/>
      <c r="E23" s="563"/>
      <c r="F23" s="563"/>
      <c r="G23" s="563"/>
      <c r="H23" s="564"/>
      <c r="I23" s="593">
        <f>I24</f>
        <v>2</v>
      </c>
      <c r="J23" s="593">
        <f>J24</f>
        <v>1.8</v>
      </c>
      <c r="K23" s="593">
        <f>K24</f>
        <v>2.2000000000000002</v>
      </c>
      <c r="L23" s="621"/>
      <c r="M23" s="549"/>
    </row>
    <row r="24" spans="1:13" ht="14.45" customHeight="1" x14ac:dyDescent="0.2">
      <c r="A24" s="615" t="str">
        <f>A23</f>
        <v>GARAGEM 4</v>
      </c>
      <c r="B24" s="568" t="s">
        <v>342</v>
      </c>
      <c r="C24" s="569"/>
      <c r="D24" s="569"/>
      <c r="E24" s="570"/>
      <c r="F24" s="570"/>
      <c r="G24" s="570"/>
      <c r="H24" s="571"/>
      <c r="I24" s="599">
        <f>SUM(I25:I26)</f>
        <v>2</v>
      </c>
      <c r="J24" s="599">
        <f>SUM(J25:J26)</f>
        <v>1.8</v>
      </c>
      <c r="K24" s="599">
        <f>SUM(K25:K26)</f>
        <v>2.2000000000000002</v>
      </c>
      <c r="L24" s="618"/>
      <c r="M24" s="549"/>
    </row>
    <row r="25" spans="1:13" ht="14.45" customHeight="1" x14ac:dyDescent="0.2">
      <c r="A25" s="615" t="str">
        <f>A24</f>
        <v>GARAGEM 4</v>
      </c>
      <c r="B25" s="575" t="str">
        <f>B24</f>
        <v>CORTA-FOGO</v>
      </c>
      <c r="C25" s="576"/>
      <c r="D25" s="576" t="s">
        <v>1174</v>
      </c>
      <c r="E25" s="577">
        <v>1</v>
      </c>
      <c r="F25" s="588">
        <v>0.9</v>
      </c>
      <c r="G25" s="588">
        <v>210</v>
      </c>
      <c r="H25" s="578">
        <v>1</v>
      </c>
      <c r="I25" s="595">
        <f>H25*E25</f>
        <v>1</v>
      </c>
      <c r="J25" s="596">
        <f>F25*I25</f>
        <v>0.9</v>
      </c>
      <c r="K25" s="596">
        <f>IF(F25&lt;1.5,(F25+0.1*2),(F25+0.2*2))*I25</f>
        <v>1.1000000000000001</v>
      </c>
      <c r="L25" s="616"/>
      <c r="M25" s="549"/>
    </row>
    <row r="26" spans="1:13" x14ac:dyDescent="0.2">
      <c r="A26" s="615" t="str">
        <f>A25</f>
        <v>GARAGEM 4</v>
      </c>
      <c r="B26" s="575" t="str">
        <f>B25</f>
        <v>CORTA-FOGO</v>
      </c>
      <c r="C26" s="576"/>
      <c r="D26" s="576" t="s">
        <v>1175</v>
      </c>
      <c r="E26" s="577">
        <v>1</v>
      </c>
      <c r="F26" s="588">
        <v>0.9</v>
      </c>
      <c r="G26" s="588">
        <v>210</v>
      </c>
      <c r="H26" s="578">
        <v>1</v>
      </c>
      <c r="I26" s="595">
        <f>H26*E26</f>
        <v>1</v>
      </c>
      <c r="J26" s="596">
        <f>F26*I26</f>
        <v>0.9</v>
      </c>
      <c r="K26" s="596">
        <f>IF(F26&lt;1.5,(F26+0.1*2),(F26+0.2*2))*I26</f>
        <v>1.1000000000000001</v>
      </c>
      <c r="L26" s="619"/>
      <c r="M26" s="549"/>
    </row>
    <row r="27" spans="1:13" ht="14.45" customHeight="1" x14ac:dyDescent="0.2">
      <c r="A27" s="620" t="s">
        <v>229</v>
      </c>
      <c r="B27" s="561"/>
      <c r="C27" s="562"/>
      <c r="D27" s="562"/>
      <c r="E27" s="563"/>
      <c r="F27" s="563"/>
      <c r="G27" s="563"/>
      <c r="H27" s="564"/>
      <c r="I27" s="593">
        <f>I28+I31</f>
        <v>4</v>
      </c>
      <c r="J27" s="593">
        <f>J28+J31</f>
        <v>3.4000000000000004</v>
      </c>
      <c r="K27" s="593">
        <f>K28+K31</f>
        <v>4.2</v>
      </c>
      <c r="L27" s="621"/>
      <c r="M27" s="549"/>
    </row>
    <row r="28" spans="1:13" ht="14.45" customHeight="1" x14ac:dyDescent="0.2">
      <c r="A28" s="615" t="str">
        <f>A27</f>
        <v>LAZER</v>
      </c>
      <c r="B28" s="568" t="s">
        <v>341</v>
      </c>
      <c r="C28" s="569"/>
      <c r="D28" s="569"/>
      <c r="E28" s="570"/>
      <c r="F28" s="570"/>
      <c r="G28" s="570"/>
      <c r="H28" s="571"/>
      <c r="I28" s="612">
        <f>SUM(I29:I30)</f>
        <v>2</v>
      </c>
      <c r="J28" s="613">
        <f>SUM(J29:J30)</f>
        <v>1.6</v>
      </c>
      <c r="K28" s="613">
        <f>SUM(K29:K30)</f>
        <v>2</v>
      </c>
      <c r="L28" s="618"/>
      <c r="M28" s="549"/>
    </row>
    <row r="29" spans="1:13" ht="14.45" customHeight="1" x14ac:dyDescent="0.2">
      <c r="A29" s="615" t="str">
        <f>A27</f>
        <v>LAZER</v>
      </c>
      <c r="B29" s="575" t="str">
        <f>B28</f>
        <v>MADEIRA</v>
      </c>
      <c r="C29" s="576"/>
      <c r="D29" s="576" t="s">
        <v>612</v>
      </c>
      <c r="E29" s="577">
        <v>1</v>
      </c>
      <c r="F29" s="588">
        <v>0.7</v>
      </c>
      <c r="G29" s="588">
        <v>2.1</v>
      </c>
      <c r="H29" s="578">
        <v>1</v>
      </c>
      <c r="I29" s="595">
        <f>H29*E29</f>
        <v>1</v>
      </c>
      <c r="J29" s="596">
        <f>F29*I29</f>
        <v>0.7</v>
      </c>
      <c r="K29" s="596">
        <f>IF(F29&lt;1.5,(F29+0.1*2),(F29+0.2*2))*I29</f>
        <v>0.89999999999999991</v>
      </c>
      <c r="L29" s="616"/>
      <c r="M29" s="549"/>
    </row>
    <row r="30" spans="1:13" x14ac:dyDescent="0.2">
      <c r="A30" s="615" t="str">
        <f>A28</f>
        <v>LAZER</v>
      </c>
      <c r="B30" s="575" t="str">
        <f>B29</f>
        <v>MADEIRA</v>
      </c>
      <c r="C30" s="576"/>
      <c r="D30" s="576" t="s">
        <v>681</v>
      </c>
      <c r="E30" s="577">
        <v>1</v>
      </c>
      <c r="F30" s="588">
        <v>0.9</v>
      </c>
      <c r="G30" s="588">
        <v>2.1</v>
      </c>
      <c r="H30" s="578">
        <v>1</v>
      </c>
      <c r="I30" s="595">
        <f>H30*E30</f>
        <v>1</v>
      </c>
      <c r="J30" s="596">
        <f>F30*I30</f>
        <v>0.9</v>
      </c>
      <c r="K30" s="596">
        <f>IF(F30&lt;1.5,(F30+0.1*2),(F30+0.2*2))*I30</f>
        <v>1.1000000000000001</v>
      </c>
      <c r="L30" s="617"/>
      <c r="M30" s="549"/>
    </row>
    <row r="31" spans="1:13" ht="14.45" customHeight="1" x14ac:dyDescent="0.2">
      <c r="A31" s="615" t="str">
        <f>A30</f>
        <v>LAZER</v>
      </c>
      <c r="B31" s="568" t="s">
        <v>342</v>
      </c>
      <c r="C31" s="569"/>
      <c r="D31" s="569"/>
      <c r="E31" s="570"/>
      <c r="F31" s="570"/>
      <c r="G31" s="570"/>
      <c r="H31" s="571"/>
      <c r="I31" s="599">
        <f>SUM(I32:I33)</f>
        <v>2</v>
      </c>
      <c r="J31" s="594">
        <f>SUM(J32:J33)</f>
        <v>1.8</v>
      </c>
      <c r="K31" s="594">
        <f>SUM(K32:K33)</f>
        <v>2.2000000000000002</v>
      </c>
      <c r="L31" s="618"/>
      <c r="M31" s="549"/>
    </row>
    <row r="32" spans="1:13" ht="14.45" customHeight="1" x14ac:dyDescent="0.2">
      <c r="A32" s="615" t="str">
        <f>A31</f>
        <v>LAZER</v>
      </c>
      <c r="B32" s="575" t="str">
        <f>B31</f>
        <v>CORTA-FOGO</v>
      </c>
      <c r="C32" s="576"/>
      <c r="D32" s="576" t="s">
        <v>1174</v>
      </c>
      <c r="E32" s="577">
        <v>1</v>
      </c>
      <c r="F32" s="588">
        <v>0.9</v>
      </c>
      <c r="G32" s="588">
        <v>210</v>
      </c>
      <c r="H32" s="578">
        <v>1</v>
      </c>
      <c r="I32" s="595">
        <f>H32*E32</f>
        <v>1</v>
      </c>
      <c r="J32" s="596">
        <f>F32*I32</f>
        <v>0.9</v>
      </c>
      <c r="K32" s="596">
        <f>IF(F32&lt;1.5,(F32+0.1*2),(F32+0.2*2))*I32</f>
        <v>1.1000000000000001</v>
      </c>
      <c r="L32" s="616"/>
      <c r="M32" s="549"/>
    </row>
    <row r="33" spans="1:13" x14ac:dyDescent="0.2">
      <c r="A33" s="615" t="str">
        <f>A32</f>
        <v>LAZER</v>
      </c>
      <c r="B33" s="575" t="str">
        <f>B32</f>
        <v>CORTA-FOGO</v>
      </c>
      <c r="C33" s="576"/>
      <c r="D33" s="576" t="s">
        <v>1175</v>
      </c>
      <c r="E33" s="577">
        <v>1</v>
      </c>
      <c r="F33" s="588">
        <v>0.9</v>
      </c>
      <c r="G33" s="588">
        <v>210</v>
      </c>
      <c r="H33" s="578">
        <v>1</v>
      </c>
      <c r="I33" s="595">
        <f>H33*E33</f>
        <v>1</v>
      </c>
      <c r="J33" s="596">
        <f>F33*I33</f>
        <v>0.9</v>
      </c>
      <c r="K33" s="596">
        <f>IF(F33&lt;1.5,(F33+0.1*2),(F33+0.2*2))*I33</f>
        <v>1.1000000000000001</v>
      </c>
      <c r="L33" s="619"/>
      <c r="M33" s="549"/>
    </row>
    <row r="34" spans="1:13" ht="14.45" customHeight="1" x14ac:dyDescent="0.2">
      <c r="A34" s="620" t="s">
        <v>896</v>
      </c>
      <c r="B34" s="561"/>
      <c r="C34" s="562"/>
      <c r="D34" s="562"/>
      <c r="E34" s="593">
        <f>E35+E39</f>
        <v>17</v>
      </c>
      <c r="F34" s="563"/>
      <c r="G34" s="563"/>
      <c r="H34" s="564"/>
      <c r="I34" s="593">
        <f>I35+I39</f>
        <v>380</v>
      </c>
      <c r="J34" s="593">
        <f>J35+J39</f>
        <v>298</v>
      </c>
      <c r="K34" s="593">
        <f>K35+K39</f>
        <v>374</v>
      </c>
      <c r="L34" s="621"/>
      <c r="M34" s="549"/>
    </row>
    <row r="35" spans="1:13" ht="14.45" customHeight="1" x14ac:dyDescent="0.2">
      <c r="A35" s="615" t="str">
        <f>A34</f>
        <v>TIPOS (x20)</v>
      </c>
      <c r="B35" s="568" t="s">
        <v>341</v>
      </c>
      <c r="C35" s="569"/>
      <c r="D35" s="569"/>
      <c r="E35" s="612">
        <f>SUM(E36:E38)</f>
        <v>17</v>
      </c>
      <c r="F35" s="570"/>
      <c r="G35" s="570"/>
      <c r="H35" s="571"/>
      <c r="I35" s="612">
        <f>SUM(I36:I38)</f>
        <v>340</v>
      </c>
      <c r="J35" s="613">
        <f>SUM(J36:J38)</f>
        <v>262</v>
      </c>
      <c r="K35" s="613">
        <f>SUM(K36:K38)</f>
        <v>330</v>
      </c>
      <c r="L35" s="618"/>
      <c r="M35" s="549"/>
    </row>
    <row r="36" spans="1:13" ht="14.45" customHeight="1" x14ac:dyDescent="0.2">
      <c r="A36" s="615" t="str">
        <f>A34</f>
        <v>TIPOS (x20)</v>
      </c>
      <c r="B36" s="575" t="str">
        <f>B35</f>
        <v>MADEIRA</v>
      </c>
      <c r="C36" s="576"/>
      <c r="D36" s="576" t="s">
        <v>612</v>
      </c>
      <c r="E36" s="577">
        <v>8</v>
      </c>
      <c r="F36" s="588">
        <v>0.7</v>
      </c>
      <c r="G36" s="588">
        <v>2.1</v>
      </c>
      <c r="H36" s="578">
        <v>20</v>
      </c>
      <c r="I36" s="595">
        <f>H36*E36</f>
        <v>160</v>
      </c>
      <c r="J36" s="596">
        <f>F36*I36</f>
        <v>112</v>
      </c>
      <c r="K36" s="596">
        <f>IF(F36&lt;1.5,(F36+0.1*2),(F36+0.2*2))*I36</f>
        <v>144</v>
      </c>
      <c r="L36" s="616"/>
      <c r="M36" s="549"/>
    </row>
    <row r="37" spans="1:13" x14ac:dyDescent="0.2">
      <c r="A37" s="615" t="str">
        <f t="shared" ref="A37:A43" si="1">A35</f>
        <v>TIPOS (x20)</v>
      </c>
      <c r="B37" s="575" t="str">
        <f>B36</f>
        <v>MADEIRA</v>
      </c>
      <c r="C37" s="576"/>
      <c r="D37" s="576" t="s">
        <v>611</v>
      </c>
      <c r="E37" s="577">
        <v>6</v>
      </c>
      <c r="F37" s="588">
        <v>0.8</v>
      </c>
      <c r="G37" s="588">
        <v>2.1</v>
      </c>
      <c r="H37" s="578">
        <v>20</v>
      </c>
      <c r="I37" s="595">
        <f>H37*E37</f>
        <v>120</v>
      </c>
      <c r="J37" s="596">
        <f>F37*I37</f>
        <v>96</v>
      </c>
      <c r="K37" s="596">
        <f>IF(F37&lt;1.5,(F37+0.1*2),(F37+0.2*2))*I37</f>
        <v>120</v>
      </c>
      <c r="L37" s="617"/>
      <c r="M37" s="549"/>
    </row>
    <row r="38" spans="1:13" x14ac:dyDescent="0.2">
      <c r="A38" s="615" t="str">
        <f t="shared" si="1"/>
        <v>TIPOS (x20)</v>
      </c>
      <c r="B38" s="575" t="str">
        <f>B37</f>
        <v>MADEIRA</v>
      </c>
      <c r="C38" s="576"/>
      <c r="D38" s="576" t="s">
        <v>610</v>
      </c>
      <c r="E38" s="577">
        <v>3</v>
      </c>
      <c r="F38" s="588">
        <v>0.9</v>
      </c>
      <c r="G38" s="588">
        <v>2.1</v>
      </c>
      <c r="H38" s="578">
        <v>20</v>
      </c>
      <c r="I38" s="595">
        <f>H38*E38</f>
        <v>60</v>
      </c>
      <c r="J38" s="596">
        <f>F38*I38</f>
        <v>54</v>
      </c>
      <c r="K38" s="596">
        <f>IF(F38&lt;1.5,(F38+0.1*2),(F38+0.2*2))*I38</f>
        <v>66</v>
      </c>
      <c r="L38" s="617"/>
      <c r="M38" s="549"/>
    </row>
    <row r="39" spans="1:13" ht="14.45" customHeight="1" x14ac:dyDescent="0.2">
      <c r="A39" s="615" t="str">
        <f t="shared" si="1"/>
        <v>TIPOS (x20)</v>
      </c>
      <c r="B39" s="568" t="s">
        <v>342</v>
      </c>
      <c r="C39" s="569"/>
      <c r="D39" s="569"/>
      <c r="E39" s="570"/>
      <c r="F39" s="570"/>
      <c r="G39" s="570"/>
      <c r="H39" s="571"/>
      <c r="I39" s="599">
        <f>SUM(I40:I43)</f>
        <v>40</v>
      </c>
      <c r="J39" s="594">
        <f>SUM(J40:J42)</f>
        <v>36</v>
      </c>
      <c r="K39" s="594">
        <f>SUM(K40:K42)</f>
        <v>44</v>
      </c>
      <c r="L39" s="618"/>
      <c r="M39" s="549"/>
    </row>
    <row r="40" spans="1:13" ht="14.45" customHeight="1" x14ac:dyDescent="0.2">
      <c r="A40" s="615" t="str">
        <f t="shared" si="1"/>
        <v>TIPOS (x20)</v>
      </c>
      <c r="B40" s="575" t="str">
        <f>B39</f>
        <v>CORTA-FOGO</v>
      </c>
      <c r="C40" s="576"/>
      <c r="D40" s="576" t="s">
        <v>1174</v>
      </c>
      <c r="E40" s="577">
        <v>1</v>
      </c>
      <c r="F40" s="588">
        <v>0.9</v>
      </c>
      <c r="G40" s="588">
        <v>210</v>
      </c>
      <c r="H40" s="578">
        <v>20</v>
      </c>
      <c r="I40" s="595">
        <f>H40*E40</f>
        <v>20</v>
      </c>
      <c r="J40" s="596">
        <f>F40*I40</f>
        <v>18</v>
      </c>
      <c r="K40" s="596">
        <f>IF(F40&lt;1.5,(F40+0.1*2),(F40+0.2*2))*I40</f>
        <v>22</v>
      </c>
      <c r="L40" s="616"/>
      <c r="M40" s="549"/>
    </row>
    <row r="41" spans="1:13" x14ac:dyDescent="0.2">
      <c r="A41" s="615" t="str">
        <f t="shared" si="1"/>
        <v>TIPOS (x20)</v>
      </c>
      <c r="B41" s="575" t="str">
        <f>B40</f>
        <v>CORTA-FOGO</v>
      </c>
      <c r="C41" s="576"/>
      <c r="D41" s="576" t="s">
        <v>1175</v>
      </c>
      <c r="E41" s="577">
        <v>1</v>
      </c>
      <c r="F41" s="588">
        <v>0.9</v>
      </c>
      <c r="G41" s="588">
        <v>210</v>
      </c>
      <c r="H41" s="578">
        <v>20</v>
      </c>
      <c r="I41" s="595">
        <f>H41*E41</f>
        <v>20</v>
      </c>
      <c r="J41" s="596">
        <f>F41*I41</f>
        <v>18</v>
      </c>
      <c r="K41" s="596">
        <f>IF(F41&lt;1.5,(F41+0.1*2),(F41+0.2*2))*I41</f>
        <v>22</v>
      </c>
      <c r="L41" s="619"/>
      <c r="M41" s="549"/>
    </row>
    <row r="42" spans="1:13" ht="14.45" customHeight="1" x14ac:dyDescent="0.2">
      <c r="A42" s="615" t="str">
        <f t="shared" si="1"/>
        <v>TIPOS (x20)</v>
      </c>
      <c r="B42" s="575" t="str">
        <f>B41</f>
        <v>CORTA-FOGO</v>
      </c>
      <c r="C42" s="576"/>
      <c r="D42" s="576"/>
      <c r="E42" s="577"/>
      <c r="F42" s="588"/>
      <c r="G42" s="588"/>
      <c r="H42" s="578">
        <v>20</v>
      </c>
      <c r="I42" s="595">
        <f>H42*E42</f>
        <v>0</v>
      </c>
      <c r="J42" s="596">
        <f>F42*I42</f>
        <v>0</v>
      </c>
      <c r="K42" s="596">
        <f>IF(F42&lt;1.5,(F42+0.1*2),(F42+0.2*2))*I42</f>
        <v>0</v>
      </c>
      <c r="L42" s="619"/>
      <c r="M42" s="549"/>
    </row>
    <row r="43" spans="1:13" x14ac:dyDescent="0.2">
      <c r="A43" s="622" t="str">
        <f t="shared" si="1"/>
        <v>TIPOS (x20)</v>
      </c>
      <c r="B43" s="623" t="str">
        <f>B42</f>
        <v>CORTA-FOGO</v>
      </c>
      <c r="C43" s="624"/>
      <c r="D43" s="624"/>
      <c r="E43" s="625"/>
      <c r="F43" s="626"/>
      <c r="G43" s="626"/>
      <c r="H43" s="627"/>
      <c r="I43" s="595"/>
      <c r="J43" s="596">
        <f>F43*I43</f>
        <v>0</v>
      </c>
      <c r="K43" s="596">
        <f>IF(F43&lt;1.5,(F43+0.1*2),(F43+0.2*2))*I43</f>
        <v>0</v>
      </c>
      <c r="L43" s="619"/>
      <c r="M43" s="549"/>
    </row>
    <row r="44" spans="1:13" ht="14.45" customHeight="1" x14ac:dyDescent="0.2">
      <c r="A44" s="620" t="s">
        <v>84</v>
      </c>
      <c r="B44" s="561"/>
      <c r="C44" s="562"/>
      <c r="D44" s="562"/>
      <c r="E44" s="563"/>
      <c r="F44" s="563"/>
      <c r="G44" s="563"/>
      <c r="H44" s="564"/>
      <c r="I44" s="593">
        <f>I45</f>
        <v>2</v>
      </c>
      <c r="J44" s="593">
        <f>J45</f>
        <v>1.8</v>
      </c>
      <c r="K44" s="593">
        <f>K45</f>
        <v>2.2000000000000002</v>
      </c>
      <c r="L44" s="621"/>
      <c r="M44" s="549"/>
    </row>
    <row r="45" spans="1:13" ht="14.45" customHeight="1" x14ac:dyDescent="0.2">
      <c r="A45" s="615" t="str">
        <f>A44</f>
        <v>COBERTURA</v>
      </c>
      <c r="B45" s="568" t="s">
        <v>342</v>
      </c>
      <c r="C45" s="569"/>
      <c r="D45" s="569"/>
      <c r="E45" s="570"/>
      <c r="F45" s="570"/>
      <c r="G45" s="570"/>
      <c r="H45" s="571"/>
      <c r="I45" s="599">
        <f>SUM(I46:I47)</f>
        <v>2</v>
      </c>
      <c r="J45" s="594">
        <f>SUM(J46:J47)</f>
        <v>1.8</v>
      </c>
      <c r="K45" s="594">
        <f>SUM(K46:K47)</f>
        <v>2.2000000000000002</v>
      </c>
      <c r="L45" s="618"/>
      <c r="M45" s="549"/>
    </row>
    <row r="46" spans="1:13" ht="14.45" customHeight="1" x14ac:dyDescent="0.2">
      <c r="A46" s="615" t="str">
        <f>A45</f>
        <v>COBERTURA</v>
      </c>
      <c r="B46" s="575" t="str">
        <f>B45</f>
        <v>CORTA-FOGO</v>
      </c>
      <c r="C46" s="576"/>
      <c r="D46" s="576" t="s">
        <v>1174</v>
      </c>
      <c r="E46" s="577">
        <v>1</v>
      </c>
      <c r="F46" s="588">
        <v>0.9</v>
      </c>
      <c r="G46" s="588">
        <v>210</v>
      </c>
      <c r="H46" s="578">
        <v>1</v>
      </c>
      <c r="I46" s="595">
        <f>H46*E46</f>
        <v>1</v>
      </c>
      <c r="J46" s="596">
        <f>F46*I46</f>
        <v>0.9</v>
      </c>
      <c r="K46" s="596">
        <f>IF(F46&lt;1.5,(F46+0.1*2),(F46+0.2*2))*I46</f>
        <v>1.1000000000000001</v>
      </c>
      <c r="L46" s="616"/>
      <c r="M46" s="549"/>
    </row>
    <row r="47" spans="1:13" x14ac:dyDescent="0.2">
      <c r="A47" s="615" t="str">
        <f>A46</f>
        <v>COBERTURA</v>
      </c>
      <c r="B47" s="575" t="str">
        <f>B46</f>
        <v>CORTA-FOGO</v>
      </c>
      <c r="C47" s="576"/>
      <c r="D47" s="576" t="s">
        <v>1175</v>
      </c>
      <c r="E47" s="577">
        <v>1</v>
      </c>
      <c r="F47" s="588">
        <v>0.9</v>
      </c>
      <c r="G47" s="588">
        <v>210</v>
      </c>
      <c r="H47" s="578">
        <v>1</v>
      </c>
      <c r="I47" s="595">
        <f>H47*E47</f>
        <v>1</v>
      </c>
      <c r="J47" s="596">
        <f>F47*I47</f>
        <v>0.9</v>
      </c>
      <c r="K47" s="596">
        <f>IF(F47&lt;1.5,(F47+0.1*2),(F47+0.2*2))*I47</f>
        <v>1.1000000000000001</v>
      </c>
      <c r="L47" s="619"/>
      <c r="M47" s="549"/>
    </row>
    <row r="48" spans="1:13" ht="13.5" thickBot="1" x14ac:dyDescent="0.25">
      <c r="A48" s="544" t="s">
        <v>16</v>
      </c>
      <c r="B48" s="544"/>
      <c r="C48" s="545"/>
      <c r="D48" s="545"/>
      <c r="E48" s="548">
        <f>E7+E34</f>
        <v>17</v>
      </c>
      <c r="F48" s="548"/>
      <c r="G48" s="548"/>
      <c r="H48" s="545"/>
      <c r="I48" s="597">
        <f>SUM(I7,I15,I19,I23,I27,I34,I44)</f>
        <v>399</v>
      </c>
      <c r="J48" s="597">
        <f>SUM(J7,J15,J19,J23,J27,J34,J44)</f>
        <v>314.3</v>
      </c>
      <c r="K48" s="597">
        <f>SUM(K7,K15,K19,K23,K27,K34,K44)</f>
        <v>394.09999999999997</v>
      </c>
      <c r="L48" s="547"/>
      <c r="M48" s="549"/>
    </row>
    <row r="49" spans="1:30" ht="13.5" thickTop="1" x14ac:dyDescent="0.2"/>
    <row r="50" spans="1:30" ht="13.5" thickBot="1" x14ac:dyDescent="0.25"/>
    <row r="51" spans="1:30" x14ac:dyDescent="0.2">
      <c r="A51" s="553" t="s">
        <v>890</v>
      </c>
    </row>
    <row r="52" spans="1:30" x14ac:dyDescent="0.2">
      <c r="A52" s="693" t="s">
        <v>898</v>
      </c>
      <c r="B52" s="568" t="s">
        <v>341</v>
      </c>
      <c r="C52" s="569"/>
      <c r="D52" s="692" t="s">
        <v>900</v>
      </c>
      <c r="E52" s="570" t="s">
        <v>899</v>
      </c>
      <c r="F52" s="570" t="s">
        <v>901</v>
      </c>
      <c r="G52" s="694" t="s">
        <v>902</v>
      </c>
    </row>
    <row r="53" spans="1:30" s="584" customFormat="1" x14ac:dyDescent="0.2">
      <c r="A53" s="695" t="s">
        <v>898</v>
      </c>
      <c r="B53" s="575" t="str">
        <f>B52</f>
        <v>MADEIRA</v>
      </c>
      <c r="C53" s="576"/>
      <c r="D53" s="576" t="s">
        <v>612</v>
      </c>
      <c r="E53" s="588">
        <f ca="1">SUMIF($D$9:$I$47,D53,$I$9:$I$47)</f>
        <v>163</v>
      </c>
      <c r="F53" s="577">
        <f>611.27+196.65</f>
        <v>807.92</v>
      </c>
      <c r="G53" s="577">
        <f ca="1">E53*F53</f>
        <v>131690.96</v>
      </c>
      <c r="I53" s="598"/>
      <c r="J53" s="598"/>
      <c r="K53" s="598"/>
      <c r="L53" s="583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Y53" s="549"/>
    </row>
    <row r="54" spans="1:30" s="584" customFormat="1" x14ac:dyDescent="0.2">
      <c r="A54" s="695" t="s">
        <v>898</v>
      </c>
      <c r="B54" s="575" t="str">
        <f>B53</f>
        <v>MADEIRA</v>
      </c>
      <c r="C54" s="576"/>
      <c r="D54" s="576" t="s">
        <v>611</v>
      </c>
      <c r="E54" s="588">
        <f ca="1">SUMIF($D$9:$I$47,D54,$I$9:$I$47)</f>
        <v>120</v>
      </c>
      <c r="F54" s="577">
        <f>611.27+196.65</f>
        <v>807.92</v>
      </c>
      <c r="G54" s="577">
        <f ca="1">E54*F54</f>
        <v>96950.399999999994</v>
      </c>
      <c r="I54" s="598"/>
      <c r="J54" s="598"/>
      <c r="K54" s="598"/>
      <c r="L54" s="583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Y54" s="549"/>
      <c r="Z54" s="549"/>
      <c r="AA54" s="549"/>
      <c r="AB54" s="549"/>
      <c r="AC54" s="549"/>
      <c r="AD54" s="549"/>
    </row>
    <row r="55" spans="1:30" s="584" customFormat="1" x14ac:dyDescent="0.2">
      <c r="A55" s="695" t="s">
        <v>898</v>
      </c>
      <c r="B55" s="575" t="str">
        <f>B54</f>
        <v>MADEIRA</v>
      </c>
      <c r="C55" s="576"/>
      <c r="D55" s="576" t="s">
        <v>739</v>
      </c>
      <c r="E55" s="588">
        <f ca="1">SUMIF($D$9:$I$47,D55,$I$9:$I$47)</f>
        <v>2</v>
      </c>
      <c r="F55" s="577">
        <f>611.27+196.65</f>
        <v>807.92</v>
      </c>
      <c r="G55" s="577">
        <f ca="1">E55*F55</f>
        <v>1615.84</v>
      </c>
      <c r="I55" s="598"/>
      <c r="J55" s="598"/>
      <c r="K55" s="598"/>
      <c r="L55" s="583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Y55" s="549"/>
      <c r="Z55" s="549"/>
      <c r="AA55" s="549"/>
      <c r="AB55" s="549"/>
      <c r="AC55" s="549"/>
      <c r="AD55" s="549"/>
    </row>
    <row r="56" spans="1:30" s="584" customFormat="1" x14ac:dyDescent="0.2">
      <c r="A56" s="695" t="s">
        <v>898</v>
      </c>
      <c r="B56" s="575" t="str">
        <f>B55</f>
        <v>MADEIRA</v>
      </c>
      <c r="C56" s="576"/>
      <c r="D56" s="576" t="s">
        <v>681</v>
      </c>
      <c r="E56" s="588">
        <f ca="1">SUMIF($D$9:$I$47,D56,$I$9:$I$47)</f>
        <v>1</v>
      </c>
      <c r="F56" s="577">
        <f>891.59+196.65+75.59</f>
        <v>1163.83</v>
      </c>
      <c r="G56" s="577">
        <f ca="1">E56*F56</f>
        <v>1163.83</v>
      </c>
      <c r="I56" s="598"/>
      <c r="J56" s="598"/>
      <c r="K56" s="598"/>
      <c r="L56" s="583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Y56" s="549"/>
      <c r="Z56" s="549"/>
      <c r="AA56" s="549"/>
      <c r="AB56" s="549"/>
      <c r="AC56" s="549"/>
      <c r="AD56" s="549"/>
    </row>
    <row r="57" spans="1:30" s="584" customFormat="1" x14ac:dyDescent="0.2">
      <c r="A57" s="696" t="s">
        <v>898</v>
      </c>
      <c r="B57" s="697" t="str">
        <f>B56</f>
        <v>MADEIRA</v>
      </c>
      <c r="C57" s="698"/>
      <c r="D57" s="698" t="s">
        <v>610</v>
      </c>
      <c r="E57" s="700">
        <f ca="1">SUMIF($D$9:$I$47,D57,$I$9:$I$47)</f>
        <v>60</v>
      </c>
      <c r="F57" s="699">
        <v>0</v>
      </c>
      <c r="G57" s="699">
        <f ca="1">E57*F57</f>
        <v>0</v>
      </c>
      <c r="I57" s="598"/>
      <c r="J57" s="598"/>
      <c r="K57" s="598"/>
      <c r="L57" s="583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Y57" s="549"/>
      <c r="Z57" s="549"/>
      <c r="AA57" s="549"/>
      <c r="AB57" s="549"/>
      <c r="AC57" s="549"/>
      <c r="AD57" s="549"/>
    </row>
    <row r="58" spans="1:30" s="584" customFormat="1" x14ac:dyDescent="0.2">
      <c r="B58" s="549"/>
      <c r="E58" s="549"/>
      <c r="F58" s="549"/>
      <c r="G58" s="549"/>
      <c r="I58" s="598"/>
      <c r="J58" s="598"/>
      <c r="K58" s="598"/>
      <c r="L58" s="583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Y58" s="549"/>
      <c r="Z58" s="549"/>
      <c r="AA58" s="549"/>
      <c r="AB58" s="549"/>
      <c r="AC58" s="549"/>
      <c r="AD58" s="549"/>
    </row>
    <row r="59" spans="1:30" x14ac:dyDescent="0.2">
      <c r="A59" s="693" t="s">
        <v>898</v>
      </c>
      <c r="B59" s="568" t="s">
        <v>913</v>
      </c>
      <c r="C59" s="569"/>
      <c r="D59" s="692" t="s">
        <v>900</v>
      </c>
      <c r="E59" s="570" t="s">
        <v>899</v>
      </c>
      <c r="F59" s="570" t="s">
        <v>901</v>
      </c>
      <c r="G59" s="694" t="s">
        <v>902</v>
      </c>
    </row>
    <row r="60" spans="1:30" s="584" customFormat="1" x14ac:dyDescent="0.2">
      <c r="A60" s="695" t="s">
        <v>898</v>
      </c>
      <c r="B60" s="575" t="str">
        <f>B59</f>
        <v>PORTA CORTA-FOGO</v>
      </c>
      <c r="C60" s="576"/>
      <c r="D60" s="576" t="s">
        <v>1174</v>
      </c>
      <c r="E60" s="588">
        <v>0</v>
      </c>
      <c r="F60" s="577">
        <v>0</v>
      </c>
      <c r="G60" s="577">
        <f>E60*F60</f>
        <v>0</v>
      </c>
      <c r="H60" s="584" t="s">
        <v>1700</v>
      </c>
      <c r="I60" s="598"/>
      <c r="J60" s="598"/>
      <c r="K60" s="598"/>
      <c r="L60" s="583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Y60" s="549"/>
    </row>
    <row r="61" spans="1:30" s="584" customFormat="1" x14ac:dyDescent="0.2">
      <c r="A61" s="696" t="s">
        <v>898</v>
      </c>
      <c r="B61" s="697" t="str">
        <f>B60</f>
        <v>PORTA CORTA-FOGO</v>
      </c>
      <c r="C61" s="698"/>
      <c r="D61" s="698" t="s">
        <v>1175</v>
      </c>
      <c r="E61" s="700">
        <v>53</v>
      </c>
      <c r="F61" s="699">
        <v>1144</v>
      </c>
      <c r="G61" s="699">
        <f>E61*F61</f>
        <v>60632</v>
      </c>
      <c r="I61" s="598"/>
      <c r="J61" s="598"/>
      <c r="K61" s="598"/>
      <c r="L61" s="583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Y61" s="549"/>
      <c r="Z61" s="549"/>
      <c r="AA61" s="549"/>
      <c r="AB61" s="549"/>
      <c r="AC61" s="549"/>
      <c r="AD61" s="549"/>
    </row>
    <row r="63" spans="1:30" x14ac:dyDescent="0.2">
      <c r="D63" s="721" t="s">
        <v>915</v>
      </c>
      <c r="E63" s="720">
        <f>E60*(0.6+2*2.1)+E61*(0.9+2*2.1)</f>
        <v>270.3</v>
      </c>
      <c r="F63" s="549" t="s">
        <v>3</v>
      </c>
    </row>
  </sheetData>
  <autoFilter ref="E6:L48" xr:uid="{00000000-0009-0000-0000-00001F000000}"/>
  <dataConsolidate/>
  <mergeCells count="1">
    <mergeCell ref="A5:L5"/>
  </mergeCells>
  <pageMargins left="0.511811024" right="0.511811024" top="0.78740157499999996" bottom="0.78740157499999996" header="0.31496062000000002" footer="0.31496062000000002"/>
  <pageSetup paperSize="9" scale="22" fitToWidth="0" orientation="landscape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1851D6"/>
    <pageSetUpPr fitToPage="1"/>
  </sheetPr>
  <dimension ref="A1:AD55"/>
  <sheetViews>
    <sheetView showGridLines="0" topLeftCell="A31" zoomScale="85" zoomScaleNormal="85" zoomScaleSheetLayoutView="80" workbookViewId="0">
      <selection activeCell="G56" sqref="G56"/>
    </sheetView>
  </sheetViews>
  <sheetFormatPr defaultColWidth="9.140625" defaultRowHeight="12.75" outlineLevelCol="1" x14ac:dyDescent="0.2"/>
  <cols>
    <col min="1" max="1" width="24.5703125" style="549" customWidth="1"/>
    <col min="2" max="2" width="20.28515625" style="549" customWidth="1"/>
    <col min="3" max="3" width="13.28515625" style="549" customWidth="1"/>
    <col min="4" max="4" width="67.7109375" style="549" customWidth="1"/>
    <col min="5" max="5" width="18.28515625" style="549" bestFit="1" customWidth="1"/>
    <col min="6" max="7" width="18.28515625" style="549" customWidth="1"/>
    <col min="8" max="8" width="14.7109375" style="549" bestFit="1" customWidth="1"/>
    <col min="9" max="10" width="13.28515625" style="598" bestFit="1" customWidth="1"/>
    <col min="11" max="11" width="14" style="598" customWidth="1" outlineLevel="1"/>
    <col min="12" max="12" width="21.5703125" style="583" customWidth="1"/>
    <col min="13" max="13" width="22.5703125" style="584" bestFit="1" customWidth="1"/>
    <col min="14" max="16384" width="9.140625" style="549"/>
  </cols>
  <sheetData>
    <row r="1" spans="1:27" s="550" customFormat="1" ht="15" x14ac:dyDescent="0.25">
      <c r="A1" s="343"/>
      <c r="B1" s="362" t="s">
        <v>172</v>
      </c>
      <c r="C1" s="339" t="str">
        <f>ORÇAMENTO!I4</f>
        <v>SENSE106</v>
      </c>
      <c r="D1" s="339"/>
      <c r="E1" s="338"/>
      <c r="F1" s="338"/>
      <c r="G1" s="338"/>
      <c r="H1" s="338"/>
      <c r="I1" s="589"/>
      <c r="J1" s="589"/>
      <c r="K1" s="589"/>
      <c r="L1" s="538"/>
      <c r="M1" s="549"/>
      <c r="N1" s="549"/>
      <c r="O1" s="549"/>
    </row>
    <row r="2" spans="1:27" s="550" customFormat="1" ht="15" x14ac:dyDescent="0.25">
      <c r="A2" s="397"/>
      <c r="B2" s="362" t="s">
        <v>173</v>
      </c>
      <c r="C2" s="363" t="str">
        <f>ORÇAMENTO!I5</f>
        <v>HOLZE EMPREENDIMENTOS</v>
      </c>
      <c r="D2" s="541"/>
      <c r="E2" s="339"/>
      <c r="F2" s="339"/>
      <c r="G2" s="339"/>
      <c r="H2" s="339"/>
      <c r="I2" s="590"/>
      <c r="J2" s="590"/>
      <c r="K2" s="590"/>
      <c r="L2" s="540"/>
      <c r="M2" s="551"/>
      <c r="N2" s="551"/>
      <c r="O2" s="551"/>
      <c r="P2" s="551"/>
      <c r="Q2" s="551"/>
      <c r="R2" s="551"/>
      <c r="S2" s="551"/>
      <c r="T2" s="551"/>
      <c r="U2" s="551"/>
      <c r="V2" s="551"/>
      <c r="W2" s="551"/>
      <c r="X2" s="551"/>
      <c r="Y2" s="551"/>
      <c r="Z2" s="551"/>
      <c r="AA2" s="551"/>
    </row>
    <row r="3" spans="1:27" s="550" customFormat="1" ht="15" x14ac:dyDescent="0.25">
      <c r="A3" s="397"/>
      <c r="B3" s="362" t="s">
        <v>190</v>
      </c>
      <c r="C3" s="541">
        <f>ORÇAMENTO!P5</f>
        <v>45608</v>
      </c>
      <c r="D3" s="541"/>
      <c r="E3" s="339"/>
      <c r="F3" s="339"/>
      <c r="G3" s="339"/>
      <c r="H3" s="339"/>
      <c r="I3" s="590"/>
      <c r="J3" s="590"/>
      <c r="K3" s="590"/>
      <c r="L3" s="540"/>
      <c r="M3" s="551"/>
      <c r="N3" s="551"/>
      <c r="O3" s="551"/>
      <c r="P3" s="551"/>
      <c r="Q3" s="551"/>
      <c r="R3" s="551"/>
      <c r="S3" s="551"/>
      <c r="T3" s="551"/>
      <c r="U3" s="551"/>
      <c r="V3" s="551"/>
      <c r="W3" s="551"/>
      <c r="X3" s="551"/>
      <c r="Y3" s="551"/>
      <c r="Z3" s="551"/>
      <c r="AA3" s="551"/>
    </row>
    <row r="4" spans="1:27" s="550" customFormat="1" ht="15" x14ac:dyDescent="0.25">
      <c r="A4" s="344"/>
      <c r="B4" s="362" t="s">
        <v>174</v>
      </c>
      <c r="C4" s="633" t="str">
        <f>ORÇAMENTO!O5</f>
        <v>R01 - Edileni Silva</v>
      </c>
      <c r="D4" s="339"/>
      <c r="E4" s="339"/>
      <c r="F4" s="339"/>
      <c r="G4" s="339"/>
      <c r="H4" s="339"/>
      <c r="I4" s="590"/>
      <c r="J4" s="590"/>
      <c r="K4" s="590"/>
      <c r="L4" s="539"/>
      <c r="M4" s="552"/>
      <c r="N4" s="552"/>
      <c r="O4" s="552"/>
    </row>
    <row r="5" spans="1:27" ht="24" customHeight="1" thickBot="1" x14ac:dyDescent="0.25">
      <c r="A5" s="1366" t="s">
        <v>358</v>
      </c>
      <c r="B5" s="1366"/>
      <c r="C5" s="1366"/>
      <c r="D5" s="1366"/>
      <c r="E5" s="1366"/>
      <c r="F5" s="1366"/>
      <c r="G5" s="1366"/>
      <c r="H5" s="1366"/>
      <c r="I5" s="1366"/>
      <c r="J5" s="1366"/>
      <c r="K5" s="1366"/>
      <c r="L5" s="1366"/>
      <c r="M5" s="549"/>
    </row>
    <row r="6" spans="1:27" s="559" customFormat="1" ht="40.15" customHeight="1" x14ac:dyDescent="0.2">
      <c r="A6" s="553" t="s">
        <v>225</v>
      </c>
      <c r="B6" s="553" t="s">
        <v>86</v>
      </c>
      <c r="C6" s="554" t="s">
        <v>343</v>
      </c>
      <c r="D6" s="554" t="s">
        <v>0</v>
      </c>
      <c r="E6" s="554" t="s">
        <v>353</v>
      </c>
      <c r="F6" s="587" t="s">
        <v>354</v>
      </c>
      <c r="G6" s="587" t="s">
        <v>355</v>
      </c>
      <c r="H6" s="555" t="s">
        <v>344</v>
      </c>
      <c r="I6" s="591" t="s">
        <v>345</v>
      </c>
      <c r="J6" s="591" t="s">
        <v>914</v>
      </c>
      <c r="K6" s="592" t="s">
        <v>346</v>
      </c>
      <c r="L6" s="558" t="s">
        <v>339</v>
      </c>
    </row>
    <row r="7" spans="1:27" s="559" customFormat="1" ht="17.25" customHeight="1" x14ac:dyDescent="0.2">
      <c r="A7" s="600" t="s">
        <v>337</v>
      </c>
      <c r="B7" s="601"/>
      <c r="C7" s="602"/>
      <c r="D7" s="602"/>
      <c r="E7" s="603"/>
      <c r="F7" s="603"/>
      <c r="G7" s="603"/>
      <c r="H7" s="604"/>
      <c r="I7" s="605">
        <f>I8</f>
        <v>17.920000000000002</v>
      </c>
      <c r="J7" s="605">
        <f>J8</f>
        <v>1</v>
      </c>
      <c r="K7" s="605">
        <f>K8</f>
        <v>17.920000000000002</v>
      </c>
      <c r="L7" s="606"/>
    </row>
    <row r="8" spans="1:27" x14ac:dyDescent="0.2">
      <c r="A8" s="615" t="str">
        <f>A7</f>
        <v>TERREO</v>
      </c>
      <c r="B8" s="568" t="s">
        <v>350</v>
      </c>
      <c r="C8" s="569"/>
      <c r="D8" s="569"/>
      <c r="E8" s="570"/>
      <c r="F8" s="570"/>
      <c r="G8" s="570"/>
      <c r="H8" s="571"/>
      <c r="I8" s="599">
        <f>SUM(I9)</f>
        <v>17.920000000000002</v>
      </c>
      <c r="J8" s="599">
        <f>SUM(J9)</f>
        <v>1</v>
      </c>
      <c r="K8" s="599">
        <f>SUM(K9)</f>
        <v>17.920000000000002</v>
      </c>
      <c r="L8" s="618"/>
      <c r="M8" s="549"/>
    </row>
    <row r="9" spans="1:27" x14ac:dyDescent="0.2">
      <c r="A9" s="615" t="str">
        <f>A8</f>
        <v>TERREO</v>
      </c>
      <c r="B9" s="575" t="str">
        <f>B8</f>
        <v>CORRMÃO</v>
      </c>
      <c r="C9" s="576"/>
      <c r="D9" s="576" t="s">
        <v>613</v>
      </c>
      <c r="E9" s="577">
        <v>1</v>
      </c>
      <c r="F9" s="588"/>
      <c r="G9" s="588">
        <v>17.920000000000002</v>
      </c>
      <c r="H9" s="578">
        <v>1</v>
      </c>
      <c r="I9" s="595">
        <f>H9*G9*E9</f>
        <v>17.920000000000002</v>
      </c>
      <c r="J9" s="596">
        <f>H9*E9</f>
        <v>1</v>
      </c>
      <c r="K9" s="596">
        <f>I9</f>
        <v>17.920000000000002</v>
      </c>
      <c r="L9" s="616"/>
      <c r="M9" s="549"/>
    </row>
    <row r="10" spans="1:27" s="559" customFormat="1" ht="17.25" customHeight="1" x14ac:dyDescent="0.2">
      <c r="A10" s="600" t="s">
        <v>893</v>
      </c>
      <c r="B10" s="601"/>
      <c r="C10" s="602"/>
      <c r="D10" s="602"/>
      <c r="E10" s="603"/>
      <c r="F10" s="603"/>
      <c r="G10" s="603"/>
      <c r="H10" s="604"/>
      <c r="I10" s="605">
        <f>I11</f>
        <v>14.1</v>
      </c>
      <c r="J10" s="605">
        <f>J11</f>
        <v>1</v>
      </c>
      <c r="K10" s="605">
        <f>K11</f>
        <v>14.1</v>
      </c>
      <c r="L10" s="606"/>
    </row>
    <row r="11" spans="1:27" x14ac:dyDescent="0.2">
      <c r="A11" s="615" t="str">
        <f>A10</f>
        <v>GARAGEM 2</v>
      </c>
      <c r="B11" s="568" t="s">
        <v>350</v>
      </c>
      <c r="C11" s="569"/>
      <c r="D11" s="569"/>
      <c r="E11" s="570"/>
      <c r="F11" s="570"/>
      <c r="G11" s="570"/>
      <c r="H11" s="571"/>
      <c r="I11" s="599">
        <f>SUM(I12)</f>
        <v>14.1</v>
      </c>
      <c r="J11" s="599">
        <f>SUM(J12)</f>
        <v>1</v>
      </c>
      <c r="K11" s="599">
        <f>SUM(K12)</f>
        <v>14.1</v>
      </c>
      <c r="L11" s="618"/>
      <c r="M11" s="549"/>
    </row>
    <row r="12" spans="1:27" x14ac:dyDescent="0.2">
      <c r="A12" s="615" t="str">
        <f>A11</f>
        <v>GARAGEM 2</v>
      </c>
      <c r="B12" s="575" t="str">
        <f>B11</f>
        <v>CORRMÃO</v>
      </c>
      <c r="C12" s="576"/>
      <c r="D12" s="576" t="s">
        <v>613</v>
      </c>
      <c r="E12" s="577">
        <v>1</v>
      </c>
      <c r="F12" s="588"/>
      <c r="G12" s="588">
        <v>14.1</v>
      </c>
      <c r="H12" s="578">
        <v>1</v>
      </c>
      <c r="I12" s="595">
        <f>H12*G12*E12</f>
        <v>14.1</v>
      </c>
      <c r="J12" s="596">
        <f>H12*E12</f>
        <v>1</v>
      </c>
      <c r="K12" s="596">
        <f>I12</f>
        <v>14.1</v>
      </c>
      <c r="L12" s="616"/>
      <c r="M12" s="549"/>
    </row>
    <row r="13" spans="1:27" s="559" customFormat="1" ht="17.25" customHeight="1" x14ac:dyDescent="0.2">
      <c r="A13" s="600" t="s">
        <v>894</v>
      </c>
      <c r="B13" s="601"/>
      <c r="C13" s="602"/>
      <c r="D13" s="602"/>
      <c r="E13" s="603"/>
      <c r="F13" s="603"/>
      <c r="G13" s="603"/>
      <c r="H13" s="604"/>
      <c r="I13" s="605">
        <f>I14</f>
        <v>14.1</v>
      </c>
      <c r="J13" s="605">
        <f>J14</f>
        <v>1</v>
      </c>
      <c r="K13" s="605">
        <f>K14</f>
        <v>14.1</v>
      </c>
      <c r="L13" s="606"/>
    </row>
    <row r="14" spans="1:27" x14ac:dyDescent="0.2">
      <c r="A14" s="615" t="str">
        <f>A13</f>
        <v>GARAGEM 3</v>
      </c>
      <c r="B14" s="568" t="s">
        <v>350</v>
      </c>
      <c r="C14" s="569"/>
      <c r="D14" s="569"/>
      <c r="E14" s="570"/>
      <c r="F14" s="570"/>
      <c r="G14" s="570"/>
      <c r="H14" s="571"/>
      <c r="I14" s="599">
        <f>SUM(I15)</f>
        <v>14.1</v>
      </c>
      <c r="J14" s="599">
        <f>SUM(J15)</f>
        <v>1</v>
      </c>
      <c r="K14" s="599">
        <f>SUM(K15)</f>
        <v>14.1</v>
      </c>
      <c r="L14" s="618"/>
      <c r="M14" s="549"/>
    </row>
    <row r="15" spans="1:27" x14ac:dyDescent="0.2">
      <c r="A15" s="615" t="str">
        <f>A14</f>
        <v>GARAGEM 3</v>
      </c>
      <c r="B15" s="575" t="str">
        <f>B14</f>
        <v>CORRMÃO</v>
      </c>
      <c r="C15" s="576"/>
      <c r="D15" s="576" t="s">
        <v>613</v>
      </c>
      <c r="E15" s="577">
        <v>1</v>
      </c>
      <c r="F15" s="588"/>
      <c r="G15" s="588">
        <v>14.1</v>
      </c>
      <c r="H15" s="578">
        <v>1</v>
      </c>
      <c r="I15" s="595">
        <f>H15*G15*E15</f>
        <v>14.1</v>
      </c>
      <c r="J15" s="596">
        <f>H15*E15</f>
        <v>1</v>
      </c>
      <c r="K15" s="596">
        <f>I15</f>
        <v>14.1</v>
      </c>
      <c r="L15" s="616"/>
      <c r="M15" s="549"/>
    </row>
    <row r="16" spans="1:27" s="559" customFormat="1" ht="17.25" customHeight="1" x14ac:dyDescent="0.2">
      <c r="A16" s="600" t="s">
        <v>894</v>
      </c>
      <c r="B16" s="601"/>
      <c r="C16" s="602"/>
      <c r="D16" s="602"/>
      <c r="E16" s="603"/>
      <c r="F16" s="603"/>
      <c r="G16" s="603"/>
      <c r="H16" s="604"/>
      <c r="I16" s="605">
        <f>I17</f>
        <v>16.850000000000001</v>
      </c>
      <c r="J16" s="605">
        <f>J17</f>
        <v>1</v>
      </c>
      <c r="K16" s="605">
        <f>K17</f>
        <v>16.850000000000001</v>
      </c>
      <c r="L16" s="606"/>
    </row>
    <row r="17" spans="1:13" x14ac:dyDescent="0.2">
      <c r="A17" s="615" t="str">
        <f>A16</f>
        <v>GARAGEM 3</v>
      </c>
      <c r="B17" s="568" t="s">
        <v>350</v>
      </c>
      <c r="C17" s="569"/>
      <c r="D17" s="569"/>
      <c r="E17" s="570"/>
      <c r="F17" s="570"/>
      <c r="G17" s="570"/>
      <c r="H17" s="571"/>
      <c r="I17" s="599">
        <f>SUM(I18)</f>
        <v>16.850000000000001</v>
      </c>
      <c r="J17" s="599">
        <f>SUM(J18)</f>
        <v>1</v>
      </c>
      <c r="K17" s="599">
        <f>SUM(K18)</f>
        <v>16.850000000000001</v>
      </c>
      <c r="L17" s="618"/>
      <c r="M17" s="549"/>
    </row>
    <row r="18" spans="1:13" x14ac:dyDescent="0.2">
      <c r="A18" s="615" t="str">
        <f>A17</f>
        <v>GARAGEM 3</v>
      </c>
      <c r="B18" s="575" t="str">
        <f>B17</f>
        <v>CORRMÃO</v>
      </c>
      <c r="C18" s="576"/>
      <c r="D18" s="576" t="s">
        <v>613</v>
      </c>
      <c r="E18" s="577">
        <v>1</v>
      </c>
      <c r="F18" s="588"/>
      <c r="G18" s="588">
        <v>16.850000000000001</v>
      </c>
      <c r="H18" s="578">
        <v>1</v>
      </c>
      <c r="I18" s="595">
        <f>H18*G18*E18</f>
        <v>16.850000000000001</v>
      </c>
      <c r="J18" s="596">
        <f>H18*E18</f>
        <v>1</v>
      </c>
      <c r="K18" s="596">
        <f>I18</f>
        <v>16.850000000000001</v>
      </c>
      <c r="L18" s="616"/>
      <c r="M18" s="549"/>
    </row>
    <row r="19" spans="1:13" ht="14.45" customHeight="1" x14ac:dyDescent="0.2">
      <c r="A19" s="620" t="s">
        <v>229</v>
      </c>
      <c r="B19" s="561"/>
      <c r="C19" s="562"/>
      <c r="D19" s="562"/>
      <c r="E19" s="563"/>
      <c r="F19" s="563"/>
      <c r="G19" s="563"/>
      <c r="H19" s="564"/>
      <c r="I19" s="593">
        <f>I20+I27</f>
        <v>49.730000000000004</v>
      </c>
      <c r="J19" s="593">
        <f>J20+J27</f>
        <v>8</v>
      </c>
      <c r="K19" s="593">
        <f>K20+K27</f>
        <v>49.730000000000004</v>
      </c>
      <c r="L19" s="621"/>
      <c r="M19" s="549"/>
    </row>
    <row r="20" spans="1:13" ht="14.45" customHeight="1" x14ac:dyDescent="0.2">
      <c r="A20" s="615" t="str">
        <f>A19</f>
        <v>LAZER</v>
      </c>
      <c r="B20" s="568" t="s">
        <v>114</v>
      </c>
      <c r="C20" s="569"/>
      <c r="D20" s="569"/>
      <c r="E20" s="570"/>
      <c r="F20" s="570"/>
      <c r="G20" s="570"/>
      <c r="H20" s="571"/>
      <c r="I20" s="599">
        <f>SUM(I21:I26)</f>
        <v>34.200000000000003</v>
      </c>
      <c r="J20" s="599">
        <f>SUM(J21:J26)</f>
        <v>7</v>
      </c>
      <c r="K20" s="599">
        <f>SUM(K21:K26)</f>
        <v>34.200000000000003</v>
      </c>
      <c r="L20" s="618"/>
      <c r="M20" s="549"/>
    </row>
    <row r="21" spans="1:13" ht="14.45" customHeight="1" x14ac:dyDescent="0.2">
      <c r="A21" s="615" t="str">
        <f t="shared" ref="A21:A26" si="0">A19</f>
        <v>LAZER</v>
      </c>
      <c r="B21" s="575" t="str">
        <f t="shared" ref="B21:B26" si="1">B20</f>
        <v>GUARDA-CORPO</v>
      </c>
      <c r="C21" s="576"/>
      <c r="D21" s="576" t="s">
        <v>691</v>
      </c>
      <c r="E21" s="577">
        <v>1</v>
      </c>
      <c r="F21" s="588">
        <v>1.2</v>
      </c>
      <c r="G21" s="588">
        <v>0.96</v>
      </c>
      <c r="H21" s="578">
        <v>1</v>
      </c>
      <c r="I21" s="595">
        <f t="shared" ref="I21:I26" si="2">H21*G21*E21</f>
        <v>0.96</v>
      </c>
      <c r="J21" s="596">
        <f t="shared" ref="J21:J26" si="3">H21*E21</f>
        <v>1</v>
      </c>
      <c r="K21" s="596">
        <f t="shared" ref="K21:K26" si="4">I21</f>
        <v>0.96</v>
      </c>
      <c r="L21" s="616"/>
      <c r="M21" s="549"/>
    </row>
    <row r="22" spans="1:13" x14ac:dyDescent="0.2">
      <c r="A22" s="615" t="str">
        <f t="shared" si="0"/>
        <v>LAZER</v>
      </c>
      <c r="B22" s="575" t="str">
        <f t="shared" si="1"/>
        <v>GUARDA-CORPO</v>
      </c>
      <c r="C22" s="576"/>
      <c r="D22" s="576" t="s">
        <v>690</v>
      </c>
      <c r="E22" s="577">
        <v>1</v>
      </c>
      <c r="F22" s="588">
        <v>0.55000000000000004</v>
      </c>
      <c r="G22" s="588">
        <v>3.74</v>
      </c>
      <c r="H22" s="578">
        <v>1</v>
      </c>
      <c r="I22" s="595">
        <f t="shared" si="2"/>
        <v>3.74</v>
      </c>
      <c r="J22" s="596">
        <f t="shared" si="3"/>
        <v>1</v>
      </c>
      <c r="K22" s="596">
        <f t="shared" si="4"/>
        <v>3.74</v>
      </c>
      <c r="L22" s="617"/>
      <c r="M22" s="549"/>
    </row>
    <row r="23" spans="1:13" x14ac:dyDescent="0.2">
      <c r="A23" s="615" t="str">
        <f t="shared" si="0"/>
        <v>LAZER</v>
      </c>
      <c r="B23" s="575" t="str">
        <f t="shared" si="1"/>
        <v>GUARDA-CORPO</v>
      </c>
      <c r="C23" s="576"/>
      <c r="D23" s="576" t="s">
        <v>689</v>
      </c>
      <c r="E23" s="577">
        <v>1</v>
      </c>
      <c r="F23" s="588">
        <v>1.2</v>
      </c>
      <c r="G23" s="588">
        <v>3.54</v>
      </c>
      <c r="H23" s="578">
        <v>1</v>
      </c>
      <c r="I23" s="595">
        <f t="shared" si="2"/>
        <v>3.54</v>
      </c>
      <c r="J23" s="596">
        <f t="shared" si="3"/>
        <v>1</v>
      </c>
      <c r="K23" s="596">
        <f t="shared" si="4"/>
        <v>3.54</v>
      </c>
      <c r="L23" s="617"/>
      <c r="M23" s="549"/>
    </row>
    <row r="24" spans="1:13" x14ac:dyDescent="0.2">
      <c r="A24" s="615" t="str">
        <f t="shared" si="0"/>
        <v>LAZER</v>
      </c>
      <c r="B24" s="575" t="str">
        <f t="shared" si="1"/>
        <v>GUARDA-CORPO</v>
      </c>
      <c r="C24" s="576"/>
      <c r="D24" s="576" t="s">
        <v>688</v>
      </c>
      <c r="E24" s="577">
        <v>2</v>
      </c>
      <c r="F24" s="588">
        <v>1.2</v>
      </c>
      <c r="G24" s="588">
        <v>6.95</v>
      </c>
      <c r="H24" s="578">
        <v>1</v>
      </c>
      <c r="I24" s="595">
        <f t="shared" si="2"/>
        <v>13.9</v>
      </c>
      <c r="J24" s="596">
        <f>H24*E24</f>
        <v>2</v>
      </c>
      <c r="K24" s="596">
        <f t="shared" si="4"/>
        <v>13.9</v>
      </c>
      <c r="L24" s="617"/>
      <c r="M24" s="549"/>
    </row>
    <row r="25" spans="1:13" x14ac:dyDescent="0.2">
      <c r="A25" s="615" t="str">
        <f t="shared" si="0"/>
        <v>LAZER</v>
      </c>
      <c r="B25" s="575" t="str">
        <f t="shared" si="1"/>
        <v>GUARDA-CORPO</v>
      </c>
      <c r="C25" s="576"/>
      <c r="D25" s="576" t="s">
        <v>687</v>
      </c>
      <c r="E25" s="577">
        <v>1</v>
      </c>
      <c r="F25" s="588">
        <v>1.2</v>
      </c>
      <c r="G25" s="588">
        <v>6.36</v>
      </c>
      <c r="H25" s="578">
        <v>1</v>
      </c>
      <c r="I25" s="595">
        <f t="shared" si="2"/>
        <v>6.36</v>
      </c>
      <c r="J25" s="596">
        <f t="shared" si="3"/>
        <v>1</v>
      </c>
      <c r="K25" s="596">
        <f t="shared" si="4"/>
        <v>6.36</v>
      </c>
      <c r="L25" s="617"/>
      <c r="M25" s="549"/>
    </row>
    <row r="26" spans="1:13" x14ac:dyDescent="0.2">
      <c r="A26" s="615" t="str">
        <f t="shared" si="0"/>
        <v>LAZER</v>
      </c>
      <c r="B26" s="575" t="str">
        <f t="shared" si="1"/>
        <v>GUARDA-CORPO</v>
      </c>
      <c r="C26" s="576"/>
      <c r="D26" s="576" t="s">
        <v>686</v>
      </c>
      <c r="E26" s="577">
        <v>1</v>
      </c>
      <c r="F26" s="588">
        <v>1.2</v>
      </c>
      <c r="G26" s="588">
        <v>5.7</v>
      </c>
      <c r="H26" s="578">
        <v>1</v>
      </c>
      <c r="I26" s="595">
        <f t="shared" si="2"/>
        <v>5.7</v>
      </c>
      <c r="J26" s="596">
        <f t="shared" si="3"/>
        <v>1</v>
      </c>
      <c r="K26" s="596">
        <f t="shared" si="4"/>
        <v>5.7</v>
      </c>
      <c r="L26" s="617"/>
      <c r="M26" s="549"/>
    </row>
    <row r="27" spans="1:13" ht="14.45" customHeight="1" x14ac:dyDescent="0.2">
      <c r="A27" s="615" t="str">
        <f>A26</f>
        <v>LAZER</v>
      </c>
      <c r="B27" s="568" t="s">
        <v>350</v>
      </c>
      <c r="C27" s="569"/>
      <c r="D27" s="569"/>
      <c r="E27" s="570"/>
      <c r="F27" s="570"/>
      <c r="G27" s="570"/>
      <c r="H27" s="571"/>
      <c r="I27" s="599">
        <f>SUM(I28:I28)</f>
        <v>15.53</v>
      </c>
      <c r="J27" s="599">
        <f>SUM(J28:J28)</f>
        <v>1</v>
      </c>
      <c r="K27" s="599">
        <f>SUM(K28:K28)</f>
        <v>15.53</v>
      </c>
      <c r="L27" s="618"/>
      <c r="M27" s="549"/>
    </row>
    <row r="28" spans="1:13" ht="14.45" customHeight="1" x14ac:dyDescent="0.2">
      <c r="A28" s="615" t="e">
        <f>#REF!</f>
        <v>#REF!</v>
      </c>
      <c r="B28" s="575" t="str">
        <f>B27</f>
        <v>CORRMÃO</v>
      </c>
      <c r="C28" s="576"/>
      <c r="D28" s="576" t="s">
        <v>613</v>
      </c>
      <c r="E28" s="577">
        <v>1</v>
      </c>
      <c r="F28" s="588"/>
      <c r="G28" s="588">
        <v>15.53</v>
      </c>
      <c r="H28" s="578">
        <v>1</v>
      </c>
      <c r="I28" s="595">
        <f>H28*G28*E28</f>
        <v>15.53</v>
      </c>
      <c r="J28" s="596">
        <f>H28*E28</f>
        <v>1</v>
      </c>
      <c r="K28" s="596">
        <f>I28</f>
        <v>15.53</v>
      </c>
      <c r="L28" s="616"/>
      <c r="M28" s="549"/>
    </row>
    <row r="29" spans="1:13" ht="14.45" customHeight="1" x14ac:dyDescent="0.2">
      <c r="A29" s="620" t="s">
        <v>896</v>
      </c>
      <c r="B29" s="561"/>
      <c r="C29" s="562"/>
      <c r="D29" s="562"/>
      <c r="E29" s="563"/>
      <c r="F29" s="563"/>
      <c r="G29" s="563"/>
      <c r="H29" s="564"/>
      <c r="I29" s="593">
        <f>I30+I33</f>
        <v>488.59999999999997</v>
      </c>
      <c r="J29" s="593">
        <f>J30+J33</f>
        <v>80</v>
      </c>
      <c r="K29" s="593">
        <f>K30+K33</f>
        <v>488.59999999999997</v>
      </c>
      <c r="L29" s="621"/>
      <c r="M29" s="549"/>
    </row>
    <row r="30" spans="1:13" ht="14.45" customHeight="1" x14ac:dyDescent="0.2">
      <c r="A30" s="615" t="str">
        <f>A29</f>
        <v>TIPOS (x20)</v>
      </c>
      <c r="B30" s="568" t="s">
        <v>114</v>
      </c>
      <c r="C30" s="569"/>
      <c r="D30" s="569"/>
      <c r="E30" s="570"/>
      <c r="F30" s="570"/>
      <c r="G30" s="570"/>
      <c r="H30" s="571"/>
      <c r="I30" s="599">
        <f>SUM(I31:I32)</f>
        <v>198</v>
      </c>
      <c r="J30" s="599">
        <f>SUM(J31:J32)</f>
        <v>60</v>
      </c>
      <c r="K30" s="599">
        <f>SUM(K31:K32)</f>
        <v>198</v>
      </c>
      <c r="L30" s="618"/>
      <c r="M30" s="549"/>
    </row>
    <row r="31" spans="1:13" ht="14.45" customHeight="1" x14ac:dyDescent="0.2">
      <c r="A31" s="615" t="str">
        <f>A29</f>
        <v>TIPOS (x20)</v>
      </c>
      <c r="B31" s="575" t="str">
        <f>B30</f>
        <v>GUARDA-CORPO</v>
      </c>
      <c r="C31" s="576"/>
      <c r="D31" s="576" t="s">
        <v>623</v>
      </c>
      <c r="E31" s="577">
        <v>1</v>
      </c>
      <c r="F31" s="588">
        <v>1.21</v>
      </c>
      <c r="G31" s="588">
        <v>2.5</v>
      </c>
      <c r="H31" s="578">
        <v>20</v>
      </c>
      <c r="I31" s="595">
        <f>H31*G31*E31</f>
        <v>50</v>
      </c>
      <c r="J31" s="596">
        <f>H31*E31</f>
        <v>20</v>
      </c>
      <c r="K31" s="596">
        <f>I31</f>
        <v>50</v>
      </c>
      <c r="L31" s="616"/>
      <c r="M31" s="549"/>
    </row>
    <row r="32" spans="1:13" x14ac:dyDescent="0.2">
      <c r="A32" s="615" t="str">
        <f>A30</f>
        <v>TIPOS (x20)</v>
      </c>
      <c r="B32" s="575" t="str">
        <f>B31</f>
        <v>GUARDA-CORPO</v>
      </c>
      <c r="C32" s="576"/>
      <c r="D32" s="576" t="s">
        <v>622</v>
      </c>
      <c r="E32" s="577">
        <v>2</v>
      </c>
      <c r="F32" s="588">
        <v>1.21</v>
      </c>
      <c r="G32" s="588">
        <v>3.7</v>
      </c>
      <c r="H32" s="578">
        <v>20</v>
      </c>
      <c r="I32" s="595">
        <f>H32*G32*E32</f>
        <v>148</v>
      </c>
      <c r="J32" s="596">
        <f>H32*E32</f>
        <v>40</v>
      </c>
      <c r="K32" s="596">
        <f>I32</f>
        <v>148</v>
      </c>
      <c r="L32" s="617"/>
      <c r="M32" s="549"/>
    </row>
    <row r="33" spans="1:30" ht="14.45" customHeight="1" x14ac:dyDescent="0.2">
      <c r="A33" s="615" t="str">
        <f>A32</f>
        <v>TIPOS (x20)</v>
      </c>
      <c r="B33" s="568" t="s">
        <v>350</v>
      </c>
      <c r="C33" s="569"/>
      <c r="D33" s="569"/>
      <c r="E33" s="570"/>
      <c r="F33" s="570"/>
      <c r="G33" s="570"/>
      <c r="H33" s="571"/>
      <c r="I33" s="599">
        <f>SUM(I34:I34)</f>
        <v>290.59999999999997</v>
      </c>
      <c r="J33" s="599">
        <f>SUM(J34:J34)</f>
        <v>20</v>
      </c>
      <c r="K33" s="599">
        <f>SUM(K34:K34)</f>
        <v>290.59999999999997</v>
      </c>
      <c r="L33" s="618"/>
      <c r="M33" s="549"/>
    </row>
    <row r="34" spans="1:30" ht="14.45" customHeight="1" x14ac:dyDescent="0.2">
      <c r="A34" s="615" t="e">
        <f>#REF!</f>
        <v>#REF!</v>
      </c>
      <c r="B34" s="575" t="str">
        <f>B33</f>
        <v>CORRMÃO</v>
      </c>
      <c r="C34" s="576"/>
      <c r="D34" s="576" t="s">
        <v>613</v>
      </c>
      <c r="E34" s="577">
        <v>1</v>
      </c>
      <c r="F34" s="588"/>
      <c r="G34" s="588">
        <v>14.53</v>
      </c>
      <c r="H34" s="578">
        <v>20</v>
      </c>
      <c r="I34" s="595">
        <f>H34*G34*E34</f>
        <v>290.59999999999997</v>
      </c>
      <c r="J34" s="596">
        <f>H34*E34</f>
        <v>20</v>
      </c>
      <c r="K34" s="596">
        <f>I34</f>
        <v>290.59999999999997</v>
      </c>
      <c r="L34" s="616"/>
      <c r="M34" s="549"/>
    </row>
    <row r="35" spans="1:30" ht="13.5" thickBot="1" x14ac:dyDescent="0.25">
      <c r="A35" s="544" t="s">
        <v>16</v>
      </c>
      <c r="B35" s="544"/>
      <c r="C35" s="545"/>
      <c r="D35" s="545"/>
      <c r="E35" s="548">
        <f>E7+E29</f>
        <v>0</v>
      </c>
      <c r="F35" s="548"/>
      <c r="G35" s="548"/>
      <c r="H35" s="545"/>
      <c r="I35" s="597">
        <f>I29+I7</f>
        <v>506.52</v>
      </c>
      <c r="J35" s="597">
        <f>J7+J29</f>
        <v>81</v>
      </c>
      <c r="K35" s="597">
        <f>K7+K29</f>
        <v>506.52</v>
      </c>
      <c r="L35" s="547"/>
      <c r="M35" s="549"/>
    </row>
    <row r="36" spans="1:30" ht="13.5" thickTop="1" x14ac:dyDescent="0.2"/>
    <row r="37" spans="1:30" ht="13.5" thickBot="1" x14ac:dyDescent="0.25"/>
    <row r="38" spans="1:30" x14ac:dyDescent="0.2">
      <c r="A38" s="553" t="s">
        <v>890</v>
      </c>
    </row>
    <row r="39" spans="1:30" x14ac:dyDescent="0.2">
      <c r="A39" s="693" t="s">
        <v>898</v>
      </c>
      <c r="B39" s="568" t="s">
        <v>114</v>
      </c>
      <c r="C39" s="569"/>
      <c r="D39" s="692" t="s">
        <v>900</v>
      </c>
      <c r="E39" s="570" t="s">
        <v>899</v>
      </c>
      <c r="F39" s="570" t="s">
        <v>899</v>
      </c>
      <c r="G39" s="570" t="s">
        <v>901</v>
      </c>
      <c r="H39" s="694" t="s">
        <v>902</v>
      </c>
    </row>
    <row r="40" spans="1:30" s="584" customFormat="1" x14ac:dyDescent="0.2">
      <c r="A40" s="695" t="s">
        <v>898</v>
      </c>
      <c r="B40" s="575" t="str">
        <f>B39</f>
        <v>GUARDA-CORPO</v>
      </c>
      <c r="C40" s="576"/>
      <c r="D40" s="576" t="s">
        <v>691</v>
      </c>
      <c r="E40" s="588">
        <f t="shared" ref="E40:E46" ca="1" si="5">SUMIF($D$9:$J$34,D40,$J$9:$J$34)</f>
        <v>1</v>
      </c>
      <c r="F40" s="588">
        <f t="shared" ref="F40:F47" ca="1" si="6">SUMIF($D$9:$I$34,D40,$I$9:$I$34)</f>
        <v>0.96</v>
      </c>
      <c r="G40" s="577">
        <v>1020.33</v>
      </c>
      <c r="H40" s="577">
        <f ca="1">E40*G40</f>
        <v>1020.33</v>
      </c>
      <c r="I40" s="598"/>
      <c r="J40" s="598"/>
      <c r="K40" s="598"/>
      <c r="L40" s="583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Y40" s="549"/>
      <c r="Z40" s="549"/>
      <c r="AA40" s="549"/>
      <c r="AB40" s="549"/>
      <c r="AC40" s="549"/>
      <c r="AD40" s="549"/>
    </row>
    <row r="41" spans="1:30" s="584" customFormat="1" x14ac:dyDescent="0.2">
      <c r="A41" s="695" t="s">
        <v>898</v>
      </c>
      <c r="B41" s="575" t="str">
        <f t="shared" ref="B41:B47" si="7">B40</f>
        <v>GUARDA-CORPO</v>
      </c>
      <c r="C41" s="576"/>
      <c r="D41" s="576" t="s">
        <v>690</v>
      </c>
      <c r="E41" s="588">
        <f t="shared" ca="1" si="5"/>
        <v>1</v>
      </c>
      <c r="F41" s="588">
        <f t="shared" ca="1" si="6"/>
        <v>3.74</v>
      </c>
      <c r="G41" s="577">
        <v>1020.33</v>
      </c>
      <c r="H41" s="577">
        <f t="shared" ref="H41:H47" ca="1" si="8">E41*G41</f>
        <v>1020.33</v>
      </c>
      <c r="I41" s="598"/>
      <c r="J41" s="598"/>
      <c r="K41" s="598"/>
      <c r="L41" s="583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Y41" s="549"/>
      <c r="Z41" s="549"/>
      <c r="AA41" s="549"/>
      <c r="AB41" s="549"/>
      <c r="AC41" s="549"/>
      <c r="AD41" s="549"/>
    </row>
    <row r="42" spans="1:30" s="584" customFormat="1" x14ac:dyDescent="0.2">
      <c r="A42" s="695" t="s">
        <v>898</v>
      </c>
      <c r="B42" s="575" t="str">
        <f t="shared" si="7"/>
        <v>GUARDA-CORPO</v>
      </c>
      <c r="C42" s="576"/>
      <c r="D42" s="576" t="s">
        <v>689</v>
      </c>
      <c r="E42" s="588">
        <f t="shared" ca="1" si="5"/>
        <v>1</v>
      </c>
      <c r="F42" s="588">
        <f t="shared" ca="1" si="6"/>
        <v>3.54</v>
      </c>
      <c r="G42" s="577">
        <v>3011.49</v>
      </c>
      <c r="H42" s="577">
        <f t="shared" ca="1" si="8"/>
        <v>3011.49</v>
      </c>
      <c r="I42" s="598"/>
      <c r="J42" s="598"/>
      <c r="K42" s="598"/>
      <c r="L42" s="583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Y42" s="549"/>
      <c r="Z42" s="549"/>
      <c r="AA42" s="549"/>
      <c r="AB42" s="549"/>
      <c r="AC42" s="549"/>
      <c r="AD42" s="549"/>
    </row>
    <row r="43" spans="1:30" s="584" customFormat="1" x14ac:dyDescent="0.2">
      <c r="A43" s="695" t="s">
        <v>898</v>
      </c>
      <c r="B43" s="575" t="str">
        <f t="shared" si="7"/>
        <v>GUARDA-CORPO</v>
      </c>
      <c r="C43" s="576"/>
      <c r="D43" s="576" t="s">
        <v>688</v>
      </c>
      <c r="E43" s="588">
        <f t="shared" ca="1" si="5"/>
        <v>2</v>
      </c>
      <c r="F43" s="588">
        <f t="shared" ca="1" si="6"/>
        <v>13.9</v>
      </c>
      <c r="G43" s="577">
        <v>6061.42</v>
      </c>
      <c r="H43" s="577">
        <f ca="1">E43*G43</f>
        <v>12122.84</v>
      </c>
      <c r="I43" s="598"/>
      <c r="J43" s="598"/>
      <c r="K43" s="598"/>
      <c r="L43" s="583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Y43" s="549"/>
      <c r="Z43" s="549"/>
      <c r="AA43" s="549"/>
      <c r="AB43" s="549"/>
      <c r="AC43" s="549"/>
      <c r="AD43" s="549"/>
    </row>
    <row r="44" spans="1:30" s="584" customFormat="1" x14ac:dyDescent="0.2">
      <c r="A44" s="695" t="s">
        <v>898</v>
      </c>
      <c r="B44" s="575" t="str">
        <f t="shared" si="7"/>
        <v>GUARDA-CORPO</v>
      </c>
      <c r="C44" s="576"/>
      <c r="D44" s="576" t="s">
        <v>687</v>
      </c>
      <c r="E44" s="588">
        <f t="shared" ca="1" si="5"/>
        <v>1</v>
      </c>
      <c r="F44" s="588">
        <f t="shared" ca="1" si="6"/>
        <v>6.36</v>
      </c>
      <c r="G44" s="577">
        <v>5345.81</v>
      </c>
      <c r="H44" s="577">
        <f ca="1">E44*G44</f>
        <v>5345.81</v>
      </c>
      <c r="I44" s="598"/>
      <c r="J44" s="598"/>
      <c r="K44" s="598"/>
      <c r="L44" s="583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Y44" s="549"/>
      <c r="Z44" s="549"/>
      <c r="AA44" s="549"/>
      <c r="AB44" s="549"/>
      <c r="AC44" s="549"/>
      <c r="AD44" s="549"/>
    </row>
    <row r="45" spans="1:30" s="584" customFormat="1" x14ac:dyDescent="0.2">
      <c r="A45" s="695" t="s">
        <v>898</v>
      </c>
      <c r="B45" s="575" t="str">
        <f t="shared" si="7"/>
        <v>GUARDA-CORPO</v>
      </c>
      <c r="C45" s="576"/>
      <c r="D45" s="576" t="s">
        <v>686</v>
      </c>
      <c r="E45" s="588">
        <f t="shared" ca="1" si="5"/>
        <v>1</v>
      </c>
      <c r="F45" s="588">
        <f t="shared" ca="1" si="6"/>
        <v>5.7</v>
      </c>
      <c r="G45" s="577">
        <v>4740.18</v>
      </c>
      <c r="H45" s="577">
        <f t="shared" ca="1" si="8"/>
        <v>4740.18</v>
      </c>
      <c r="I45" s="598"/>
      <c r="J45" s="598"/>
      <c r="K45" s="598"/>
      <c r="L45" s="583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Y45" s="549"/>
      <c r="Z45" s="549"/>
      <c r="AA45" s="549"/>
      <c r="AB45" s="549"/>
      <c r="AC45" s="549"/>
      <c r="AD45" s="549"/>
    </row>
    <row r="46" spans="1:30" s="584" customFormat="1" x14ac:dyDescent="0.2">
      <c r="A46" s="695" t="s">
        <v>898</v>
      </c>
      <c r="B46" s="575" t="str">
        <f t="shared" si="7"/>
        <v>GUARDA-CORPO</v>
      </c>
      <c r="C46" s="576"/>
      <c r="D46" s="576" t="s">
        <v>623</v>
      </c>
      <c r="E46" s="588">
        <f t="shared" ca="1" si="5"/>
        <v>20</v>
      </c>
      <c r="F46" s="588">
        <f t="shared" ca="1" si="6"/>
        <v>50</v>
      </c>
      <c r="G46" s="577">
        <v>2416.25</v>
      </c>
      <c r="H46" s="577">
        <f t="shared" ca="1" si="8"/>
        <v>48325</v>
      </c>
      <c r="I46" s="598"/>
      <c r="J46" s="598"/>
      <c r="K46" s="598"/>
      <c r="L46" s="583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Y46" s="549"/>
      <c r="Z46" s="549"/>
      <c r="AA46" s="549"/>
      <c r="AB46" s="549"/>
      <c r="AC46" s="549"/>
      <c r="AD46" s="549"/>
    </row>
    <row r="47" spans="1:30" s="584" customFormat="1" x14ac:dyDescent="0.2">
      <c r="A47" s="696" t="s">
        <v>898</v>
      </c>
      <c r="B47" s="697" t="str">
        <f t="shared" si="7"/>
        <v>GUARDA-CORPO</v>
      </c>
      <c r="C47" s="698"/>
      <c r="D47" s="698" t="s">
        <v>622</v>
      </c>
      <c r="E47" s="700">
        <f ca="1">SUMIF($D$9:$J$34,D47,$J$9:$J$34)</f>
        <v>40</v>
      </c>
      <c r="F47" s="700">
        <f t="shared" ca="1" si="6"/>
        <v>148</v>
      </c>
      <c r="G47" s="699">
        <v>3132.1</v>
      </c>
      <c r="H47" s="699">
        <f t="shared" ca="1" si="8"/>
        <v>125284</v>
      </c>
      <c r="I47" s="598"/>
      <c r="J47" s="598"/>
      <c r="K47" s="598"/>
      <c r="L47" s="583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Y47" s="549"/>
      <c r="Z47" s="549"/>
      <c r="AA47" s="549"/>
      <c r="AB47" s="549"/>
      <c r="AC47" s="549"/>
      <c r="AD47" s="549"/>
    </row>
    <row r="48" spans="1:30" x14ac:dyDescent="0.2">
      <c r="H48" s="702">
        <f ca="1">SUM(H40:H47)</f>
        <v>200869.97999999998</v>
      </c>
    </row>
    <row r="49" spans="1:25" x14ac:dyDescent="0.2">
      <c r="F49" s="701" t="s">
        <v>114</v>
      </c>
    </row>
    <row r="50" spans="1:25" x14ac:dyDescent="0.2">
      <c r="F50" s="710"/>
      <c r="G50" s="716">
        <f ca="1">ROUND(SUM(F40:F47),2)</f>
        <v>232.2</v>
      </c>
      <c r="H50" s="712" t="s">
        <v>3</v>
      </c>
    </row>
    <row r="51" spans="1:25" x14ac:dyDescent="0.2">
      <c r="F51" s="713" t="s">
        <v>1469</v>
      </c>
      <c r="G51" s="714">
        <f ca="1">ROUND((H48)/G50,2)</f>
        <v>865.07</v>
      </c>
      <c r="H51" s="715"/>
    </row>
    <row r="52" spans="1:25" ht="13.5" thickBot="1" x14ac:dyDescent="0.25"/>
    <row r="53" spans="1:25" x14ac:dyDescent="0.2">
      <c r="A53" s="553" t="s">
        <v>890</v>
      </c>
    </row>
    <row r="54" spans="1:25" x14ac:dyDescent="0.2">
      <c r="A54" s="693" t="s">
        <v>898</v>
      </c>
      <c r="B54" s="568" t="s">
        <v>92</v>
      </c>
      <c r="C54" s="569"/>
      <c r="D54" s="692" t="s">
        <v>900</v>
      </c>
      <c r="E54" s="570" t="s">
        <v>899</v>
      </c>
      <c r="F54" s="570" t="s">
        <v>899</v>
      </c>
      <c r="G54" s="570" t="s">
        <v>901</v>
      </c>
      <c r="H54" s="694" t="s">
        <v>902</v>
      </c>
    </row>
    <row r="55" spans="1:25" s="584" customFormat="1" x14ac:dyDescent="0.2">
      <c r="A55" s="696" t="s">
        <v>898</v>
      </c>
      <c r="B55" s="697" t="str">
        <f>B54</f>
        <v>CORRIMÃO</v>
      </c>
      <c r="C55" s="698"/>
      <c r="D55" s="717" t="s">
        <v>613</v>
      </c>
      <c r="E55" s="718">
        <f ca="1">SUMIF($D$9:$J$34,D55,$J$9:$J$34)</f>
        <v>25</v>
      </c>
      <c r="F55" s="718">
        <f ca="1">SUMIF($D$9:$I$34,D55,$I$9:$I$34)</f>
        <v>369.09999999999997</v>
      </c>
      <c r="G55" s="719">
        <v>85.5</v>
      </c>
      <c r="H55" s="719">
        <f ca="1">F55*G55</f>
        <v>31558.049999999996</v>
      </c>
      <c r="I55" s="598"/>
      <c r="J55" s="598"/>
      <c r="K55" s="598"/>
      <c r="L55" s="583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Y55" s="549"/>
    </row>
  </sheetData>
  <autoFilter ref="E6:L35" xr:uid="{00000000-0009-0000-0000-000020000000}"/>
  <dataConsolidate/>
  <mergeCells count="1">
    <mergeCell ref="A5:L5"/>
  </mergeCells>
  <pageMargins left="0.511811024" right="0.511811024" top="0.78740157499999996" bottom="0.78740157499999996" header="0.31496062000000002" footer="0.31496062000000002"/>
  <pageSetup paperSize="9" scale="22" fitToWidth="0" orientation="landscape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43800"/>
  </sheetPr>
  <dimension ref="A1:G22"/>
  <sheetViews>
    <sheetView zoomScale="90" zoomScaleNormal="90" workbookViewId="0">
      <selection activeCell="F20" sqref="F20:F21"/>
    </sheetView>
  </sheetViews>
  <sheetFormatPr defaultColWidth="9.140625" defaultRowHeight="15" x14ac:dyDescent="0.25"/>
  <cols>
    <col min="1" max="1" width="15.42578125" style="982" customWidth="1"/>
    <col min="2" max="2" width="42.140625" style="982" customWidth="1"/>
    <col min="3" max="3" width="16.7109375" style="982" customWidth="1"/>
    <col min="4" max="4" width="13.42578125" style="982" customWidth="1"/>
    <col min="5" max="5" width="20" style="1024" customWidth="1"/>
    <col min="6" max="6" width="22" style="1024" customWidth="1"/>
    <col min="7" max="7" width="28.140625" style="982" customWidth="1"/>
    <col min="8" max="16384" width="9.140625" style="982"/>
  </cols>
  <sheetData>
    <row r="1" spans="1:7" ht="21.75" x14ac:dyDescent="0.6">
      <c r="A1" s="977" t="s">
        <v>172</v>
      </c>
      <c r="B1" s="978" t="str">
        <f>'Projeção torre'!C1</f>
        <v>SENSE106</v>
      </c>
      <c r="C1" s="979"/>
      <c r="D1" s="979"/>
      <c r="E1" s="980"/>
      <c r="F1" s="980"/>
      <c r="G1" s="981"/>
    </row>
    <row r="2" spans="1:7" ht="21.75" x14ac:dyDescent="0.6">
      <c r="A2" s="983" t="s">
        <v>173</v>
      </c>
      <c r="B2" s="984" t="str">
        <f>'Projeção torre'!C2</f>
        <v>HOLZE EMPREENDIMENTOS</v>
      </c>
      <c r="C2" s="985"/>
      <c r="D2" s="985"/>
      <c r="E2" s="986"/>
      <c r="F2" s="986"/>
      <c r="G2" s="987"/>
    </row>
    <row r="3" spans="1:7" ht="21.75" x14ac:dyDescent="0.6">
      <c r="A3" s="983" t="s">
        <v>174</v>
      </c>
      <c r="B3" s="984" t="s">
        <v>1960</v>
      </c>
      <c r="C3" s="985"/>
      <c r="D3" s="985"/>
      <c r="E3" s="986"/>
      <c r="F3" s="986"/>
      <c r="G3" s="987"/>
    </row>
    <row r="4" spans="1:7" ht="28.5" x14ac:dyDescent="0.25">
      <c r="A4" s="1371" t="s">
        <v>1554</v>
      </c>
      <c r="B4" s="1372"/>
      <c r="C4" s="1372"/>
      <c r="D4" s="1372"/>
      <c r="E4" s="1372"/>
      <c r="F4" s="1372"/>
      <c r="G4" s="1373"/>
    </row>
    <row r="5" spans="1:7" ht="28.5" x14ac:dyDescent="0.6">
      <c r="A5" s="988"/>
      <c r="B5" s="989"/>
      <c r="C5" s="990"/>
      <c r="D5" s="990"/>
      <c r="E5" s="991"/>
      <c r="F5" s="991"/>
      <c r="G5" s="992"/>
    </row>
    <row r="6" spans="1:7" ht="28.5" x14ac:dyDescent="0.25">
      <c r="A6" s="1374" t="s">
        <v>1961</v>
      </c>
      <c r="B6" s="1375"/>
      <c r="C6" s="1375"/>
      <c r="D6" s="1375"/>
      <c r="E6" s="1375"/>
      <c r="F6" s="1375"/>
      <c r="G6" s="1376"/>
    </row>
    <row r="7" spans="1:7" ht="21.75" x14ac:dyDescent="0.6">
      <c r="A7" s="993"/>
      <c r="B7" s="994"/>
      <c r="C7" s="994"/>
      <c r="D7" s="994"/>
      <c r="E7" s="995"/>
      <c r="F7" s="995"/>
      <c r="G7" s="996"/>
    </row>
    <row r="8" spans="1:7" ht="21.75" x14ac:dyDescent="0.6">
      <c r="A8" s="997" t="s">
        <v>1961</v>
      </c>
      <c r="B8" s="998"/>
      <c r="C8" s="998"/>
      <c r="D8" s="998"/>
      <c r="E8" s="999"/>
      <c r="F8" s="999"/>
      <c r="G8" s="1000"/>
    </row>
    <row r="9" spans="1:7" ht="22.5" thickBot="1" x14ac:dyDescent="0.65">
      <c r="A9" s="1001"/>
      <c r="B9" s="1002"/>
      <c r="C9" s="1003"/>
      <c r="D9" s="1003"/>
      <c r="E9" s="1004"/>
      <c r="F9" s="1004"/>
      <c r="G9" s="996"/>
    </row>
    <row r="10" spans="1:7" ht="21.75" x14ac:dyDescent="0.6">
      <c r="A10" s="1001"/>
      <c r="B10" s="1005" t="s">
        <v>1556</v>
      </c>
      <c r="C10" s="1006" t="s">
        <v>93</v>
      </c>
      <c r="D10" s="1007" t="s">
        <v>1557</v>
      </c>
      <c r="E10" s="1008" t="s">
        <v>1558</v>
      </c>
      <c r="F10" s="1008" t="s">
        <v>1559</v>
      </c>
      <c r="G10" s="996"/>
    </row>
    <row r="11" spans="1:7" ht="21.75" x14ac:dyDescent="0.6">
      <c r="A11" s="1001"/>
      <c r="B11" s="1009" t="s">
        <v>1962</v>
      </c>
      <c r="C11" s="1010">
        <f>60+4</f>
        <v>64</v>
      </c>
      <c r="D11" s="1011" t="s">
        <v>1963</v>
      </c>
      <c r="E11" s="1012">
        <v>72</v>
      </c>
      <c r="F11" s="1013">
        <f t="shared" ref="F11:F20" si="0">E11*C11</f>
        <v>4608</v>
      </c>
      <c r="G11" s="996"/>
    </row>
    <row r="12" spans="1:7" ht="21.75" x14ac:dyDescent="0.6">
      <c r="A12" s="1001"/>
      <c r="B12" s="1009" t="s">
        <v>1964</v>
      </c>
      <c r="C12" s="1010">
        <v>1</v>
      </c>
      <c r="D12" s="1011" t="s">
        <v>1963</v>
      </c>
      <c r="E12" s="1012">
        <v>492</v>
      </c>
      <c r="F12" s="1013">
        <f t="shared" si="0"/>
        <v>492</v>
      </c>
      <c r="G12" s="996"/>
    </row>
    <row r="13" spans="1:7" ht="21.75" x14ac:dyDescent="0.6">
      <c r="A13" s="1001"/>
      <c r="B13" s="1009" t="s">
        <v>1965</v>
      </c>
      <c r="C13" s="1010">
        <v>0</v>
      </c>
      <c r="D13" s="1011" t="s">
        <v>1963</v>
      </c>
      <c r="E13" s="1012">
        <v>1310</v>
      </c>
      <c r="F13" s="1013">
        <f t="shared" si="0"/>
        <v>0</v>
      </c>
      <c r="G13" s="996"/>
    </row>
    <row r="14" spans="1:7" ht="21.75" x14ac:dyDescent="0.6">
      <c r="A14" s="1001"/>
      <c r="B14" s="1009" t="s">
        <v>1966</v>
      </c>
      <c r="C14" s="1010">
        <f>C12</f>
        <v>1</v>
      </c>
      <c r="D14" s="1011" t="s">
        <v>1963</v>
      </c>
      <c r="E14" s="1012">
        <v>169</v>
      </c>
      <c r="F14" s="1013">
        <f t="shared" si="0"/>
        <v>169</v>
      </c>
      <c r="G14" s="996"/>
    </row>
    <row r="15" spans="1:7" ht="21.75" x14ac:dyDescent="0.6">
      <c r="A15" s="1001"/>
      <c r="B15" s="1009" t="s">
        <v>1967</v>
      </c>
      <c r="C15" s="1010">
        <f>C13</f>
        <v>0</v>
      </c>
      <c r="D15" s="1011" t="s">
        <v>1963</v>
      </c>
      <c r="E15" s="1012">
        <v>179</v>
      </c>
      <c r="F15" s="1013">
        <f t="shared" si="0"/>
        <v>0</v>
      </c>
      <c r="G15" s="996"/>
    </row>
    <row r="16" spans="1:7" ht="21.75" x14ac:dyDescent="0.6">
      <c r="A16" s="1001"/>
      <c r="B16" s="1009" t="s">
        <v>1968</v>
      </c>
      <c r="C16" s="1010">
        <f>C14</f>
        <v>1</v>
      </c>
      <c r="D16" s="1011" t="s">
        <v>1963</v>
      </c>
      <c r="E16" s="1012">
        <v>188</v>
      </c>
      <c r="F16" s="1013">
        <f t="shared" si="0"/>
        <v>188</v>
      </c>
      <c r="G16" s="996"/>
    </row>
    <row r="17" spans="1:7" ht="21.75" x14ac:dyDescent="0.6">
      <c r="A17" s="1001"/>
      <c r="B17" s="1014" t="s">
        <v>1969</v>
      </c>
      <c r="C17" s="1010">
        <f>C14</f>
        <v>1</v>
      </c>
      <c r="D17" s="1011" t="s">
        <v>1963</v>
      </c>
      <c r="E17" s="1012">
        <v>520</v>
      </c>
      <c r="F17" s="1013">
        <f t="shared" si="0"/>
        <v>520</v>
      </c>
      <c r="G17" s="996"/>
    </row>
    <row r="18" spans="1:7" ht="21.75" x14ac:dyDescent="0.6">
      <c r="A18" s="1001"/>
      <c r="B18" s="1009" t="s">
        <v>1970</v>
      </c>
      <c r="C18" s="1010">
        <f>C14</f>
        <v>1</v>
      </c>
      <c r="D18" s="1011" t="s">
        <v>1963</v>
      </c>
      <c r="E18" s="1012">
        <v>95</v>
      </c>
      <c r="F18" s="1013">
        <f t="shared" si="0"/>
        <v>95</v>
      </c>
      <c r="G18" s="996"/>
    </row>
    <row r="19" spans="1:7" ht="21.75" x14ac:dyDescent="0.6">
      <c r="A19" s="1001"/>
      <c r="B19" s="1014" t="s">
        <v>1971</v>
      </c>
      <c r="C19" s="1010">
        <f>C13+C12</f>
        <v>1</v>
      </c>
      <c r="D19" s="1011" t="s">
        <v>1963</v>
      </c>
      <c r="E19" s="1012">
        <v>65</v>
      </c>
      <c r="F19" s="1013">
        <f t="shared" si="0"/>
        <v>65</v>
      </c>
      <c r="G19" s="996"/>
    </row>
    <row r="20" spans="1:7" ht="22.5" thickBot="1" x14ac:dyDescent="0.65">
      <c r="A20" s="1001"/>
      <c r="B20" s="1009" t="s">
        <v>1972</v>
      </c>
      <c r="C20" s="1010">
        <f>60+1</f>
        <v>61</v>
      </c>
      <c r="D20" s="1011" t="s">
        <v>1963</v>
      </c>
      <c r="E20" s="1012">
        <v>2.2000000000000002</v>
      </c>
      <c r="F20" s="1013">
        <f t="shared" si="0"/>
        <v>134.20000000000002</v>
      </c>
      <c r="G20" s="996"/>
    </row>
    <row r="21" spans="1:7" ht="22.5" thickBot="1" x14ac:dyDescent="0.65">
      <c r="A21" s="1001"/>
      <c r="B21" s="1015" t="s">
        <v>14</v>
      </c>
      <c r="C21" s="1016"/>
      <c r="D21" s="1017"/>
      <c r="E21" s="1018"/>
      <c r="F21" s="1019">
        <f>SUM(F11:F20)</f>
        <v>6271.2</v>
      </c>
      <c r="G21" s="996"/>
    </row>
    <row r="22" spans="1:7" ht="15.75" thickBot="1" x14ac:dyDescent="0.3">
      <c r="A22" s="1020"/>
      <c r="B22" s="1021"/>
      <c r="C22" s="1021"/>
      <c r="D22" s="1021"/>
      <c r="E22" s="1022"/>
      <c r="F22" s="1022"/>
      <c r="G22" s="1023"/>
    </row>
  </sheetData>
  <mergeCells count="2">
    <mergeCell ref="A4:G4"/>
    <mergeCell ref="A6:G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  <pageSetUpPr fitToPage="1"/>
  </sheetPr>
  <dimension ref="A1:Z180"/>
  <sheetViews>
    <sheetView showGridLines="0" view="pageBreakPreview" topLeftCell="A148" zoomScale="80" zoomScaleNormal="70" zoomScaleSheetLayoutView="80" workbookViewId="0">
      <selection activeCell="I169" sqref="I169"/>
    </sheetView>
  </sheetViews>
  <sheetFormatPr defaultColWidth="9.140625" defaultRowHeight="12.75" x14ac:dyDescent="0.2"/>
  <cols>
    <col min="1" max="1" width="24.5703125" style="549" customWidth="1"/>
    <col min="2" max="2" width="20.28515625" style="549" customWidth="1"/>
    <col min="3" max="3" width="63.42578125" style="549" customWidth="1"/>
    <col min="4" max="4" width="18.42578125" style="549" bestFit="1" customWidth="1"/>
    <col min="5" max="5" width="12.7109375" style="549" bestFit="1" customWidth="1"/>
    <col min="6" max="6" width="14.5703125" style="582" bestFit="1" customWidth="1"/>
    <col min="7" max="7" width="19.28515625" style="582" bestFit="1" customWidth="1"/>
    <col min="8" max="8" width="21.5703125" style="583" customWidth="1"/>
    <col min="9" max="9" width="22.5703125" style="584" bestFit="1" customWidth="1"/>
    <col min="10" max="16384" width="9.140625" style="549"/>
  </cols>
  <sheetData>
    <row r="1" spans="1:23" s="1025" customFormat="1" ht="15" x14ac:dyDescent="0.25">
      <c r="A1" s="343"/>
      <c r="B1" s="362" t="s">
        <v>172</v>
      </c>
      <c r="C1" s="339" t="s">
        <v>387</v>
      </c>
      <c r="D1" s="338"/>
      <c r="E1" s="338"/>
      <c r="F1" s="542"/>
      <c r="G1" s="542"/>
      <c r="H1" s="538"/>
      <c r="I1" s="549"/>
      <c r="J1" s="549"/>
      <c r="K1" s="549"/>
    </row>
    <row r="2" spans="1:23" s="1025" customFormat="1" ht="15" x14ac:dyDescent="0.25">
      <c r="A2" s="397"/>
      <c r="B2" s="362" t="s">
        <v>173</v>
      </c>
      <c r="C2" s="363" t="s">
        <v>388</v>
      </c>
      <c r="D2" s="339"/>
      <c r="E2" s="339"/>
      <c r="F2" s="543"/>
      <c r="G2" s="543"/>
      <c r="H2" s="540"/>
      <c r="I2" s="551"/>
      <c r="J2" s="551"/>
      <c r="K2" s="551"/>
      <c r="L2" s="551"/>
      <c r="M2" s="551"/>
      <c r="N2" s="551"/>
      <c r="O2" s="551"/>
      <c r="P2" s="551"/>
      <c r="Q2" s="551"/>
      <c r="R2" s="551"/>
      <c r="S2" s="551"/>
      <c r="T2" s="551"/>
      <c r="U2" s="551"/>
      <c r="V2" s="551"/>
      <c r="W2" s="551"/>
    </row>
    <row r="3" spans="1:23" s="1025" customFormat="1" ht="15" x14ac:dyDescent="0.25">
      <c r="A3" s="397"/>
      <c r="B3" s="362" t="s">
        <v>190</v>
      </c>
      <c r="C3" s="541">
        <v>45545</v>
      </c>
      <c r="D3" s="339"/>
      <c r="E3" s="339"/>
      <c r="F3" s="543"/>
      <c r="G3" s="543"/>
      <c r="H3" s="540"/>
      <c r="I3" s="551"/>
      <c r="J3" s="551"/>
      <c r="K3" s="551"/>
      <c r="L3" s="551"/>
      <c r="M3" s="551"/>
      <c r="N3" s="551"/>
      <c r="O3" s="551"/>
      <c r="P3" s="551"/>
      <c r="Q3" s="551"/>
      <c r="R3" s="551"/>
      <c r="S3" s="551"/>
      <c r="T3" s="551"/>
      <c r="U3" s="551"/>
      <c r="V3" s="551"/>
      <c r="W3" s="551"/>
    </row>
    <row r="4" spans="1:23" s="1025" customFormat="1" ht="15" x14ac:dyDescent="0.25">
      <c r="A4" s="344"/>
      <c r="B4" s="362" t="s">
        <v>174</v>
      </c>
      <c r="C4" s="633" t="s">
        <v>389</v>
      </c>
      <c r="D4" s="339"/>
      <c r="E4" s="339"/>
      <c r="F4" s="543"/>
      <c r="G4" s="543"/>
      <c r="H4" s="539"/>
      <c r="I4" s="1026"/>
      <c r="J4" s="1026"/>
      <c r="K4" s="1026"/>
    </row>
    <row r="5" spans="1:23" ht="24" customHeight="1" thickBot="1" x14ac:dyDescent="0.25">
      <c r="A5" s="1366" t="s">
        <v>226</v>
      </c>
      <c r="B5" s="1366"/>
      <c r="C5" s="1366"/>
      <c r="D5" s="1366"/>
      <c r="E5" s="1366"/>
      <c r="F5" s="1366"/>
      <c r="G5" s="1366"/>
      <c r="H5" s="1366"/>
      <c r="I5" s="549"/>
    </row>
    <row r="6" spans="1:23" s="559" customFormat="1" x14ac:dyDescent="0.2">
      <c r="A6" s="553" t="s">
        <v>225</v>
      </c>
      <c r="B6" s="553" t="s">
        <v>227</v>
      </c>
      <c r="C6" s="554" t="s">
        <v>0</v>
      </c>
      <c r="D6" s="554" t="s">
        <v>93</v>
      </c>
      <c r="E6" s="555" t="s">
        <v>87</v>
      </c>
      <c r="F6" s="556" t="s">
        <v>338</v>
      </c>
      <c r="G6" s="557" t="s">
        <v>310</v>
      </c>
      <c r="H6" s="558" t="s">
        <v>339</v>
      </c>
    </row>
    <row r="7" spans="1:23" s="559" customFormat="1" x14ac:dyDescent="0.2">
      <c r="A7" s="560" t="s">
        <v>337</v>
      </c>
      <c r="B7" s="561"/>
      <c r="C7" s="562" t="s">
        <v>331</v>
      </c>
      <c r="D7" s="563">
        <f ca="1">SUMIF(C8:D21,C7,D8:D21)</f>
        <v>37.79</v>
      </c>
      <c r="E7" s="564"/>
      <c r="F7" s="565">
        <f ca="1">G7/D7</f>
        <v>2474.8610743582958</v>
      </c>
      <c r="G7" s="563">
        <f ca="1">SUMIF(C8:G21,C8,G8:G21)</f>
        <v>93525</v>
      </c>
      <c r="H7" s="566"/>
    </row>
    <row r="8" spans="1:23" x14ac:dyDescent="0.2">
      <c r="A8" s="567" t="str">
        <f>A7</f>
        <v>TERREO</v>
      </c>
      <c r="B8" s="568" t="s">
        <v>1627</v>
      </c>
      <c r="C8" s="569" t="s">
        <v>331</v>
      </c>
      <c r="D8" s="570">
        <v>35.01</v>
      </c>
      <c r="E8" s="571"/>
      <c r="F8" s="572"/>
      <c r="G8" s="573">
        <f>SUM(G9:G17)</f>
        <v>87871</v>
      </c>
      <c r="H8" s="574"/>
      <c r="I8" s="549"/>
    </row>
    <row r="9" spans="1:23" x14ac:dyDescent="0.2">
      <c r="A9" s="567" t="str">
        <f>A7</f>
        <v>TERREO</v>
      </c>
      <c r="B9" s="575" t="str">
        <f>B8</f>
        <v>HALL DE ENTRADA</v>
      </c>
      <c r="C9" s="576" t="s">
        <v>1950</v>
      </c>
      <c r="D9" s="577">
        <v>1</v>
      </c>
      <c r="E9" s="578" t="s">
        <v>87</v>
      </c>
      <c r="F9" s="579">
        <v>4000</v>
      </c>
      <c r="G9" s="580">
        <f t="shared" ref="G9:G17" si="0">D9*F9</f>
        <v>4000</v>
      </c>
      <c r="H9" s="581"/>
      <c r="I9" s="549"/>
    </row>
    <row r="10" spans="1:23" x14ac:dyDescent="0.2">
      <c r="A10" s="567" t="str">
        <f>A8</f>
        <v>TERREO</v>
      </c>
      <c r="B10" s="575" t="str">
        <f>B9</f>
        <v>HALL DE ENTRADA</v>
      </c>
      <c r="C10" s="576" t="s">
        <v>1951</v>
      </c>
      <c r="D10" s="577">
        <v>2</v>
      </c>
      <c r="E10" s="578" t="s">
        <v>87</v>
      </c>
      <c r="F10" s="579">
        <v>1200</v>
      </c>
      <c r="G10" s="580">
        <f t="shared" si="0"/>
        <v>2400</v>
      </c>
      <c r="H10" s="581"/>
      <c r="I10" s="549"/>
    </row>
    <row r="11" spans="1:23" ht="14.25" customHeight="1" x14ac:dyDescent="0.2">
      <c r="A11" s="567" t="str">
        <f>A9</f>
        <v>TERREO</v>
      </c>
      <c r="B11" s="575" t="str">
        <f>B8</f>
        <v>HALL DE ENTRADA</v>
      </c>
      <c r="C11" s="576" t="s">
        <v>1952</v>
      </c>
      <c r="D11" s="577">
        <v>3</v>
      </c>
      <c r="E11" s="578" t="s">
        <v>87</v>
      </c>
      <c r="F11" s="579">
        <v>500</v>
      </c>
      <c r="G11" s="580">
        <f t="shared" si="0"/>
        <v>1500</v>
      </c>
      <c r="H11" s="581"/>
      <c r="I11" s="549"/>
    </row>
    <row r="12" spans="1:23" ht="14.25" customHeight="1" x14ac:dyDescent="0.2">
      <c r="A12" s="567" t="str">
        <f>A10</f>
        <v>TERREO</v>
      </c>
      <c r="B12" s="575" t="str">
        <f>B9</f>
        <v>HALL DE ENTRADA</v>
      </c>
      <c r="C12" s="576" t="s">
        <v>1613</v>
      </c>
      <c r="D12" s="577">
        <v>1</v>
      </c>
      <c r="E12" s="578" t="s">
        <v>87</v>
      </c>
      <c r="F12" s="579">
        <v>2800</v>
      </c>
      <c r="G12" s="580">
        <f t="shared" si="0"/>
        <v>2800</v>
      </c>
      <c r="H12" s="581"/>
      <c r="I12" s="549"/>
    </row>
    <row r="13" spans="1:23" x14ac:dyDescent="0.2">
      <c r="A13" s="567" t="str">
        <f>A10</f>
        <v>TERREO</v>
      </c>
      <c r="B13" s="575" t="str">
        <f>B11</f>
        <v>HALL DE ENTRADA</v>
      </c>
      <c r="C13" s="576" t="s">
        <v>1585</v>
      </c>
      <c r="D13" s="577">
        <v>1</v>
      </c>
      <c r="E13" s="578" t="s">
        <v>87</v>
      </c>
      <c r="F13" s="579">
        <v>1700</v>
      </c>
      <c r="G13" s="580">
        <f t="shared" si="0"/>
        <v>1700</v>
      </c>
      <c r="H13" s="581"/>
      <c r="I13" s="549"/>
    </row>
    <row r="14" spans="1:23" x14ac:dyDescent="0.2">
      <c r="A14" s="567" t="str">
        <f>A10</f>
        <v>TERREO</v>
      </c>
      <c r="B14" s="575" t="str">
        <f>B9</f>
        <v>HALL DE ENTRADA</v>
      </c>
      <c r="C14" s="576" t="s">
        <v>1615</v>
      </c>
      <c r="D14" s="577">
        <v>3</v>
      </c>
      <c r="E14" s="578" t="s">
        <v>87</v>
      </c>
      <c r="F14" s="579">
        <v>450</v>
      </c>
      <c r="G14" s="580">
        <f t="shared" si="0"/>
        <v>1350</v>
      </c>
      <c r="H14" s="581"/>
      <c r="I14" s="549"/>
    </row>
    <row r="15" spans="1:23" x14ac:dyDescent="0.2">
      <c r="A15" s="567" t="str">
        <f>A11</f>
        <v>TERREO</v>
      </c>
      <c r="B15" s="575" t="str">
        <f>B10</f>
        <v>HALL DE ENTRADA</v>
      </c>
      <c r="C15" s="576" t="s">
        <v>1953</v>
      </c>
      <c r="D15" s="577">
        <v>1</v>
      </c>
      <c r="E15" s="578" t="s">
        <v>1954</v>
      </c>
      <c r="F15" s="579">
        <f>1800*D8</f>
        <v>63018</v>
      </c>
      <c r="G15" s="580">
        <f t="shared" si="0"/>
        <v>63018</v>
      </c>
      <c r="H15" s="581"/>
      <c r="I15" s="549"/>
    </row>
    <row r="16" spans="1:23" x14ac:dyDescent="0.2">
      <c r="A16" s="567" t="str">
        <f>A13</f>
        <v>TERREO</v>
      </c>
      <c r="B16" s="575" t="str">
        <f>B11</f>
        <v>HALL DE ENTRADA</v>
      </c>
      <c r="C16" s="576" t="s">
        <v>1598</v>
      </c>
      <c r="D16" s="577">
        <v>1</v>
      </c>
      <c r="E16" s="578" t="s">
        <v>1954</v>
      </c>
      <c r="F16" s="579">
        <f>300*D8</f>
        <v>10503</v>
      </c>
      <c r="G16" s="580">
        <f t="shared" si="0"/>
        <v>10503</v>
      </c>
      <c r="H16" s="581"/>
      <c r="I16" s="549"/>
    </row>
    <row r="17" spans="1:10" x14ac:dyDescent="0.2">
      <c r="A17" s="567" t="str">
        <f>A11</f>
        <v>TERREO</v>
      </c>
      <c r="B17" s="575" t="str">
        <f>B14</f>
        <v>HALL DE ENTRADA</v>
      </c>
      <c r="C17" s="576" t="s">
        <v>1597</v>
      </c>
      <c r="D17" s="577">
        <v>1</v>
      </c>
      <c r="E17" s="578" t="s">
        <v>87</v>
      </c>
      <c r="F17" s="579">
        <v>600</v>
      </c>
      <c r="G17" s="580">
        <f t="shared" si="0"/>
        <v>600</v>
      </c>
      <c r="H17" s="581"/>
      <c r="I17" s="549"/>
    </row>
    <row r="18" spans="1:10" ht="14.45" customHeight="1" x14ac:dyDescent="0.2">
      <c r="A18" s="567" t="str">
        <f>A17</f>
        <v>TERREO</v>
      </c>
      <c r="B18" s="568" t="s">
        <v>1975</v>
      </c>
      <c r="C18" s="569" t="s">
        <v>331</v>
      </c>
      <c r="D18" s="570">
        <v>2.78</v>
      </c>
      <c r="E18" s="571"/>
      <c r="F18" s="951">
        <f>G18/D18</f>
        <v>2033.812949640288</v>
      </c>
      <c r="G18" s="572">
        <f>SUM(G19:G21)</f>
        <v>5654</v>
      </c>
      <c r="H18" s="574"/>
      <c r="I18" s="549"/>
    </row>
    <row r="19" spans="1:10" ht="14.45" customHeight="1" x14ac:dyDescent="0.2">
      <c r="A19" s="567" t="str">
        <f>A18</f>
        <v>TERREO</v>
      </c>
      <c r="B19" s="575" t="str">
        <f>B18</f>
        <v>BANHEIROS</v>
      </c>
      <c r="C19" s="1027" t="s">
        <v>1616</v>
      </c>
      <c r="D19" s="577">
        <v>1</v>
      </c>
      <c r="E19" s="578" t="s">
        <v>87</v>
      </c>
      <c r="F19" s="579">
        <f>D18*1800</f>
        <v>5004</v>
      </c>
      <c r="G19" s="580">
        <f>D19*F19</f>
        <v>5004</v>
      </c>
      <c r="H19" s="581"/>
      <c r="I19" s="549"/>
    </row>
    <row r="20" spans="1:10" ht="14.45" customHeight="1" x14ac:dyDescent="0.2">
      <c r="A20" s="567" t="str">
        <f>A19</f>
        <v>TERREO</v>
      </c>
      <c r="B20" s="575" t="str">
        <f>B19</f>
        <v>BANHEIROS</v>
      </c>
      <c r="C20" s="1027" t="s">
        <v>1976</v>
      </c>
      <c r="D20" s="577">
        <v>1</v>
      </c>
      <c r="E20" s="578" t="s">
        <v>87</v>
      </c>
      <c r="F20" s="579">
        <v>500</v>
      </c>
      <c r="G20" s="580">
        <f>D20*F20</f>
        <v>500</v>
      </c>
      <c r="H20" s="581"/>
      <c r="I20" s="549"/>
    </row>
    <row r="21" spans="1:10" ht="14.45" customHeight="1" x14ac:dyDescent="0.2">
      <c r="A21" s="567" t="str">
        <f>A20</f>
        <v>TERREO</v>
      </c>
      <c r="B21" s="575" t="str">
        <f>B20</f>
        <v>BANHEIROS</v>
      </c>
      <c r="C21" s="1027" t="s">
        <v>1597</v>
      </c>
      <c r="D21" s="577">
        <v>1</v>
      </c>
      <c r="E21" s="578" t="s">
        <v>87</v>
      </c>
      <c r="F21" s="579">
        <v>150</v>
      </c>
      <c r="G21" s="580">
        <f>D21*F21</f>
        <v>150</v>
      </c>
      <c r="H21" s="581"/>
      <c r="I21" s="549"/>
    </row>
    <row r="22" spans="1:10" ht="14.45" customHeight="1" x14ac:dyDescent="0.2">
      <c r="A22" s="560" t="s">
        <v>229</v>
      </c>
      <c r="B22" s="561"/>
      <c r="C22" s="562" t="s">
        <v>331</v>
      </c>
      <c r="D22" s="563">
        <f ca="1">SUMIF(C23:D153,C22,D23:D153)</f>
        <v>364.13</v>
      </c>
      <c r="E22" s="564"/>
      <c r="F22" s="565">
        <f ca="1">G22/D22</f>
        <v>1900.2271166890944</v>
      </c>
      <c r="G22" s="563">
        <f ca="1">SUMIF(C23:G155,C22,G23:G155)</f>
        <v>691929.7</v>
      </c>
      <c r="H22" s="566"/>
      <c r="I22" s="549"/>
    </row>
    <row r="23" spans="1:10" ht="14.45" customHeight="1" x14ac:dyDescent="0.2">
      <c r="A23" s="567" t="str">
        <f t="shared" ref="A23:A41" si="1">A22</f>
        <v>LAZER</v>
      </c>
      <c r="B23" s="568" t="s">
        <v>1576</v>
      </c>
      <c r="C23" s="569" t="s">
        <v>331</v>
      </c>
      <c r="D23" s="570">
        <v>29.2</v>
      </c>
      <c r="E23" s="571"/>
      <c r="F23" s="951">
        <f>G23/D23</f>
        <v>2210.2397260273974</v>
      </c>
      <c r="G23" s="572">
        <f>SUM(G24:G36)</f>
        <v>64539</v>
      </c>
      <c r="H23" s="574"/>
      <c r="I23" s="549"/>
    </row>
    <row r="24" spans="1:10" ht="14.45" customHeight="1" x14ac:dyDescent="0.2">
      <c r="A24" s="567" t="str">
        <f t="shared" si="1"/>
        <v>LAZER</v>
      </c>
      <c r="B24" s="575" t="str">
        <f>B23</f>
        <v>ESPAÇO FITNESS</v>
      </c>
      <c r="C24" s="576" t="s">
        <v>1577</v>
      </c>
      <c r="D24" s="577">
        <v>2</v>
      </c>
      <c r="E24" s="578" t="s">
        <v>87</v>
      </c>
      <c r="F24" s="579">
        <v>5000</v>
      </c>
      <c r="G24" s="580">
        <f>D24*F24</f>
        <v>10000</v>
      </c>
      <c r="H24" s="581"/>
      <c r="I24" s="549"/>
    </row>
    <row r="25" spans="1:10" ht="14.45" customHeight="1" x14ac:dyDescent="0.2">
      <c r="A25" s="567" t="str">
        <f t="shared" si="1"/>
        <v>LAZER</v>
      </c>
      <c r="B25" s="575" t="str">
        <f>B23</f>
        <v>ESPAÇO FITNESS</v>
      </c>
      <c r="C25" s="576" t="s">
        <v>1955</v>
      </c>
      <c r="D25" s="577">
        <v>1</v>
      </c>
      <c r="E25" s="578" t="s">
        <v>1954</v>
      </c>
      <c r="F25" s="579">
        <f>1800*D23*0.5</f>
        <v>26280</v>
      </c>
      <c r="G25" s="580">
        <f>D25*F25</f>
        <v>26280</v>
      </c>
      <c r="H25" s="581"/>
      <c r="I25" s="549"/>
    </row>
    <row r="26" spans="1:10" ht="14.45" customHeight="1" x14ac:dyDescent="0.2">
      <c r="A26" s="567" t="str">
        <f t="shared" si="1"/>
        <v>LAZER</v>
      </c>
      <c r="B26" s="575" t="str">
        <f>B24</f>
        <v>ESPAÇO FITNESS</v>
      </c>
      <c r="C26" s="576" t="s">
        <v>1578</v>
      </c>
      <c r="D26" s="577">
        <v>2</v>
      </c>
      <c r="E26" s="578" t="s">
        <v>87</v>
      </c>
      <c r="F26" s="579">
        <v>2500</v>
      </c>
      <c r="G26" s="580">
        <f t="shared" ref="G26:G60" si="2">D26*F26</f>
        <v>5000</v>
      </c>
      <c r="H26" s="581"/>
      <c r="I26" s="549"/>
    </row>
    <row r="27" spans="1:10" ht="14.45" customHeight="1" x14ac:dyDescent="0.2">
      <c r="A27" s="567" t="str">
        <f t="shared" si="1"/>
        <v>LAZER</v>
      </c>
      <c r="B27" s="575" t="str">
        <f>B26</f>
        <v>ESPAÇO FITNESS</v>
      </c>
      <c r="C27" s="576" t="s">
        <v>1579</v>
      </c>
      <c r="D27" s="577">
        <v>1</v>
      </c>
      <c r="E27" s="578" t="s">
        <v>87</v>
      </c>
      <c r="F27" s="579">
        <v>2000</v>
      </c>
      <c r="G27" s="580">
        <f t="shared" si="2"/>
        <v>2000</v>
      </c>
      <c r="H27" s="581"/>
      <c r="I27" s="549"/>
    </row>
    <row r="28" spans="1:10" ht="14.45" customHeight="1" x14ac:dyDescent="0.2">
      <c r="A28" s="567" t="str">
        <f t="shared" si="1"/>
        <v>LAZER</v>
      </c>
      <c r="B28" s="575" t="str">
        <f>B27</f>
        <v>ESPAÇO FITNESS</v>
      </c>
      <c r="C28" s="576" t="s">
        <v>1580</v>
      </c>
      <c r="D28" s="577">
        <v>1</v>
      </c>
      <c r="E28" s="578" t="s">
        <v>87</v>
      </c>
      <c r="F28" s="579">
        <v>2000</v>
      </c>
      <c r="G28" s="580">
        <f t="shared" si="2"/>
        <v>2000</v>
      </c>
      <c r="H28" s="581"/>
      <c r="I28" s="549"/>
      <c r="J28"/>
    </row>
    <row r="29" spans="1:10" ht="14.45" customHeight="1" x14ac:dyDescent="0.2">
      <c r="A29" s="567" t="str">
        <f t="shared" si="1"/>
        <v>LAZER</v>
      </c>
      <c r="B29" s="575" t="str">
        <f>B28</f>
        <v>ESPAÇO FITNESS</v>
      </c>
      <c r="C29" s="576" t="s">
        <v>1977</v>
      </c>
      <c r="D29" s="577">
        <v>1</v>
      </c>
      <c r="E29" s="578" t="s">
        <v>87</v>
      </c>
      <c r="F29" s="579">
        <v>2000</v>
      </c>
      <c r="G29" s="580">
        <f t="shared" si="2"/>
        <v>2000</v>
      </c>
      <c r="H29" s="581"/>
      <c r="I29" s="549"/>
    </row>
    <row r="30" spans="1:10" ht="14.45" customHeight="1" x14ac:dyDescent="0.2">
      <c r="A30" s="567" t="str">
        <f t="shared" si="1"/>
        <v>LAZER</v>
      </c>
      <c r="B30" s="575" t="str">
        <f>B29</f>
        <v>ESPAÇO FITNESS</v>
      </c>
      <c r="C30" s="576" t="s">
        <v>1581</v>
      </c>
      <c r="D30" s="577">
        <v>1</v>
      </c>
      <c r="E30" s="578" t="s">
        <v>87</v>
      </c>
      <c r="F30" s="579">
        <v>500</v>
      </c>
      <c r="G30" s="580">
        <f t="shared" si="2"/>
        <v>500</v>
      </c>
      <c r="H30" s="581"/>
      <c r="I30" s="549"/>
    </row>
    <row r="31" spans="1:10" ht="25.5" x14ac:dyDescent="0.2">
      <c r="A31" s="567" t="str">
        <f t="shared" si="1"/>
        <v>LAZER</v>
      </c>
      <c r="B31" s="575" t="str">
        <f>B30</f>
        <v>ESPAÇO FITNESS</v>
      </c>
      <c r="C31" s="576" t="s">
        <v>1956</v>
      </c>
      <c r="D31" s="577">
        <v>1</v>
      </c>
      <c r="E31" s="578" t="s">
        <v>87</v>
      </c>
      <c r="F31" s="579">
        <v>3599</v>
      </c>
      <c r="G31" s="580">
        <f>D31*F31</f>
        <v>3599</v>
      </c>
      <c r="H31" s="581"/>
      <c r="I31" s="549"/>
    </row>
    <row r="32" spans="1:10" ht="14.45" customHeight="1" x14ac:dyDescent="0.2">
      <c r="A32" s="567" t="str">
        <f t="shared" si="1"/>
        <v>LAZER</v>
      </c>
      <c r="B32" s="575" t="str">
        <f>B30</f>
        <v>ESPAÇO FITNESS</v>
      </c>
      <c r="C32" s="576" t="s">
        <v>1582</v>
      </c>
      <c r="D32" s="577">
        <v>5</v>
      </c>
      <c r="E32" s="578" t="s">
        <v>87</v>
      </c>
      <c r="F32" s="579">
        <v>150</v>
      </c>
      <c r="G32" s="580">
        <f t="shared" si="2"/>
        <v>750</v>
      </c>
      <c r="H32" s="581"/>
      <c r="I32" s="549"/>
    </row>
    <row r="33" spans="1:9" ht="14.45" customHeight="1" x14ac:dyDescent="0.2">
      <c r="A33" s="567" t="str">
        <f t="shared" si="1"/>
        <v>LAZER</v>
      </c>
      <c r="B33" s="575" t="str">
        <f>B31</f>
        <v>ESPAÇO FITNESS</v>
      </c>
      <c r="C33" s="576" t="s">
        <v>1584</v>
      </c>
      <c r="D33" s="577">
        <v>5</v>
      </c>
      <c r="E33" s="578" t="s">
        <v>87</v>
      </c>
      <c r="F33" s="579">
        <v>250</v>
      </c>
      <c r="G33" s="580">
        <f t="shared" si="2"/>
        <v>1250</v>
      </c>
      <c r="H33" s="581"/>
      <c r="I33" s="549"/>
    </row>
    <row r="34" spans="1:9" x14ac:dyDescent="0.2">
      <c r="A34" s="567" t="str">
        <f t="shared" si="1"/>
        <v>LAZER</v>
      </c>
      <c r="B34" s="575" t="str">
        <f>B32</f>
        <v>ESPAÇO FITNESS</v>
      </c>
      <c r="C34" s="576" t="s">
        <v>1598</v>
      </c>
      <c r="D34" s="577">
        <v>3</v>
      </c>
      <c r="E34" s="578" t="s">
        <v>87</v>
      </c>
      <c r="F34" s="579">
        <f>300*D26</f>
        <v>600</v>
      </c>
      <c r="G34" s="580">
        <f>D34*F34</f>
        <v>1800</v>
      </c>
      <c r="H34" s="581"/>
      <c r="I34" s="549"/>
    </row>
    <row r="35" spans="1:9" ht="14.45" customHeight="1" x14ac:dyDescent="0.2">
      <c r="A35" s="567" t="str">
        <f t="shared" si="1"/>
        <v>LAZER</v>
      </c>
      <c r="B35" s="575" t="str">
        <f>B33</f>
        <v>ESPAÇO FITNESS</v>
      </c>
      <c r="C35" s="576" t="s">
        <v>1597</v>
      </c>
      <c r="D35" s="577">
        <v>1</v>
      </c>
      <c r="E35" s="578" t="s">
        <v>1954</v>
      </c>
      <c r="F35" s="579">
        <f>300*D23</f>
        <v>8760</v>
      </c>
      <c r="G35" s="580">
        <f t="shared" si="2"/>
        <v>8760</v>
      </c>
      <c r="H35" s="581"/>
      <c r="I35" s="549"/>
    </row>
    <row r="36" spans="1:9" ht="14.45" customHeight="1" x14ac:dyDescent="0.2">
      <c r="A36" s="567" t="str">
        <f t="shared" si="1"/>
        <v>LAZER</v>
      </c>
      <c r="B36" s="575" t="str">
        <f>B34</f>
        <v>ESPAÇO FITNESS</v>
      </c>
      <c r="C36" s="576" t="s">
        <v>1686</v>
      </c>
      <c r="D36" s="577">
        <v>4</v>
      </c>
      <c r="E36" s="578" t="s">
        <v>87</v>
      </c>
      <c r="F36" s="579">
        <v>150</v>
      </c>
      <c r="G36" s="580">
        <f t="shared" si="2"/>
        <v>600</v>
      </c>
      <c r="H36" s="581"/>
      <c r="I36" s="549"/>
    </row>
    <row r="37" spans="1:9" ht="14.45" customHeight="1" x14ac:dyDescent="0.2">
      <c r="A37" s="567" t="str">
        <f t="shared" si="1"/>
        <v>LAZER</v>
      </c>
      <c r="B37" s="568" t="s">
        <v>1608</v>
      </c>
      <c r="C37" s="569" t="s">
        <v>331</v>
      </c>
      <c r="D37" s="570">
        <v>13.3</v>
      </c>
      <c r="E37" s="571"/>
      <c r="F37" s="951">
        <f>G37/D37</f>
        <v>1544.7368421052631</v>
      </c>
      <c r="G37" s="572">
        <f>SUM(G38:G46)</f>
        <v>20545</v>
      </c>
      <c r="H37" s="574"/>
      <c r="I37" s="549"/>
    </row>
    <row r="38" spans="1:9" ht="14.45" customHeight="1" x14ac:dyDescent="0.2">
      <c r="A38" s="567" t="str">
        <f t="shared" si="1"/>
        <v>LAZER</v>
      </c>
      <c r="B38" s="575" t="str">
        <f>B37</f>
        <v>ESPAÇO FITNESS ABERTO</v>
      </c>
      <c r="C38" s="576" t="s">
        <v>1978</v>
      </c>
      <c r="D38" s="577">
        <v>1</v>
      </c>
      <c r="E38" s="578" t="s">
        <v>87</v>
      </c>
      <c r="F38" s="579">
        <v>7500</v>
      </c>
      <c r="G38" s="580">
        <f t="shared" ref="G38:G44" si="3">D38*F38</f>
        <v>7500</v>
      </c>
      <c r="H38" s="581"/>
      <c r="I38" s="549"/>
    </row>
    <row r="39" spans="1:9" ht="14.45" customHeight="1" x14ac:dyDescent="0.2">
      <c r="A39" s="567" t="str">
        <f t="shared" si="1"/>
        <v>LAZER</v>
      </c>
      <c r="B39" s="575" t="str">
        <f>B38</f>
        <v>ESPAÇO FITNESS ABERTO</v>
      </c>
      <c r="C39" s="576" t="s">
        <v>1979</v>
      </c>
      <c r="D39" s="577">
        <v>1</v>
      </c>
      <c r="E39" s="578" t="s">
        <v>87</v>
      </c>
      <c r="F39" s="579">
        <v>3000</v>
      </c>
      <c r="G39" s="580">
        <f t="shared" si="3"/>
        <v>3000</v>
      </c>
      <c r="H39" s="581"/>
      <c r="I39" s="549"/>
    </row>
    <row r="40" spans="1:9" ht="14.45" customHeight="1" x14ac:dyDescent="0.2">
      <c r="A40" s="567" t="str">
        <f t="shared" si="1"/>
        <v>LAZER</v>
      </c>
      <c r="B40" s="575" t="str">
        <f>B39</f>
        <v>ESPAÇO FITNESS ABERTO</v>
      </c>
      <c r="C40" s="576" t="s">
        <v>1980</v>
      </c>
      <c r="D40" s="577">
        <v>1</v>
      </c>
      <c r="E40" s="578" t="s">
        <v>87</v>
      </c>
      <c r="F40" s="579">
        <v>1500</v>
      </c>
      <c r="G40" s="580">
        <f>D40*F40</f>
        <v>1500</v>
      </c>
      <c r="H40" s="581"/>
      <c r="I40" s="549"/>
    </row>
    <row r="41" spans="1:9" ht="14.45" customHeight="1" x14ac:dyDescent="0.2">
      <c r="A41" s="567" t="str">
        <f t="shared" si="1"/>
        <v>LAZER</v>
      </c>
      <c r="B41" s="575" t="str">
        <f>B40</f>
        <v>ESPAÇO FITNESS ABERTO</v>
      </c>
      <c r="C41" s="576" t="s">
        <v>1981</v>
      </c>
      <c r="D41" s="577">
        <v>1</v>
      </c>
      <c r="E41" s="578" t="s">
        <v>87</v>
      </c>
      <c r="F41" s="579">
        <v>500</v>
      </c>
      <c r="G41" s="580">
        <f>D41*F41</f>
        <v>500</v>
      </c>
      <c r="H41" s="581"/>
      <c r="I41" s="549"/>
    </row>
    <row r="42" spans="1:9" ht="14.45" customHeight="1" x14ac:dyDescent="0.2">
      <c r="A42" s="567" t="str">
        <f>A39</f>
        <v>LAZER</v>
      </c>
      <c r="B42" s="575" t="str">
        <f>B39</f>
        <v>ESPAÇO FITNESS ABERTO</v>
      </c>
      <c r="C42" s="1027" t="s">
        <v>1957</v>
      </c>
      <c r="D42" s="577">
        <v>1</v>
      </c>
      <c r="E42" s="578" t="s">
        <v>87</v>
      </c>
      <c r="F42" s="579">
        <v>1800</v>
      </c>
      <c r="G42" s="580">
        <f t="shared" si="3"/>
        <v>1800</v>
      </c>
      <c r="H42" s="581"/>
      <c r="I42" s="549"/>
    </row>
    <row r="43" spans="1:9" ht="14.45" customHeight="1" x14ac:dyDescent="0.2">
      <c r="A43" s="567" t="str">
        <f>A42</f>
        <v>LAZER</v>
      </c>
      <c r="B43" s="575" t="str">
        <f>B42</f>
        <v>ESPAÇO FITNESS ABERTO</v>
      </c>
      <c r="C43" s="576" t="s">
        <v>1583</v>
      </c>
      <c r="D43" s="577">
        <v>2</v>
      </c>
      <c r="E43" s="578" t="s">
        <v>87</v>
      </c>
      <c r="F43" s="579">
        <v>150</v>
      </c>
      <c r="G43" s="580">
        <f>D43*F43</f>
        <v>300</v>
      </c>
      <c r="H43" s="581"/>
      <c r="I43" s="549"/>
    </row>
    <row r="44" spans="1:9" ht="14.45" customHeight="1" x14ac:dyDescent="0.2">
      <c r="A44" s="567" t="str">
        <f>A43</f>
        <v>LAZER</v>
      </c>
      <c r="B44" s="575" t="str">
        <f>B42</f>
        <v>ESPAÇO FITNESS ABERTO</v>
      </c>
      <c r="C44" s="576" t="s">
        <v>1687</v>
      </c>
      <c r="D44" s="577">
        <v>4</v>
      </c>
      <c r="E44" s="578" t="s">
        <v>87</v>
      </c>
      <c r="F44" s="579">
        <v>800</v>
      </c>
      <c r="G44" s="580">
        <f t="shared" si="3"/>
        <v>3200</v>
      </c>
      <c r="H44" s="581"/>
      <c r="I44"/>
    </row>
    <row r="45" spans="1:9" ht="14.45" customHeight="1" x14ac:dyDescent="0.2">
      <c r="A45" s="567" t="str">
        <f>A43</f>
        <v>LAZER</v>
      </c>
      <c r="B45" s="575" t="str">
        <f>B41</f>
        <v>ESPAÇO FITNESS ABERTO</v>
      </c>
      <c r="C45" s="576" t="s">
        <v>1982</v>
      </c>
      <c r="D45" s="577">
        <f>D37</f>
        <v>13.3</v>
      </c>
      <c r="E45" s="578" t="s">
        <v>87</v>
      </c>
      <c r="F45" s="579">
        <v>150</v>
      </c>
      <c r="G45" s="580">
        <f>D45*F45</f>
        <v>1995</v>
      </c>
      <c r="H45" s="581"/>
      <c r="I45" s="549"/>
    </row>
    <row r="46" spans="1:9" ht="14.45" customHeight="1" x14ac:dyDescent="0.2">
      <c r="A46" s="567" t="str">
        <f>A44</f>
        <v>LAZER</v>
      </c>
      <c r="B46" s="575" t="str">
        <f>B42</f>
        <v>ESPAÇO FITNESS ABERTO</v>
      </c>
      <c r="C46" s="576" t="s">
        <v>1584</v>
      </c>
      <c r="D46" s="577">
        <v>5</v>
      </c>
      <c r="E46" s="578" t="s">
        <v>87</v>
      </c>
      <c r="F46" s="579">
        <v>150</v>
      </c>
      <c r="G46" s="580">
        <f>D46*F46</f>
        <v>750</v>
      </c>
      <c r="H46" s="581"/>
      <c r="I46" s="549"/>
    </row>
    <row r="47" spans="1:9" ht="14.45" customHeight="1" x14ac:dyDescent="0.2">
      <c r="A47" s="567" t="str">
        <f t="shared" ref="A47:A58" si="4">A46</f>
        <v>LAZER</v>
      </c>
      <c r="B47" s="568" t="s">
        <v>1958</v>
      </c>
      <c r="C47" s="569" t="s">
        <v>331</v>
      </c>
      <c r="D47" s="570">
        <v>14.32</v>
      </c>
      <c r="E47" s="571"/>
      <c r="F47" s="951">
        <f>G47/D47</f>
        <v>2698.2541899441339</v>
      </c>
      <c r="G47" s="572">
        <f>SUM(G48:G60)</f>
        <v>38639</v>
      </c>
      <c r="H47" s="574"/>
      <c r="I47" s="549"/>
    </row>
    <row r="48" spans="1:9" ht="14.45" customHeight="1" x14ac:dyDescent="0.2">
      <c r="A48" s="567" t="str">
        <f t="shared" si="4"/>
        <v>LAZER</v>
      </c>
      <c r="B48" s="575" t="str">
        <f>B47</f>
        <v>BRINQUEDOTECA</v>
      </c>
      <c r="C48" s="576" t="s">
        <v>1959</v>
      </c>
      <c r="D48" s="577">
        <v>1</v>
      </c>
      <c r="E48" s="578" t="s">
        <v>87</v>
      </c>
      <c r="F48" s="579">
        <v>1200</v>
      </c>
      <c r="G48" s="580">
        <f t="shared" si="2"/>
        <v>1200</v>
      </c>
      <c r="H48" s="581"/>
      <c r="I48" s="549"/>
    </row>
    <row r="49" spans="1:9" ht="14.45" customHeight="1" x14ac:dyDescent="0.2">
      <c r="A49" s="567" t="str">
        <f t="shared" si="4"/>
        <v>LAZER</v>
      </c>
      <c r="B49" s="575" t="str">
        <f>B47</f>
        <v>BRINQUEDOTECA</v>
      </c>
      <c r="C49" s="576" t="s">
        <v>1983</v>
      </c>
      <c r="D49" s="577">
        <v>1</v>
      </c>
      <c r="E49" s="578" t="s">
        <v>87</v>
      </c>
      <c r="F49" s="579">
        <f>2000*D47</f>
        <v>28640</v>
      </c>
      <c r="G49" s="580">
        <f>D49*F49</f>
        <v>28640</v>
      </c>
      <c r="H49" s="581"/>
      <c r="I49" s="549"/>
    </row>
    <row r="50" spans="1:9" ht="14.45" customHeight="1" x14ac:dyDescent="0.2">
      <c r="A50" s="567" t="str">
        <f t="shared" si="4"/>
        <v>LAZER</v>
      </c>
      <c r="B50" s="575" t="str">
        <f>B48</f>
        <v>BRINQUEDOTECA</v>
      </c>
      <c r="C50" s="576" t="s">
        <v>1586</v>
      </c>
      <c r="D50" s="577">
        <v>3</v>
      </c>
      <c r="E50" s="578" t="s">
        <v>87</v>
      </c>
      <c r="F50" s="579">
        <v>400</v>
      </c>
      <c r="G50" s="580">
        <f t="shared" si="2"/>
        <v>1200</v>
      </c>
      <c r="H50" s="581"/>
      <c r="I50" s="549"/>
    </row>
    <row r="51" spans="1:9" ht="14.45" customHeight="1" x14ac:dyDescent="0.2">
      <c r="A51" s="567" t="str">
        <f t="shared" si="4"/>
        <v>LAZER</v>
      </c>
      <c r="B51" s="575" t="str">
        <f>B50</f>
        <v>BRINQUEDOTECA</v>
      </c>
      <c r="C51" s="576" t="s">
        <v>1587</v>
      </c>
      <c r="D51" s="577">
        <v>4</v>
      </c>
      <c r="E51" s="578" t="s">
        <v>87</v>
      </c>
      <c r="F51" s="579">
        <v>100</v>
      </c>
      <c r="G51" s="580">
        <f t="shared" si="2"/>
        <v>400</v>
      </c>
      <c r="H51" s="581"/>
      <c r="I51" s="549"/>
    </row>
    <row r="52" spans="1:9" ht="14.45" customHeight="1" x14ac:dyDescent="0.2">
      <c r="A52" s="567" t="str">
        <f t="shared" si="4"/>
        <v>LAZER</v>
      </c>
      <c r="B52" s="575" t="str">
        <f>B51</f>
        <v>BRINQUEDOTECA</v>
      </c>
      <c r="C52" s="576" t="s">
        <v>1588</v>
      </c>
      <c r="D52" s="577">
        <v>2</v>
      </c>
      <c r="E52" s="578" t="s">
        <v>87</v>
      </c>
      <c r="F52" s="579">
        <v>150</v>
      </c>
      <c r="G52" s="580">
        <f t="shared" si="2"/>
        <v>300</v>
      </c>
      <c r="H52" s="581"/>
      <c r="I52" s="549"/>
    </row>
    <row r="53" spans="1:9" ht="25.5" x14ac:dyDescent="0.2">
      <c r="A53" s="567" t="str">
        <f t="shared" si="4"/>
        <v>LAZER</v>
      </c>
      <c r="B53" s="575" t="str">
        <f>B51</f>
        <v>BRINQUEDOTECA</v>
      </c>
      <c r="C53" s="576" t="s">
        <v>1956</v>
      </c>
      <c r="D53" s="577">
        <v>1</v>
      </c>
      <c r="E53" s="578" t="s">
        <v>87</v>
      </c>
      <c r="F53" s="579">
        <v>3599</v>
      </c>
      <c r="G53" s="580">
        <f>D53*F53</f>
        <v>3599</v>
      </c>
      <c r="H53" s="581"/>
      <c r="I53" s="549"/>
    </row>
    <row r="54" spans="1:9" ht="14.45" customHeight="1" x14ac:dyDescent="0.2">
      <c r="A54" s="567" t="str">
        <f t="shared" si="4"/>
        <v>LAZER</v>
      </c>
      <c r="B54" s="575" t="str">
        <f>B52</f>
        <v>BRINQUEDOTECA</v>
      </c>
      <c r="C54" s="576" t="s">
        <v>1589</v>
      </c>
      <c r="D54" s="577">
        <v>1</v>
      </c>
      <c r="E54" s="578" t="s">
        <v>87</v>
      </c>
      <c r="F54" s="579">
        <v>400</v>
      </c>
      <c r="G54" s="580">
        <f>D54*F54</f>
        <v>400</v>
      </c>
      <c r="H54" s="581"/>
      <c r="I54" s="549"/>
    </row>
    <row r="55" spans="1:9" ht="14.45" customHeight="1" x14ac:dyDescent="0.2">
      <c r="A55" s="567" t="str">
        <f t="shared" si="4"/>
        <v>LAZER</v>
      </c>
      <c r="B55" s="575" t="str">
        <f>B54</f>
        <v>BRINQUEDOTECA</v>
      </c>
      <c r="C55" s="576" t="s">
        <v>1590</v>
      </c>
      <c r="D55" s="577">
        <v>1</v>
      </c>
      <c r="E55" s="578" t="s">
        <v>87</v>
      </c>
      <c r="F55" s="579">
        <v>350</v>
      </c>
      <c r="G55" s="580">
        <f t="shared" si="2"/>
        <v>350</v>
      </c>
      <c r="H55" s="581"/>
      <c r="I55" s="549"/>
    </row>
    <row r="56" spans="1:9" ht="14.45" customHeight="1" x14ac:dyDescent="0.2">
      <c r="A56" s="567" t="str">
        <f t="shared" si="4"/>
        <v>LAZER</v>
      </c>
      <c r="B56" s="575" t="str">
        <f>B55</f>
        <v>BRINQUEDOTECA</v>
      </c>
      <c r="C56" s="576" t="s">
        <v>1591</v>
      </c>
      <c r="D56" s="577">
        <v>1</v>
      </c>
      <c r="E56" s="578" t="s">
        <v>87</v>
      </c>
      <c r="F56" s="579">
        <v>250</v>
      </c>
      <c r="G56" s="580">
        <f t="shared" si="2"/>
        <v>250</v>
      </c>
      <c r="H56" s="581"/>
      <c r="I56" s="549"/>
    </row>
    <row r="57" spans="1:9" ht="14.45" customHeight="1" x14ac:dyDescent="0.2">
      <c r="A57" s="567" t="str">
        <f t="shared" si="4"/>
        <v>LAZER</v>
      </c>
      <c r="B57" s="575" t="str">
        <f>B56</f>
        <v>BRINQUEDOTECA</v>
      </c>
      <c r="C57" s="576" t="s">
        <v>1592</v>
      </c>
      <c r="D57" s="577">
        <v>5</v>
      </c>
      <c r="E57" s="578" t="s">
        <v>87</v>
      </c>
      <c r="F57" s="579">
        <v>100</v>
      </c>
      <c r="G57" s="580">
        <f t="shared" si="2"/>
        <v>500</v>
      </c>
      <c r="H57" s="581"/>
      <c r="I57" s="549"/>
    </row>
    <row r="58" spans="1:9" ht="14.45" customHeight="1" x14ac:dyDescent="0.2">
      <c r="A58" s="567" t="str">
        <f t="shared" si="4"/>
        <v>LAZER</v>
      </c>
      <c r="B58" s="575" t="str">
        <f>B57</f>
        <v>BRINQUEDOTECA</v>
      </c>
      <c r="C58" s="576" t="s">
        <v>1984</v>
      </c>
      <c r="D58" s="577">
        <v>1</v>
      </c>
      <c r="E58" s="578" t="s">
        <v>87</v>
      </c>
      <c r="F58" s="579">
        <v>1200</v>
      </c>
      <c r="G58" s="580">
        <f t="shared" si="2"/>
        <v>1200</v>
      </c>
      <c r="H58" s="581"/>
      <c r="I58" s="549"/>
    </row>
    <row r="59" spans="1:9" ht="14.45" customHeight="1" x14ac:dyDescent="0.2">
      <c r="A59" s="567" t="str">
        <f>A57</f>
        <v>LAZER</v>
      </c>
      <c r="B59" s="575" t="str">
        <f>B57</f>
        <v>BRINQUEDOTECA</v>
      </c>
      <c r="C59" s="576" t="s">
        <v>1593</v>
      </c>
      <c r="D59" s="577">
        <v>1</v>
      </c>
      <c r="E59" s="578" t="s">
        <v>87</v>
      </c>
      <c r="F59" s="579">
        <v>400</v>
      </c>
      <c r="G59" s="580">
        <f t="shared" si="2"/>
        <v>400</v>
      </c>
      <c r="H59" s="581"/>
      <c r="I59" s="549"/>
    </row>
    <row r="60" spans="1:9" ht="14.45" customHeight="1" x14ac:dyDescent="0.2">
      <c r="A60" s="567" t="str">
        <f>A59</f>
        <v>LAZER</v>
      </c>
      <c r="B60" s="575" t="str">
        <f>B59</f>
        <v>BRINQUEDOTECA</v>
      </c>
      <c r="C60" s="576" t="s">
        <v>1594</v>
      </c>
      <c r="D60" s="577">
        <v>2</v>
      </c>
      <c r="E60" s="578" t="s">
        <v>87</v>
      </c>
      <c r="F60" s="579">
        <v>100</v>
      </c>
      <c r="G60" s="580">
        <f t="shared" si="2"/>
        <v>200</v>
      </c>
      <c r="H60" s="581"/>
      <c r="I60" s="549"/>
    </row>
    <row r="61" spans="1:9" ht="14.45" customHeight="1" x14ac:dyDescent="0.2">
      <c r="A61" s="567" t="str">
        <f t="shared" ref="A61:A72" si="5">A60</f>
        <v>LAZER</v>
      </c>
      <c r="B61" s="568" t="s">
        <v>1609</v>
      </c>
      <c r="C61" s="569" t="s">
        <v>331</v>
      </c>
      <c r="D61" s="570">
        <v>9.91</v>
      </c>
      <c r="E61" s="571"/>
      <c r="F61" s="951">
        <f>G61/D61</f>
        <v>1058.1735620585266</v>
      </c>
      <c r="G61" s="572">
        <f>SUM(G62:G64)</f>
        <v>10486.5</v>
      </c>
      <c r="H61" s="574"/>
      <c r="I61" s="549"/>
    </row>
    <row r="62" spans="1:9" ht="14.45" customHeight="1" x14ac:dyDescent="0.2">
      <c r="A62" s="567" t="str">
        <f t="shared" si="5"/>
        <v>LAZER</v>
      </c>
      <c r="B62" s="575" t="str">
        <f>B61</f>
        <v>PLAYGROUND</v>
      </c>
      <c r="C62" s="1027" t="s">
        <v>1985</v>
      </c>
      <c r="D62" s="577">
        <v>1</v>
      </c>
      <c r="E62" s="578" t="s">
        <v>87</v>
      </c>
      <c r="F62" s="579">
        <v>7000</v>
      </c>
      <c r="G62" s="580">
        <f>D62*F62</f>
        <v>7000</v>
      </c>
      <c r="H62" s="581"/>
      <c r="I62" s="549"/>
    </row>
    <row r="63" spans="1:9" ht="14.45" customHeight="1" x14ac:dyDescent="0.2">
      <c r="A63" s="567" t="str">
        <f t="shared" si="5"/>
        <v>LAZER</v>
      </c>
      <c r="B63" s="575" t="str">
        <f>B62</f>
        <v>PLAYGROUND</v>
      </c>
      <c r="C63" s="1027" t="s">
        <v>1986</v>
      </c>
      <c r="D63" s="577">
        <v>4</v>
      </c>
      <c r="E63" s="578" t="s">
        <v>87</v>
      </c>
      <c r="F63" s="579">
        <v>500</v>
      </c>
      <c r="G63" s="580">
        <f>D63*F63</f>
        <v>2000</v>
      </c>
      <c r="H63" s="581"/>
      <c r="I63" s="549"/>
    </row>
    <row r="64" spans="1:9" ht="14.45" customHeight="1" x14ac:dyDescent="0.2">
      <c r="A64" s="567" t="str">
        <f t="shared" si="5"/>
        <v>LAZER</v>
      </c>
      <c r="B64" s="575" t="str">
        <f>B63</f>
        <v>PLAYGROUND</v>
      </c>
      <c r="C64" s="1027" t="s">
        <v>1982</v>
      </c>
      <c r="D64" s="577">
        <f>D61</f>
        <v>9.91</v>
      </c>
      <c r="E64" s="578" t="s">
        <v>87</v>
      </c>
      <c r="F64" s="579">
        <v>150</v>
      </c>
      <c r="G64" s="580">
        <f>D64*F64</f>
        <v>1486.5</v>
      </c>
      <c r="H64" s="581"/>
      <c r="I64" s="549"/>
    </row>
    <row r="65" spans="1:9" ht="14.45" customHeight="1" x14ac:dyDescent="0.2">
      <c r="A65" s="567" t="str">
        <f t="shared" si="5"/>
        <v>LAZER</v>
      </c>
      <c r="B65" s="568" t="s">
        <v>1987</v>
      </c>
      <c r="C65" s="569" t="s">
        <v>331</v>
      </c>
      <c r="D65" s="570">
        <v>1.95</v>
      </c>
      <c r="E65" s="571"/>
      <c r="F65" s="951">
        <f>G65/D65</f>
        <v>2158.9743589743589</v>
      </c>
      <c r="G65" s="572">
        <f>SUM(G66:G68)</f>
        <v>4210</v>
      </c>
      <c r="H65" s="574"/>
      <c r="I65" s="549"/>
    </row>
    <row r="66" spans="1:9" ht="14.45" customHeight="1" x14ac:dyDescent="0.2">
      <c r="A66" s="567" t="str">
        <f t="shared" si="5"/>
        <v>LAZER</v>
      </c>
      <c r="B66" s="575" t="str">
        <f>B65</f>
        <v>WC PISCINA</v>
      </c>
      <c r="C66" s="1027" t="s">
        <v>1616</v>
      </c>
      <c r="D66" s="577">
        <v>1</v>
      </c>
      <c r="E66" s="578" t="s">
        <v>87</v>
      </c>
      <c r="F66" s="579">
        <f>D65*1800</f>
        <v>3510</v>
      </c>
      <c r="G66" s="580">
        <f>D66*F66</f>
        <v>3510</v>
      </c>
      <c r="H66" s="581"/>
      <c r="I66" s="549"/>
    </row>
    <row r="67" spans="1:9" ht="14.45" customHeight="1" x14ac:dyDescent="0.2">
      <c r="A67" s="567" t="str">
        <f t="shared" si="5"/>
        <v>LAZER</v>
      </c>
      <c r="B67" s="575" t="str">
        <f>B66</f>
        <v>WC PISCINA</v>
      </c>
      <c r="C67" s="1027" t="s">
        <v>1976</v>
      </c>
      <c r="D67" s="577">
        <v>1</v>
      </c>
      <c r="E67" s="578" t="s">
        <v>87</v>
      </c>
      <c r="F67" s="579">
        <v>500</v>
      </c>
      <c r="G67" s="580">
        <f>D67*F67</f>
        <v>500</v>
      </c>
      <c r="H67" s="581"/>
      <c r="I67" s="549"/>
    </row>
    <row r="68" spans="1:9" ht="14.45" customHeight="1" x14ac:dyDescent="0.2">
      <c r="A68" s="567" t="str">
        <f t="shared" si="5"/>
        <v>LAZER</v>
      </c>
      <c r="B68" s="575" t="str">
        <f>B67</f>
        <v>WC PISCINA</v>
      </c>
      <c r="C68" s="1027" t="s">
        <v>1597</v>
      </c>
      <c r="D68" s="577">
        <v>1</v>
      </c>
      <c r="E68" s="578" t="s">
        <v>87</v>
      </c>
      <c r="F68" s="579">
        <v>200</v>
      </c>
      <c r="G68" s="580">
        <f>D68*F68</f>
        <v>200</v>
      </c>
      <c r="H68" s="581"/>
      <c r="I68" s="549"/>
    </row>
    <row r="69" spans="1:9" ht="14.45" customHeight="1" x14ac:dyDescent="0.2">
      <c r="A69" s="567" t="str">
        <f t="shared" si="5"/>
        <v>LAZER</v>
      </c>
      <c r="B69" s="568" t="s">
        <v>1542</v>
      </c>
      <c r="C69" s="569" t="s">
        <v>331</v>
      </c>
      <c r="D69" s="570">
        <v>1.88</v>
      </c>
      <c r="E69" s="571"/>
      <c r="F69" s="951">
        <f>G69/D69</f>
        <v>2172.3404255319151</v>
      </c>
      <c r="G69" s="572">
        <f>SUM(G70:G72)</f>
        <v>4084</v>
      </c>
      <c r="H69" s="574"/>
      <c r="I69" s="549"/>
    </row>
    <row r="70" spans="1:9" ht="14.45" customHeight="1" x14ac:dyDescent="0.2">
      <c r="A70" s="567" t="str">
        <f t="shared" si="5"/>
        <v>LAZER</v>
      </c>
      <c r="B70" s="575" t="str">
        <f>B69</f>
        <v>WC</v>
      </c>
      <c r="C70" s="1027" t="s">
        <v>1616</v>
      </c>
      <c r="D70" s="577">
        <v>1</v>
      </c>
      <c r="E70" s="578" t="s">
        <v>87</v>
      </c>
      <c r="F70" s="579">
        <f>D69*1800</f>
        <v>3384</v>
      </c>
      <c r="G70" s="580">
        <f>D70*F70</f>
        <v>3384</v>
      </c>
      <c r="H70" s="581"/>
      <c r="I70" s="549"/>
    </row>
    <row r="71" spans="1:9" ht="14.45" customHeight="1" x14ac:dyDescent="0.2">
      <c r="A71" s="567" t="str">
        <f t="shared" si="5"/>
        <v>LAZER</v>
      </c>
      <c r="B71" s="575" t="str">
        <f>B70</f>
        <v>WC</v>
      </c>
      <c r="C71" s="1027" t="s">
        <v>1976</v>
      </c>
      <c r="D71" s="577">
        <v>1</v>
      </c>
      <c r="E71" s="578" t="s">
        <v>87</v>
      </c>
      <c r="F71" s="579">
        <v>500</v>
      </c>
      <c r="G71" s="580">
        <f>D71*F71</f>
        <v>500</v>
      </c>
      <c r="H71" s="581"/>
      <c r="I71" s="549"/>
    </row>
    <row r="72" spans="1:9" ht="14.45" customHeight="1" x14ac:dyDescent="0.2">
      <c r="A72" s="567" t="str">
        <f t="shared" si="5"/>
        <v>LAZER</v>
      </c>
      <c r="B72" s="575" t="str">
        <f>B71</f>
        <v>WC</v>
      </c>
      <c r="C72" s="1027" t="s">
        <v>1597</v>
      </c>
      <c r="D72" s="577">
        <v>1</v>
      </c>
      <c r="E72" s="578" t="s">
        <v>87</v>
      </c>
      <c r="F72" s="579">
        <v>200</v>
      </c>
      <c r="G72" s="580">
        <f>D72*F72</f>
        <v>200</v>
      </c>
      <c r="H72" s="581"/>
      <c r="I72" s="549"/>
    </row>
    <row r="73" spans="1:9" ht="14.45" customHeight="1" x14ac:dyDescent="0.2">
      <c r="A73" s="567" t="str">
        <f>A64</f>
        <v>LAZER</v>
      </c>
      <c r="B73" s="568" t="s">
        <v>1621</v>
      </c>
      <c r="C73" s="569" t="s">
        <v>331</v>
      </c>
      <c r="D73" s="570">
        <v>52.76</v>
      </c>
      <c r="E73" s="571"/>
      <c r="F73" s="951">
        <f>G73/D73</f>
        <v>1042.4564063684611</v>
      </c>
      <c r="G73" s="572">
        <f>SUM(G74:G82)</f>
        <v>55000</v>
      </c>
      <c r="H73" s="574"/>
      <c r="I73" s="549"/>
    </row>
    <row r="74" spans="1:9" ht="14.45" customHeight="1" x14ac:dyDescent="0.2">
      <c r="A74" s="567" t="str">
        <f t="shared" ref="A74:B89" si="6">A73</f>
        <v>LAZER</v>
      </c>
      <c r="B74" s="575" t="str">
        <f t="shared" si="6"/>
        <v>TERRAÇO PISCINA</v>
      </c>
      <c r="C74" s="576" t="s">
        <v>1623</v>
      </c>
      <c r="D74" s="577">
        <v>6</v>
      </c>
      <c r="E74" s="578" t="s">
        <v>87</v>
      </c>
      <c r="F74" s="579">
        <v>1500</v>
      </c>
      <c r="G74" s="580">
        <f t="shared" ref="G74:G82" si="7">D74*F74</f>
        <v>9000</v>
      </c>
      <c r="H74" s="581"/>
      <c r="I74" s="549"/>
    </row>
    <row r="75" spans="1:9" ht="14.45" customHeight="1" x14ac:dyDescent="0.2">
      <c r="A75" s="567" t="str">
        <f t="shared" si="6"/>
        <v>LAZER</v>
      </c>
      <c r="B75" s="575" t="str">
        <f t="shared" si="6"/>
        <v>TERRAÇO PISCINA</v>
      </c>
      <c r="C75" s="576" t="s">
        <v>1624</v>
      </c>
      <c r="D75" s="577">
        <v>3</v>
      </c>
      <c r="E75" s="578" t="s">
        <v>87</v>
      </c>
      <c r="F75" s="579">
        <v>2000</v>
      </c>
      <c r="G75" s="580">
        <f t="shared" si="7"/>
        <v>6000</v>
      </c>
      <c r="H75" s="581"/>
      <c r="I75" s="549"/>
    </row>
    <row r="76" spans="1:9" ht="14.45" customHeight="1" x14ac:dyDescent="0.2">
      <c r="A76" s="567" t="str">
        <f t="shared" si="6"/>
        <v>LAZER</v>
      </c>
      <c r="B76" s="575" t="str">
        <f t="shared" si="6"/>
        <v>TERRAÇO PISCINA</v>
      </c>
      <c r="C76" s="576" t="s">
        <v>1592</v>
      </c>
      <c r="D76" s="577">
        <v>30</v>
      </c>
      <c r="E76" s="578" t="s">
        <v>87</v>
      </c>
      <c r="F76" s="579">
        <v>500</v>
      </c>
      <c r="G76" s="580">
        <f t="shared" si="7"/>
        <v>15000</v>
      </c>
      <c r="H76" s="581"/>
      <c r="I76" s="549"/>
    </row>
    <row r="77" spans="1:9" ht="14.45" customHeight="1" x14ac:dyDescent="0.2">
      <c r="A77" s="567" t="str">
        <f t="shared" si="6"/>
        <v>LAZER</v>
      </c>
      <c r="B77" s="575" t="str">
        <f t="shared" si="6"/>
        <v>TERRAÇO PISCINA</v>
      </c>
      <c r="C77" s="576" t="s">
        <v>1673</v>
      </c>
      <c r="D77" s="577">
        <v>10</v>
      </c>
      <c r="E77" s="578" t="s">
        <v>87</v>
      </c>
      <c r="F77" s="579">
        <v>800</v>
      </c>
      <c r="G77" s="580">
        <f t="shared" si="7"/>
        <v>8000</v>
      </c>
      <c r="H77" s="581"/>
      <c r="I77" s="549"/>
    </row>
    <row r="78" spans="1:9" ht="14.45" customHeight="1" x14ac:dyDescent="0.2">
      <c r="A78" s="567" t="str">
        <f t="shared" si="6"/>
        <v>LAZER</v>
      </c>
      <c r="B78" s="575" t="str">
        <f>B75</f>
        <v>TERRAÇO PISCINA</v>
      </c>
      <c r="C78" s="576" t="s">
        <v>1674</v>
      </c>
      <c r="D78" s="577">
        <v>5</v>
      </c>
      <c r="E78" s="578" t="s">
        <v>87</v>
      </c>
      <c r="F78" s="579">
        <v>900</v>
      </c>
      <c r="G78" s="580">
        <f t="shared" si="7"/>
        <v>4500</v>
      </c>
      <c r="H78" s="581"/>
      <c r="I78" s="549"/>
    </row>
    <row r="79" spans="1:9" ht="14.45" customHeight="1" x14ac:dyDescent="0.2">
      <c r="A79" s="567" t="str">
        <f t="shared" si="6"/>
        <v>LAZER</v>
      </c>
      <c r="B79" s="575" t="str">
        <f>B77</f>
        <v>TERRAÇO PISCINA</v>
      </c>
      <c r="C79" s="576" t="s">
        <v>1675</v>
      </c>
      <c r="D79" s="577">
        <v>4</v>
      </c>
      <c r="E79" s="578" t="s">
        <v>87</v>
      </c>
      <c r="F79" s="579">
        <v>1000</v>
      </c>
      <c r="G79" s="580">
        <f t="shared" si="7"/>
        <v>4000</v>
      </c>
      <c r="H79" s="581"/>
      <c r="I79" s="549"/>
    </row>
    <row r="80" spans="1:9" ht="14.45" customHeight="1" x14ac:dyDescent="0.2">
      <c r="A80" s="567" t="str">
        <f t="shared" si="6"/>
        <v>LAZER</v>
      </c>
      <c r="B80" s="575" t="str">
        <f>B77</f>
        <v>TERRAÇO PISCINA</v>
      </c>
      <c r="C80" s="576" t="s">
        <v>1676</v>
      </c>
      <c r="D80" s="577">
        <v>2</v>
      </c>
      <c r="E80" s="578" t="s">
        <v>87</v>
      </c>
      <c r="F80" s="579">
        <v>150</v>
      </c>
      <c r="G80" s="580">
        <f t="shared" si="7"/>
        <v>300</v>
      </c>
      <c r="H80" s="581"/>
      <c r="I80" s="549"/>
    </row>
    <row r="81" spans="1:9" ht="14.45" customHeight="1" x14ac:dyDescent="0.2">
      <c r="A81" s="567" t="str">
        <f t="shared" si="6"/>
        <v>LAZER</v>
      </c>
      <c r="B81" s="575" t="str">
        <f>B78</f>
        <v>TERRAÇO PISCINA</v>
      </c>
      <c r="C81" s="576" t="s">
        <v>1599</v>
      </c>
      <c r="D81" s="577">
        <v>10</v>
      </c>
      <c r="E81" s="578" t="s">
        <v>87</v>
      </c>
      <c r="F81" s="579">
        <v>400</v>
      </c>
      <c r="G81" s="580">
        <f t="shared" si="7"/>
        <v>4000</v>
      </c>
      <c r="H81" s="581"/>
      <c r="I81" s="549"/>
    </row>
    <row r="82" spans="1:9" ht="14.45" customHeight="1" x14ac:dyDescent="0.2">
      <c r="A82" s="567" t="str">
        <f t="shared" si="6"/>
        <v>LAZER</v>
      </c>
      <c r="B82" s="575" t="str">
        <f>B81</f>
        <v>TERRAÇO PISCINA</v>
      </c>
      <c r="C82" s="576" t="s">
        <v>1685</v>
      </c>
      <c r="D82" s="577">
        <v>6</v>
      </c>
      <c r="E82" s="578" t="s">
        <v>87</v>
      </c>
      <c r="F82" s="579">
        <v>700</v>
      </c>
      <c r="G82" s="580">
        <f t="shared" si="7"/>
        <v>4200</v>
      </c>
      <c r="H82" s="581"/>
      <c r="I82" s="549"/>
    </row>
    <row r="83" spans="1:9" ht="14.45" customHeight="1" x14ac:dyDescent="0.2">
      <c r="A83" s="567" t="str">
        <f t="shared" si="6"/>
        <v>LAZER</v>
      </c>
      <c r="B83" s="568" t="s">
        <v>1618</v>
      </c>
      <c r="C83" s="569" t="s">
        <v>331</v>
      </c>
      <c r="D83" s="570">
        <v>20.22</v>
      </c>
      <c r="E83" s="571"/>
      <c r="F83" s="951">
        <f>G83/D83</f>
        <v>640.45499505440159</v>
      </c>
      <c r="G83" s="572">
        <f>SUM(G84:G88)</f>
        <v>12950</v>
      </c>
      <c r="H83" s="574"/>
      <c r="I83" s="549"/>
    </row>
    <row r="84" spans="1:9" ht="14.45" customHeight="1" x14ac:dyDescent="0.2">
      <c r="A84" s="567" t="str">
        <f t="shared" si="6"/>
        <v>LAZER</v>
      </c>
      <c r="B84" s="575" t="str">
        <f>B83</f>
        <v>ESPAÇO ZEN/JARDIM</v>
      </c>
      <c r="C84" s="576" t="s">
        <v>1682</v>
      </c>
      <c r="D84" s="577">
        <v>9</v>
      </c>
      <c r="E84" s="578" t="s">
        <v>87</v>
      </c>
      <c r="F84" s="579">
        <v>450</v>
      </c>
      <c r="G84" s="580">
        <f>D84*F84</f>
        <v>4050</v>
      </c>
      <c r="H84" s="581"/>
      <c r="I84" s="549"/>
    </row>
    <row r="85" spans="1:9" ht="14.45" customHeight="1" x14ac:dyDescent="0.2">
      <c r="A85" s="567" t="str">
        <f t="shared" si="6"/>
        <v>LAZER</v>
      </c>
      <c r="B85" s="575" t="str">
        <f>B84</f>
        <v>ESPAÇO ZEN/JARDIM</v>
      </c>
      <c r="C85" s="576" t="s">
        <v>1685</v>
      </c>
      <c r="D85" s="577">
        <v>8</v>
      </c>
      <c r="E85" s="578" t="s">
        <v>87</v>
      </c>
      <c r="F85" s="579">
        <v>400</v>
      </c>
      <c r="G85" s="580">
        <f>D85*F85</f>
        <v>3200</v>
      </c>
      <c r="H85" s="581"/>
      <c r="I85" s="549"/>
    </row>
    <row r="86" spans="1:9" ht="14.45" customHeight="1" x14ac:dyDescent="0.2">
      <c r="A86" s="567" t="str">
        <f t="shared" si="6"/>
        <v>LAZER</v>
      </c>
      <c r="B86" s="575" t="str">
        <f>B84</f>
        <v>ESPAÇO ZEN/JARDIM</v>
      </c>
      <c r="C86" s="576" t="s">
        <v>1592</v>
      </c>
      <c r="D86" s="577">
        <v>9</v>
      </c>
      <c r="E86" s="578" t="s">
        <v>87</v>
      </c>
      <c r="F86" s="579">
        <v>350</v>
      </c>
      <c r="G86" s="580">
        <f>D86*F86</f>
        <v>3150</v>
      </c>
      <c r="H86" s="581"/>
      <c r="I86" s="549"/>
    </row>
    <row r="87" spans="1:9" ht="14.45" customHeight="1" x14ac:dyDescent="0.2">
      <c r="A87" s="567" t="str">
        <f t="shared" si="6"/>
        <v>LAZER</v>
      </c>
      <c r="B87" s="575" t="str">
        <f>B85</f>
        <v>ESPAÇO ZEN/JARDIM</v>
      </c>
      <c r="C87" s="576" t="s">
        <v>1683</v>
      </c>
      <c r="D87" s="577">
        <v>9</v>
      </c>
      <c r="E87" s="578" t="s">
        <v>87</v>
      </c>
      <c r="F87" s="579">
        <v>250</v>
      </c>
      <c r="G87" s="580">
        <f>D87*F87</f>
        <v>2250</v>
      </c>
      <c r="H87" s="581"/>
      <c r="I87" s="549"/>
    </row>
    <row r="88" spans="1:9" ht="14.45" customHeight="1" x14ac:dyDescent="0.2">
      <c r="A88" s="567" t="str">
        <f t="shared" si="6"/>
        <v>LAZER</v>
      </c>
      <c r="B88" s="575" t="str">
        <f>B85</f>
        <v>ESPAÇO ZEN/JARDIM</v>
      </c>
      <c r="C88" s="576" t="s">
        <v>1676</v>
      </c>
      <c r="D88" s="577">
        <v>2</v>
      </c>
      <c r="E88" s="578" t="s">
        <v>87</v>
      </c>
      <c r="F88" s="579">
        <v>150</v>
      </c>
      <c r="G88" s="580">
        <f>D88*F88</f>
        <v>300</v>
      </c>
      <c r="H88" s="581"/>
      <c r="I88" s="549"/>
    </row>
    <row r="89" spans="1:9" ht="14.45" customHeight="1" x14ac:dyDescent="0.2">
      <c r="A89" s="567" t="str">
        <f t="shared" si="6"/>
        <v>LAZER</v>
      </c>
      <c r="B89" s="568" t="s">
        <v>1619</v>
      </c>
      <c r="C89" s="569" t="s">
        <v>331</v>
      </c>
      <c r="D89" s="570">
        <v>42.76</v>
      </c>
      <c r="E89" s="571"/>
      <c r="F89" s="951">
        <f>G89/D89</f>
        <v>1602.3386342376052</v>
      </c>
      <c r="G89" s="572">
        <f>SUM(G90:G100)</f>
        <v>68516</v>
      </c>
      <c r="H89" s="574"/>
      <c r="I89" s="549"/>
    </row>
    <row r="90" spans="1:9" ht="14.45" customHeight="1" x14ac:dyDescent="0.2">
      <c r="A90" s="567" t="str">
        <f>A89</f>
        <v>LAZER</v>
      </c>
      <c r="B90" s="575" t="str">
        <f>B89</f>
        <v>QUIOSQUE</v>
      </c>
      <c r="C90" s="576" t="s">
        <v>1595</v>
      </c>
      <c r="D90" s="577">
        <v>1</v>
      </c>
      <c r="E90" s="578" t="s">
        <v>87</v>
      </c>
      <c r="F90" s="579">
        <v>2500</v>
      </c>
      <c r="G90" s="580">
        <f t="shared" ref="G90:G100" si="8">D90*F90</f>
        <v>2500</v>
      </c>
      <c r="H90" s="581"/>
      <c r="I90" s="549"/>
    </row>
    <row r="91" spans="1:9" ht="14.45" customHeight="1" x14ac:dyDescent="0.2">
      <c r="A91" s="567" t="str">
        <f t="shared" ref="A91:A111" si="9">A90</f>
        <v>LAZER</v>
      </c>
      <c r="B91" s="575" t="str">
        <f>B89</f>
        <v>QUIOSQUE</v>
      </c>
      <c r="C91" s="576" t="s">
        <v>1596</v>
      </c>
      <c r="D91" s="577">
        <v>3</v>
      </c>
      <c r="E91" s="578" t="s">
        <v>87</v>
      </c>
      <c r="F91" s="579">
        <v>800</v>
      </c>
      <c r="G91" s="580">
        <f t="shared" si="8"/>
        <v>2400</v>
      </c>
      <c r="H91" s="581"/>
      <c r="I91" s="549"/>
    </row>
    <row r="92" spans="1:9" x14ac:dyDescent="0.2">
      <c r="A92" s="567" t="str">
        <f t="shared" si="9"/>
        <v>LAZER</v>
      </c>
      <c r="B92" s="575" t="str">
        <f>B91</f>
        <v>QUIOSQUE</v>
      </c>
      <c r="C92" s="576" t="s">
        <v>1604</v>
      </c>
      <c r="D92" s="577">
        <v>6</v>
      </c>
      <c r="E92" s="578" t="s">
        <v>87</v>
      </c>
      <c r="F92" s="579">
        <v>750</v>
      </c>
      <c r="G92" s="580">
        <f t="shared" si="8"/>
        <v>4500</v>
      </c>
      <c r="H92" s="581"/>
      <c r="I92" s="549"/>
    </row>
    <row r="93" spans="1:9" x14ac:dyDescent="0.2">
      <c r="A93" s="567" t="str">
        <f t="shared" si="9"/>
        <v>LAZER</v>
      </c>
      <c r="B93" s="575" t="str">
        <f>B92</f>
        <v>QUIOSQUE</v>
      </c>
      <c r="C93" s="576" t="s">
        <v>1597</v>
      </c>
      <c r="D93" s="577">
        <v>4</v>
      </c>
      <c r="E93" s="578" t="s">
        <v>87</v>
      </c>
      <c r="F93" s="579">
        <v>800</v>
      </c>
      <c r="G93" s="580">
        <f t="shared" si="8"/>
        <v>3200</v>
      </c>
      <c r="H93" s="581"/>
      <c r="I93" s="549"/>
    </row>
    <row r="94" spans="1:9" x14ac:dyDescent="0.2">
      <c r="A94" s="567" t="str">
        <f t="shared" si="9"/>
        <v>LAZER</v>
      </c>
      <c r="B94" s="575" t="str">
        <f>B93</f>
        <v>QUIOSQUE</v>
      </c>
      <c r="C94" s="576" t="s">
        <v>1607</v>
      </c>
      <c r="D94" s="577">
        <v>1</v>
      </c>
      <c r="E94" s="578" t="s">
        <v>87</v>
      </c>
      <c r="F94" s="579">
        <v>5000</v>
      </c>
      <c r="G94" s="580">
        <f t="shared" si="8"/>
        <v>5000</v>
      </c>
      <c r="H94" s="581"/>
      <c r="I94" s="549"/>
    </row>
    <row r="95" spans="1:9" ht="14.45" customHeight="1" x14ac:dyDescent="0.2">
      <c r="A95" s="567" t="str">
        <f t="shared" si="9"/>
        <v>LAZER</v>
      </c>
      <c r="B95" s="575" t="str">
        <f>B93</f>
        <v>QUIOSQUE</v>
      </c>
      <c r="C95" s="576" t="s">
        <v>1620</v>
      </c>
      <c r="D95" s="577">
        <v>1</v>
      </c>
      <c r="E95" s="578" t="s">
        <v>87</v>
      </c>
      <c r="F95" s="579">
        <v>780</v>
      </c>
      <c r="G95" s="580">
        <f t="shared" si="8"/>
        <v>780</v>
      </c>
      <c r="H95" s="581"/>
      <c r="I95" s="549"/>
    </row>
    <row r="96" spans="1:9" ht="14.45" customHeight="1" x14ac:dyDescent="0.2">
      <c r="A96" s="567" t="str">
        <f t="shared" si="9"/>
        <v>LAZER</v>
      </c>
      <c r="B96" s="575" t="str">
        <f>B94</f>
        <v>QUIOSQUE</v>
      </c>
      <c r="C96" s="576" t="s">
        <v>1599</v>
      </c>
      <c r="D96" s="577">
        <v>5</v>
      </c>
      <c r="E96" s="578" t="s">
        <v>87</v>
      </c>
      <c r="F96" s="579">
        <v>350</v>
      </c>
      <c r="G96" s="580">
        <f t="shared" si="8"/>
        <v>1750</v>
      </c>
      <c r="H96" s="581"/>
      <c r="I96" s="549"/>
    </row>
    <row r="97" spans="1:9" ht="14.45" customHeight="1" x14ac:dyDescent="0.2">
      <c r="A97" s="567" t="str">
        <f t="shared" si="9"/>
        <v>LAZER</v>
      </c>
      <c r="B97" s="575" t="str">
        <f>B96</f>
        <v>QUIOSQUE</v>
      </c>
      <c r="C97" s="576" t="s">
        <v>1600</v>
      </c>
      <c r="D97" s="577">
        <v>1</v>
      </c>
      <c r="E97" s="578" t="s">
        <v>87</v>
      </c>
      <c r="F97" s="579">
        <v>950</v>
      </c>
      <c r="G97" s="580">
        <f t="shared" si="8"/>
        <v>950</v>
      </c>
      <c r="H97" s="581"/>
      <c r="I97" s="549"/>
    </row>
    <row r="98" spans="1:9" ht="14.45" customHeight="1" x14ac:dyDescent="0.2">
      <c r="A98" s="567" t="str">
        <f t="shared" si="9"/>
        <v>LAZER</v>
      </c>
      <c r="B98" s="575" t="str">
        <f>B94</f>
        <v>QUIOSQUE</v>
      </c>
      <c r="C98" s="576" t="s">
        <v>1616</v>
      </c>
      <c r="D98" s="577">
        <v>1</v>
      </c>
      <c r="E98" s="578" t="s">
        <v>87</v>
      </c>
      <c r="F98" s="579">
        <f>500*D89</f>
        <v>21380</v>
      </c>
      <c r="G98" s="580">
        <f t="shared" si="8"/>
        <v>21380</v>
      </c>
      <c r="H98" s="581"/>
      <c r="I98" s="549"/>
    </row>
    <row r="99" spans="1:9" ht="14.45" customHeight="1" x14ac:dyDescent="0.2">
      <c r="A99" s="567" t="str">
        <f t="shared" si="9"/>
        <v>LAZER</v>
      </c>
      <c r="B99" s="575" t="str">
        <f>B95</f>
        <v>QUIOSQUE</v>
      </c>
      <c r="C99" s="576" t="s">
        <v>1689</v>
      </c>
      <c r="D99" s="577">
        <v>1</v>
      </c>
      <c r="E99" s="578" t="s">
        <v>87</v>
      </c>
      <c r="F99" s="579">
        <f>600*D89</f>
        <v>25656</v>
      </c>
      <c r="G99" s="580">
        <f>D99*F99</f>
        <v>25656</v>
      </c>
      <c r="H99" s="581"/>
      <c r="I99" s="549"/>
    </row>
    <row r="100" spans="1:9" ht="14.45" customHeight="1" x14ac:dyDescent="0.2">
      <c r="A100" s="567" t="str">
        <f t="shared" si="9"/>
        <v>LAZER</v>
      </c>
      <c r="B100" s="575" t="str">
        <f>B96</f>
        <v>QUIOSQUE</v>
      </c>
      <c r="C100" s="576" t="s">
        <v>1676</v>
      </c>
      <c r="D100" s="577">
        <v>2</v>
      </c>
      <c r="E100" s="578" t="s">
        <v>87</v>
      </c>
      <c r="F100" s="579">
        <v>200</v>
      </c>
      <c r="G100" s="580">
        <f t="shared" si="8"/>
        <v>400</v>
      </c>
      <c r="H100" s="581"/>
      <c r="I100" s="549"/>
    </row>
    <row r="101" spans="1:9" ht="14.45" customHeight="1" x14ac:dyDescent="0.2">
      <c r="A101" s="567" t="str">
        <f t="shared" si="9"/>
        <v>LAZER</v>
      </c>
      <c r="B101" s="568" t="s">
        <v>1601</v>
      </c>
      <c r="C101" s="569" t="s">
        <v>331</v>
      </c>
      <c r="D101" s="570">
        <v>58.24</v>
      </c>
      <c r="E101" s="571"/>
      <c r="F101" s="951">
        <f>G101/D101</f>
        <v>2996.3186813186812</v>
      </c>
      <c r="G101" s="572">
        <f>SUM(G102:G117)</f>
        <v>174505.60000000001</v>
      </c>
      <c r="H101" s="574"/>
      <c r="I101" s="549"/>
    </row>
    <row r="102" spans="1:9" ht="14.45" customHeight="1" x14ac:dyDescent="0.2">
      <c r="A102" s="567" t="str">
        <f t="shared" si="9"/>
        <v>LAZER</v>
      </c>
      <c r="B102" s="575" t="str">
        <f>B101</f>
        <v>SALÃO DE FESTAS</v>
      </c>
      <c r="C102" s="576" t="s">
        <v>1595</v>
      </c>
      <c r="D102" s="577">
        <v>4</v>
      </c>
      <c r="E102" s="578" t="s">
        <v>87</v>
      </c>
      <c r="F102" s="579">
        <v>3500</v>
      </c>
      <c r="G102" s="580">
        <f>D102*F102</f>
        <v>14000</v>
      </c>
      <c r="H102" s="581"/>
      <c r="I102" s="549"/>
    </row>
    <row r="103" spans="1:9" ht="14.45" customHeight="1" x14ac:dyDescent="0.2">
      <c r="A103" s="567" t="str">
        <f t="shared" si="9"/>
        <v>LAZER</v>
      </c>
      <c r="B103" s="575" t="str">
        <f>B101</f>
        <v>SALÃO DE FESTAS</v>
      </c>
      <c r="C103" s="576" t="s">
        <v>1616</v>
      </c>
      <c r="D103" s="577">
        <v>1</v>
      </c>
      <c r="E103" s="578" t="s">
        <v>87</v>
      </c>
      <c r="F103" s="579">
        <f>1800*D101*0.8</f>
        <v>83865.600000000006</v>
      </c>
      <c r="G103" s="580">
        <f>D103*F103</f>
        <v>83865.600000000006</v>
      </c>
      <c r="H103" s="581"/>
      <c r="I103" s="549"/>
    </row>
    <row r="104" spans="1:9" ht="14.45" customHeight="1" x14ac:dyDescent="0.2">
      <c r="A104" s="567" t="str">
        <f t="shared" si="9"/>
        <v>LAZER</v>
      </c>
      <c r="B104" s="575" t="str">
        <f>B102</f>
        <v>SALÃO DE FESTAS</v>
      </c>
      <c r="C104" s="576" t="s">
        <v>1596</v>
      </c>
      <c r="D104" s="577">
        <f>4*6</f>
        <v>24</v>
      </c>
      <c r="E104" s="578" t="s">
        <v>87</v>
      </c>
      <c r="F104" s="579">
        <v>800</v>
      </c>
      <c r="G104" s="580">
        <f t="shared" ref="G104:G117" si="10">D104*F104</f>
        <v>19200</v>
      </c>
      <c r="H104" s="581"/>
      <c r="I104" s="549"/>
    </row>
    <row r="105" spans="1:9" x14ac:dyDescent="0.2">
      <c r="A105" s="567" t="str">
        <f t="shared" si="9"/>
        <v>LAZER</v>
      </c>
      <c r="B105" s="575" t="str">
        <f>B104</f>
        <v>SALÃO DE FESTAS</v>
      </c>
      <c r="C105" s="576" t="s">
        <v>1604</v>
      </c>
      <c r="D105" s="577">
        <v>4</v>
      </c>
      <c r="E105" s="578" t="s">
        <v>87</v>
      </c>
      <c r="F105" s="579">
        <v>500</v>
      </c>
      <c r="G105" s="580">
        <f>D105*F105</f>
        <v>2000</v>
      </c>
      <c r="H105" s="581"/>
      <c r="I105" s="549"/>
    </row>
    <row r="106" spans="1:9" ht="14.45" customHeight="1" x14ac:dyDescent="0.2">
      <c r="A106" s="567" t="str">
        <f t="shared" si="9"/>
        <v>LAZER</v>
      </c>
      <c r="B106" s="575" t="str">
        <f>B104</f>
        <v>SALÃO DE FESTAS</v>
      </c>
      <c r="C106" s="576" t="s">
        <v>1599</v>
      </c>
      <c r="D106" s="577">
        <v>5</v>
      </c>
      <c r="E106" s="578" t="s">
        <v>87</v>
      </c>
      <c r="F106" s="579">
        <v>350</v>
      </c>
      <c r="G106" s="580">
        <f t="shared" si="10"/>
        <v>1750</v>
      </c>
      <c r="H106" s="581"/>
      <c r="I106" s="549"/>
    </row>
    <row r="107" spans="1:9" ht="14.45" customHeight="1" x14ac:dyDescent="0.2">
      <c r="A107" s="567" t="str">
        <f t="shared" si="9"/>
        <v>LAZER</v>
      </c>
      <c r="B107" s="575" t="str">
        <f>B105</f>
        <v>SALÃO DE FESTAS</v>
      </c>
      <c r="C107" s="576" t="s">
        <v>1620</v>
      </c>
      <c r="D107" s="577">
        <v>1</v>
      </c>
      <c r="E107" s="578" t="s">
        <v>87</v>
      </c>
      <c r="F107" s="579">
        <v>780</v>
      </c>
      <c r="G107" s="580">
        <f t="shared" si="10"/>
        <v>780</v>
      </c>
      <c r="H107" s="581"/>
      <c r="I107" s="549"/>
    </row>
    <row r="108" spans="1:9" ht="14.45" customHeight="1" x14ac:dyDescent="0.2">
      <c r="A108" s="567" t="str">
        <f t="shared" si="9"/>
        <v>LAZER</v>
      </c>
      <c r="B108" s="575" t="str">
        <f>B106</f>
        <v>SALÃO DE FESTAS</v>
      </c>
      <c r="C108" s="576" t="s">
        <v>1600</v>
      </c>
      <c r="D108" s="577">
        <v>1</v>
      </c>
      <c r="E108" s="578" t="s">
        <v>87</v>
      </c>
      <c r="F108" s="579">
        <v>500</v>
      </c>
      <c r="G108" s="580">
        <f t="shared" si="10"/>
        <v>500</v>
      </c>
      <c r="H108" s="581"/>
      <c r="I108" s="549"/>
    </row>
    <row r="109" spans="1:9" ht="14.45" customHeight="1" x14ac:dyDescent="0.2">
      <c r="A109" s="567" t="str">
        <f t="shared" si="9"/>
        <v>LAZER</v>
      </c>
      <c r="B109" s="575" t="str">
        <f>B108</f>
        <v>SALÃO DE FESTAS</v>
      </c>
      <c r="C109" s="576" t="s">
        <v>1597</v>
      </c>
      <c r="D109" s="577">
        <v>3</v>
      </c>
      <c r="E109" s="578" t="s">
        <v>87</v>
      </c>
      <c r="F109" s="579">
        <v>450</v>
      </c>
      <c r="G109" s="580">
        <f t="shared" si="10"/>
        <v>1350</v>
      </c>
      <c r="H109" s="581"/>
      <c r="I109" s="549"/>
    </row>
    <row r="110" spans="1:9" ht="14.45" customHeight="1" x14ac:dyDescent="0.2">
      <c r="A110" s="567" t="str">
        <f t="shared" si="9"/>
        <v>LAZER</v>
      </c>
      <c r="B110" s="575" t="str">
        <f>B109</f>
        <v>SALÃO DE FESTAS</v>
      </c>
      <c r="C110" s="576" t="s">
        <v>1988</v>
      </c>
      <c r="D110" s="577">
        <v>20</v>
      </c>
      <c r="E110" s="578" t="s">
        <v>87</v>
      </c>
      <c r="F110" s="579">
        <v>800</v>
      </c>
      <c r="G110" s="580">
        <f t="shared" si="10"/>
        <v>16000</v>
      </c>
      <c r="H110" s="581"/>
      <c r="I110" s="549"/>
    </row>
    <row r="111" spans="1:9" ht="14.45" customHeight="1" x14ac:dyDescent="0.2">
      <c r="A111" s="567" t="str">
        <f t="shared" si="9"/>
        <v>LAZER</v>
      </c>
      <c r="B111" s="575" t="str">
        <f>B110</f>
        <v>SALÃO DE FESTAS</v>
      </c>
      <c r="C111" s="576" t="s">
        <v>1984</v>
      </c>
      <c r="D111" s="577">
        <v>1</v>
      </c>
      <c r="E111" s="578" t="s">
        <v>87</v>
      </c>
      <c r="F111" s="579">
        <v>1200</v>
      </c>
      <c r="G111" s="580">
        <f t="shared" si="10"/>
        <v>1200</v>
      </c>
      <c r="H111" s="581"/>
      <c r="I111" s="549"/>
    </row>
    <row r="112" spans="1:9" x14ac:dyDescent="0.2">
      <c r="A112" s="567" t="str">
        <f>A110</f>
        <v>LAZER</v>
      </c>
      <c r="B112" s="575" t="str">
        <f>B109</f>
        <v>SALÃO DE FESTAS</v>
      </c>
      <c r="C112" s="576" t="s">
        <v>1688</v>
      </c>
      <c r="D112" s="577">
        <v>1</v>
      </c>
      <c r="E112" s="578" t="s">
        <v>87</v>
      </c>
      <c r="F112" s="579">
        <v>4000</v>
      </c>
      <c r="G112" s="580">
        <f t="shared" si="10"/>
        <v>4000</v>
      </c>
      <c r="H112" s="581"/>
      <c r="I112" s="549"/>
    </row>
    <row r="113" spans="1:9" x14ac:dyDescent="0.2">
      <c r="A113" s="567" t="str">
        <f t="shared" ref="A113:A124" si="11">A112</f>
        <v>LAZER</v>
      </c>
      <c r="B113" s="575" t="str">
        <f>B110</f>
        <v>SALÃO DE FESTAS</v>
      </c>
      <c r="C113" s="576" t="s">
        <v>1598</v>
      </c>
      <c r="D113" s="577">
        <v>7</v>
      </c>
      <c r="E113" s="578" t="s">
        <v>87</v>
      </c>
      <c r="F113" s="579">
        <v>500</v>
      </c>
      <c r="G113" s="580">
        <f t="shared" si="10"/>
        <v>3500</v>
      </c>
      <c r="H113" s="581"/>
      <c r="I113" s="549"/>
    </row>
    <row r="114" spans="1:9" ht="14.45" customHeight="1" x14ac:dyDescent="0.2">
      <c r="A114" s="567" t="str">
        <f t="shared" si="11"/>
        <v>LAZER</v>
      </c>
      <c r="B114" s="575" t="str">
        <f>B109</f>
        <v>SALÃO DE FESTAS</v>
      </c>
      <c r="C114" s="576" t="s">
        <v>1585</v>
      </c>
      <c r="D114" s="577">
        <v>2</v>
      </c>
      <c r="E114" s="578" t="s">
        <v>87</v>
      </c>
      <c r="F114" s="579">
        <v>900</v>
      </c>
      <c r="G114" s="580">
        <f t="shared" si="10"/>
        <v>1800</v>
      </c>
      <c r="H114" s="581"/>
      <c r="I114" s="549"/>
    </row>
    <row r="115" spans="1:9" x14ac:dyDescent="0.2">
      <c r="A115" s="567" t="str">
        <f t="shared" si="11"/>
        <v>LAZER</v>
      </c>
      <c r="B115" s="575" t="str">
        <f>B113</f>
        <v>SALÃO DE FESTAS</v>
      </c>
      <c r="C115" s="576" t="s">
        <v>1607</v>
      </c>
      <c r="D115" s="577">
        <v>1</v>
      </c>
      <c r="E115" s="578" t="s">
        <v>87</v>
      </c>
      <c r="F115" s="579">
        <v>5000</v>
      </c>
      <c r="G115" s="580">
        <f t="shared" si="10"/>
        <v>5000</v>
      </c>
      <c r="H115" s="581"/>
      <c r="I115" s="549"/>
    </row>
    <row r="116" spans="1:9" ht="14.45" customHeight="1" x14ac:dyDescent="0.2">
      <c r="A116" s="567" t="str">
        <f t="shared" si="11"/>
        <v>LAZER</v>
      </c>
      <c r="B116" s="575" t="str">
        <f>B110</f>
        <v>SALÃO DE FESTAS</v>
      </c>
      <c r="C116" s="576" t="s">
        <v>1689</v>
      </c>
      <c r="D116" s="577">
        <v>1</v>
      </c>
      <c r="E116" s="578" t="s">
        <v>87</v>
      </c>
      <c r="F116" s="579">
        <f>250*D101</f>
        <v>14560</v>
      </c>
      <c r="G116" s="580">
        <f t="shared" si="10"/>
        <v>14560</v>
      </c>
      <c r="H116" s="581"/>
      <c r="I116" s="549"/>
    </row>
    <row r="117" spans="1:9" ht="14.45" customHeight="1" x14ac:dyDescent="0.2">
      <c r="A117" s="567" t="str">
        <f t="shared" si="11"/>
        <v>LAZER</v>
      </c>
      <c r="B117" s="575" t="str">
        <f>B113</f>
        <v>SALÃO DE FESTAS</v>
      </c>
      <c r="C117" s="576" t="s">
        <v>1606</v>
      </c>
      <c r="D117" s="577">
        <v>1</v>
      </c>
      <c r="E117" s="578" t="s">
        <v>87</v>
      </c>
      <c r="F117" s="579">
        <v>5000</v>
      </c>
      <c r="G117" s="580">
        <f t="shared" si="10"/>
        <v>5000</v>
      </c>
      <c r="H117" s="581"/>
      <c r="I117" s="549"/>
    </row>
    <row r="118" spans="1:9" x14ac:dyDescent="0.2">
      <c r="A118" s="567" t="str">
        <f t="shared" si="11"/>
        <v>LAZER</v>
      </c>
      <c r="B118" s="568" t="s">
        <v>1602</v>
      </c>
      <c r="C118" s="569" t="s">
        <v>331</v>
      </c>
      <c r="D118" s="570">
        <v>58.24</v>
      </c>
      <c r="E118" s="571"/>
      <c r="F118" s="951">
        <f>G118/D118</f>
        <v>2910.2953296703295</v>
      </c>
      <c r="G118" s="572">
        <f>SUM(G119:G139)</f>
        <v>169495.6</v>
      </c>
      <c r="H118" s="574"/>
      <c r="I118" s="549"/>
    </row>
    <row r="119" spans="1:9" x14ac:dyDescent="0.2">
      <c r="A119" s="567" t="str">
        <f t="shared" si="11"/>
        <v>LAZER</v>
      </c>
      <c r="B119" s="575" t="str">
        <f>B118</f>
        <v>SALÃO GOURMET</v>
      </c>
      <c r="C119" s="576" t="s">
        <v>1603</v>
      </c>
      <c r="D119" s="577">
        <v>2</v>
      </c>
      <c r="E119" s="578" t="s">
        <v>87</v>
      </c>
      <c r="F119" s="579">
        <v>2500</v>
      </c>
      <c r="G119" s="580">
        <f t="shared" ref="G119:G139" si="12">D119*F119</f>
        <v>5000</v>
      </c>
      <c r="H119" s="581"/>
      <c r="I119" s="549"/>
    </row>
    <row r="120" spans="1:9" ht="14.45" customHeight="1" x14ac:dyDescent="0.2">
      <c r="A120" s="567" t="str">
        <f t="shared" si="11"/>
        <v>LAZER</v>
      </c>
      <c r="B120" s="575" t="str">
        <f>B118</f>
        <v>SALÃO GOURMET</v>
      </c>
      <c r="C120" s="576" t="s">
        <v>1616</v>
      </c>
      <c r="D120" s="577">
        <v>1</v>
      </c>
      <c r="E120" s="578" t="s">
        <v>87</v>
      </c>
      <c r="F120" s="579">
        <f>1800*D118*0.8</f>
        <v>83865.600000000006</v>
      </c>
      <c r="G120" s="580">
        <f t="shared" si="12"/>
        <v>83865.600000000006</v>
      </c>
      <c r="H120" s="581"/>
      <c r="I120" s="549"/>
    </row>
    <row r="121" spans="1:9" x14ac:dyDescent="0.2">
      <c r="A121" s="567" t="str">
        <f t="shared" si="11"/>
        <v>LAZER</v>
      </c>
      <c r="B121" s="575" t="str">
        <f>B120</f>
        <v>SALÃO GOURMET</v>
      </c>
      <c r="C121" s="576" t="s">
        <v>1626</v>
      </c>
      <c r="D121" s="577">
        <v>2</v>
      </c>
      <c r="E121" s="578" t="s">
        <v>87</v>
      </c>
      <c r="F121" s="579">
        <v>250</v>
      </c>
      <c r="G121" s="580">
        <f>D121*F121</f>
        <v>500</v>
      </c>
      <c r="H121" s="581"/>
      <c r="I121" s="549"/>
    </row>
    <row r="122" spans="1:9" x14ac:dyDescent="0.2">
      <c r="A122" s="567" t="str">
        <f t="shared" si="11"/>
        <v>LAZER</v>
      </c>
      <c r="B122" s="575" t="str">
        <f>B121</f>
        <v>SALÃO GOURMET</v>
      </c>
      <c r="C122" s="576" t="s">
        <v>1604</v>
      </c>
      <c r="D122" s="577">
        <v>4</v>
      </c>
      <c r="E122" s="578" t="s">
        <v>87</v>
      </c>
      <c r="F122" s="579">
        <v>800</v>
      </c>
      <c r="G122" s="580">
        <f t="shared" si="12"/>
        <v>3200</v>
      </c>
      <c r="H122" s="581"/>
      <c r="I122" s="549"/>
    </row>
    <row r="123" spans="1:9" x14ac:dyDescent="0.2">
      <c r="A123" s="567" t="str">
        <f t="shared" si="11"/>
        <v>LAZER</v>
      </c>
      <c r="B123" s="575" t="str">
        <f t="shared" ref="B123:B139" si="13">B121</f>
        <v>SALÃO GOURMET</v>
      </c>
      <c r="C123" s="576" t="s">
        <v>1677</v>
      </c>
      <c r="D123" s="577">
        <v>1</v>
      </c>
      <c r="E123" s="578" t="s">
        <v>87</v>
      </c>
      <c r="F123" s="579">
        <v>7000</v>
      </c>
      <c r="G123" s="580">
        <f t="shared" si="12"/>
        <v>7000</v>
      </c>
      <c r="H123" s="581"/>
      <c r="I123" s="549"/>
    </row>
    <row r="124" spans="1:9" x14ac:dyDescent="0.2">
      <c r="A124" s="567" t="str">
        <f t="shared" si="11"/>
        <v>LAZER</v>
      </c>
      <c r="B124" s="575" t="str">
        <f t="shared" si="13"/>
        <v>SALÃO GOURMET</v>
      </c>
      <c r="C124" s="576" t="s">
        <v>1989</v>
      </c>
      <c r="D124" s="577">
        <v>1</v>
      </c>
      <c r="E124" s="578" t="s">
        <v>87</v>
      </c>
      <c r="F124" s="579">
        <v>10000</v>
      </c>
      <c r="G124" s="580">
        <f>D124*F124</f>
        <v>10000</v>
      </c>
      <c r="H124" s="581"/>
      <c r="I124" s="549"/>
    </row>
    <row r="125" spans="1:9" ht="14.45" customHeight="1" x14ac:dyDescent="0.2">
      <c r="A125" s="567" t="str">
        <f>A123</f>
        <v>LAZER</v>
      </c>
      <c r="B125" s="575" t="str">
        <f>B122</f>
        <v>SALÃO GOURMET</v>
      </c>
      <c r="C125" s="576" t="s">
        <v>1599</v>
      </c>
      <c r="D125" s="577">
        <v>5</v>
      </c>
      <c r="E125" s="578" t="s">
        <v>87</v>
      </c>
      <c r="F125" s="579">
        <v>350</v>
      </c>
      <c r="G125" s="580">
        <f t="shared" si="12"/>
        <v>1750</v>
      </c>
      <c r="H125" s="581"/>
      <c r="I125" s="549"/>
    </row>
    <row r="126" spans="1:9" ht="14.45" customHeight="1" x14ac:dyDescent="0.2">
      <c r="A126" s="567" t="str">
        <f t="shared" ref="A126:A155" si="14">A125</f>
        <v>LAZER</v>
      </c>
      <c r="B126" s="575" t="str">
        <f>B123</f>
        <v>SALÃO GOURMET</v>
      </c>
      <c r="C126" s="576" t="s">
        <v>1620</v>
      </c>
      <c r="D126" s="577">
        <v>1</v>
      </c>
      <c r="E126" s="578" t="s">
        <v>87</v>
      </c>
      <c r="F126" s="579">
        <v>780</v>
      </c>
      <c r="G126" s="580">
        <f t="shared" si="12"/>
        <v>780</v>
      </c>
      <c r="H126" s="581"/>
      <c r="I126" s="549"/>
    </row>
    <row r="127" spans="1:9" ht="14.45" customHeight="1" x14ac:dyDescent="0.2">
      <c r="A127" s="567" t="str">
        <f t="shared" si="14"/>
        <v>LAZER</v>
      </c>
      <c r="B127" s="575" t="str">
        <f t="shared" si="13"/>
        <v>SALÃO GOURMET</v>
      </c>
      <c r="C127" s="576" t="s">
        <v>1600</v>
      </c>
      <c r="D127" s="577">
        <v>1</v>
      </c>
      <c r="E127" s="578" t="s">
        <v>87</v>
      </c>
      <c r="F127" s="579">
        <v>500</v>
      </c>
      <c r="G127" s="580">
        <f t="shared" si="12"/>
        <v>500</v>
      </c>
      <c r="H127" s="581"/>
      <c r="I127" s="549"/>
    </row>
    <row r="128" spans="1:9" x14ac:dyDescent="0.2">
      <c r="A128" s="567" t="str">
        <f t="shared" si="14"/>
        <v>LAZER</v>
      </c>
      <c r="B128" s="575" t="str">
        <f t="shared" si="13"/>
        <v>SALÃO GOURMET</v>
      </c>
      <c r="C128" s="576" t="s">
        <v>1605</v>
      </c>
      <c r="D128" s="577">
        <v>1</v>
      </c>
      <c r="E128" s="578" t="s">
        <v>87</v>
      </c>
      <c r="F128" s="579">
        <v>20000</v>
      </c>
      <c r="G128" s="580">
        <f t="shared" si="12"/>
        <v>20000</v>
      </c>
      <c r="H128" s="581"/>
      <c r="I128" s="549"/>
    </row>
    <row r="129" spans="1:9" x14ac:dyDescent="0.2">
      <c r="A129" s="567" t="str">
        <f t="shared" si="14"/>
        <v>LAZER</v>
      </c>
      <c r="B129" s="575" t="str">
        <f t="shared" si="13"/>
        <v>SALÃO GOURMET</v>
      </c>
      <c r="C129" s="576" t="s">
        <v>1679</v>
      </c>
      <c r="D129" s="577">
        <v>1</v>
      </c>
      <c r="E129" s="578" t="s">
        <v>87</v>
      </c>
      <c r="F129" s="579">
        <v>750</v>
      </c>
      <c r="G129" s="580">
        <f>D129*F129</f>
        <v>750</v>
      </c>
      <c r="H129" s="581"/>
      <c r="I129" s="549"/>
    </row>
    <row r="130" spans="1:9" x14ac:dyDescent="0.2">
      <c r="A130" s="567" t="str">
        <f t="shared" si="14"/>
        <v>LAZER</v>
      </c>
      <c r="B130" s="575" t="str">
        <f t="shared" si="13"/>
        <v>SALÃO GOURMET</v>
      </c>
      <c r="C130" s="576" t="s">
        <v>1680</v>
      </c>
      <c r="D130" s="577">
        <v>2</v>
      </c>
      <c r="E130" s="578" t="s">
        <v>87</v>
      </c>
      <c r="F130" s="579">
        <v>500</v>
      </c>
      <c r="G130" s="580">
        <f t="shared" si="12"/>
        <v>1000</v>
      </c>
      <c r="H130" s="581"/>
      <c r="I130" s="549"/>
    </row>
    <row r="131" spans="1:9" x14ac:dyDescent="0.2">
      <c r="A131" s="567" t="str">
        <f t="shared" si="14"/>
        <v>LAZER</v>
      </c>
      <c r="B131" s="575" t="str">
        <f t="shared" si="13"/>
        <v>SALÃO GOURMET</v>
      </c>
      <c r="C131" s="576" t="s">
        <v>1681</v>
      </c>
      <c r="D131" s="577">
        <v>1</v>
      </c>
      <c r="E131" s="578" t="s">
        <v>87</v>
      </c>
      <c r="F131" s="579">
        <v>750</v>
      </c>
      <c r="G131" s="580">
        <f>D131*F131</f>
        <v>750</v>
      </c>
      <c r="H131" s="581"/>
      <c r="I131" s="549"/>
    </row>
    <row r="132" spans="1:9" ht="14.45" customHeight="1" x14ac:dyDescent="0.2">
      <c r="A132" s="567" t="str">
        <f t="shared" si="14"/>
        <v>LAZER</v>
      </c>
      <c r="B132" s="575" t="str">
        <f t="shared" si="13"/>
        <v>SALÃO GOURMET</v>
      </c>
      <c r="C132" s="576" t="s">
        <v>1585</v>
      </c>
      <c r="D132" s="577">
        <v>2</v>
      </c>
      <c r="E132" s="578" t="s">
        <v>87</v>
      </c>
      <c r="F132" s="579">
        <v>500</v>
      </c>
      <c r="G132" s="580">
        <f>D132*F132</f>
        <v>1000</v>
      </c>
      <c r="H132" s="581"/>
      <c r="I132" s="549"/>
    </row>
    <row r="133" spans="1:9" ht="14.45" customHeight="1" x14ac:dyDescent="0.2">
      <c r="A133" s="567" t="str">
        <f t="shared" si="14"/>
        <v>LAZER</v>
      </c>
      <c r="B133" s="575" t="str">
        <f t="shared" si="13"/>
        <v>SALÃO GOURMET</v>
      </c>
      <c r="C133" s="576" t="s">
        <v>1988</v>
      </c>
      <c r="D133" s="577">
        <v>20</v>
      </c>
      <c r="E133" s="578" t="s">
        <v>87</v>
      </c>
      <c r="F133" s="579">
        <v>800</v>
      </c>
      <c r="G133" s="580">
        <f t="shared" si="12"/>
        <v>16000</v>
      </c>
      <c r="H133" s="581"/>
      <c r="I133" s="549"/>
    </row>
    <row r="134" spans="1:9" ht="14.45" customHeight="1" x14ac:dyDescent="0.2">
      <c r="A134" s="567" t="str">
        <f t="shared" si="14"/>
        <v>LAZER</v>
      </c>
      <c r="B134" s="575" t="str">
        <f t="shared" si="13"/>
        <v>SALÃO GOURMET</v>
      </c>
      <c r="C134" s="576" t="s">
        <v>1984</v>
      </c>
      <c r="D134" s="577">
        <v>1</v>
      </c>
      <c r="E134" s="578" t="s">
        <v>87</v>
      </c>
      <c r="F134" s="579">
        <v>1200</v>
      </c>
      <c r="G134" s="580">
        <f t="shared" si="12"/>
        <v>1200</v>
      </c>
      <c r="H134" s="581"/>
      <c r="I134" s="549"/>
    </row>
    <row r="135" spans="1:9" x14ac:dyDescent="0.2">
      <c r="A135" s="567" t="str">
        <f t="shared" si="14"/>
        <v>LAZER</v>
      </c>
      <c r="B135" s="575" t="str">
        <f t="shared" si="13"/>
        <v>SALÃO GOURMET</v>
      </c>
      <c r="C135" s="576" t="s">
        <v>1598</v>
      </c>
      <c r="D135" s="577">
        <v>50</v>
      </c>
      <c r="E135" s="578" t="s">
        <v>87</v>
      </c>
      <c r="F135" s="579">
        <v>100</v>
      </c>
      <c r="G135" s="580">
        <f t="shared" si="12"/>
        <v>5000</v>
      </c>
      <c r="H135" s="581"/>
      <c r="I135" s="549"/>
    </row>
    <row r="136" spans="1:9" x14ac:dyDescent="0.2">
      <c r="A136" s="567" t="str">
        <f t="shared" si="14"/>
        <v>LAZER</v>
      </c>
      <c r="B136" s="575" t="str">
        <f t="shared" si="13"/>
        <v>SALÃO GOURMET</v>
      </c>
      <c r="C136" s="576" t="s">
        <v>1678</v>
      </c>
      <c r="D136" s="577">
        <v>2</v>
      </c>
      <c r="E136" s="578" t="s">
        <v>87</v>
      </c>
      <c r="F136" s="579">
        <v>500</v>
      </c>
      <c r="G136" s="580">
        <f>D136*F136</f>
        <v>1000</v>
      </c>
      <c r="H136" s="581"/>
      <c r="I136" s="549"/>
    </row>
    <row r="137" spans="1:9" x14ac:dyDescent="0.2">
      <c r="A137" s="567" t="str">
        <f t="shared" si="14"/>
        <v>LAZER</v>
      </c>
      <c r="B137" s="575" t="str">
        <f t="shared" si="13"/>
        <v>SALÃO GOURMET</v>
      </c>
      <c r="C137" s="576" t="s">
        <v>1607</v>
      </c>
      <c r="D137" s="577">
        <v>1</v>
      </c>
      <c r="E137" s="578" t="s">
        <v>87</v>
      </c>
      <c r="F137" s="579">
        <v>5000</v>
      </c>
      <c r="G137" s="580">
        <f t="shared" si="12"/>
        <v>5000</v>
      </c>
      <c r="H137" s="581"/>
      <c r="I137" s="549"/>
    </row>
    <row r="138" spans="1:9" ht="14.45" customHeight="1" x14ac:dyDescent="0.2">
      <c r="A138" s="567" t="str">
        <f t="shared" si="14"/>
        <v>LAZER</v>
      </c>
      <c r="B138" s="575" t="str">
        <f t="shared" si="13"/>
        <v>SALÃO GOURMET</v>
      </c>
      <c r="C138" s="576" t="s">
        <v>1676</v>
      </c>
      <c r="D138" s="577">
        <v>2</v>
      </c>
      <c r="E138" s="578" t="s">
        <v>87</v>
      </c>
      <c r="F138" s="579">
        <v>100</v>
      </c>
      <c r="G138" s="580">
        <f t="shared" si="12"/>
        <v>200</v>
      </c>
      <c r="H138" s="581"/>
      <c r="I138" s="549"/>
    </row>
    <row r="139" spans="1:9" x14ac:dyDescent="0.2">
      <c r="A139" s="567" t="str">
        <f t="shared" si="14"/>
        <v>LAZER</v>
      </c>
      <c r="B139" s="575" t="str">
        <f t="shared" si="13"/>
        <v>SALÃO GOURMET</v>
      </c>
      <c r="C139" s="576" t="s">
        <v>1606</v>
      </c>
      <c r="D139" s="577">
        <v>1</v>
      </c>
      <c r="E139" s="578" t="s">
        <v>87</v>
      </c>
      <c r="F139" s="579">
        <v>5000</v>
      </c>
      <c r="G139" s="580">
        <f t="shared" si="12"/>
        <v>5000</v>
      </c>
      <c r="H139" s="581"/>
      <c r="I139" s="549"/>
    </row>
    <row r="140" spans="1:9" x14ac:dyDescent="0.2">
      <c r="A140" s="567" t="str">
        <f t="shared" si="14"/>
        <v>LAZER</v>
      </c>
      <c r="B140" s="568" t="s">
        <v>1610</v>
      </c>
      <c r="C140" s="569" t="s">
        <v>331</v>
      </c>
      <c r="D140" s="570">
        <v>61.35</v>
      </c>
      <c r="E140" s="571"/>
      <c r="F140" s="951">
        <f>G140/D140</f>
        <v>699.59250203748979</v>
      </c>
      <c r="G140" s="572">
        <f>SUM(G141:G153)</f>
        <v>42920</v>
      </c>
      <c r="H140" s="574"/>
      <c r="I140" s="549"/>
    </row>
    <row r="141" spans="1:9" x14ac:dyDescent="0.2">
      <c r="A141" s="567" t="str">
        <f t="shared" si="14"/>
        <v>LAZER</v>
      </c>
      <c r="B141" s="575" t="str">
        <f>B140</f>
        <v>PRAÇA DE FOGO E REDÁRIO</v>
      </c>
      <c r="C141" s="576" t="s">
        <v>1622</v>
      </c>
      <c r="D141" s="577">
        <v>1</v>
      </c>
      <c r="E141" s="578" t="s">
        <v>87</v>
      </c>
      <c r="F141" s="579">
        <v>5000</v>
      </c>
      <c r="G141" s="580">
        <f>D141*F141</f>
        <v>5000</v>
      </c>
      <c r="H141" s="581"/>
      <c r="I141" s="549"/>
    </row>
    <row r="142" spans="1:9" x14ac:dyDescent="0.2">
      <c r="A142" s="567" t="str">
        <f t="shared" si="14"/>
        <v>LAZER</v>
      </c>
      <c r="B142" s="575" t="str">
        <f>B140</f>
        <v>PRAÇA DE FOGO E REDÁRIO</v>
      </c>
      <c r="C142" s="576" t="s">
        <v>1611</v>
      </c>
      <c r="D142" s="577">
        <v>2</v>
      </c>
      <c r="E142" s="578" t="s">
        <v>87</v>
      </c>
      <c r="F142" s="579">
        <v>600</v>
      </c>
      <c r="G142" s="580">
        <f t="shared" ref="G142:G153" si="15">D142*F142</f>
        <v>1200</v>
      </c>
      <c r="H142" s="581"/>
      <c r="I142" s="549"/>
    </row>
    <row r="143" spans="1:9" ht="14.45" customHeight="1" x14ac:dyDescent="0.2">
      <c r="A143" s="567" t="str">
        <f t="shared" si="14"/>
        <v>LAZER</v>
      </c>
      <c r="B143" s="575" t="str">
        <f>B141</f>
        <v>PRAÇA DE FOGO E REDÁRIO</v>
      </c>
      <c r="C143" s="576" t="s">
        <v>1625</v>
      </c>
      <c r="D143" s="577">
        <v>2</v>
      </c>
      <c r="E143" s="578" t="s">
        <v>87</v>
      </c>
      <c r="F143" s="579">
        <v>3000</v>
      </c>
      <c r="G143" s="580">
        <f>D143*F143</f>
        <v>6000</v>
      </c>
      <c r="H143" s="581"/>
      <c r="I143" s="549"/>
    </row>
    <row r="144" spans="1:9" ht="14.45" customHeight="1" x14ac:dyDescent="0.2">
      <c r="A144" s="567" t="str">
        <f t="shared" si="14"/>
        <v>LAZER</v>
      </c>
      <c r="B144" s="575" t="str">
        <f t="shared" ref="B144:B150" si="16">B142</f>
        <v>PRAÇA DE FOGO E REDÁRIO</v>
      </c>
      <c r="C144" s="576" t="s">
        <v>1592</v>
      </c>
      <c r="D144" s="577">
        <v>20</v>
      </c>
      <c r="E144" s="578" t="s">
        <v>87</v>
      </c>
      <c r="F144" s="579">
        <v>300</v>
      </c>
      <c r="G144" s="580">
        <f t="shared" si="15"/>
        <v>6000</v>
      </c>
      <c r="H144" s="581"/>
      <c r="I144" s="549"/>
    </row>
    <row r="145" spans="1:9" ht="14.45" customHeight="1" x14ac:dyDescent="0.2">
      <c r="A145" s="567" t="str">
        <f t="shared" si="14"/>
        <v>LAZER</v>
      </c>
      <c r="B145" s="575" t="str">
        <f>B144</f>
        <v>PRAÇA DE FOGO E REDÁRIO</v>
      </c>
      <c r="C145" s="576" t="s">
        <v>1673</v>
      </c>
      <c r="D145" s="577">
        <v>10</v>
      </c>
      <c r="E145" s="578" t="s">
        <v>87</v>
      </c>
      <c r="F145" s="579">
        <v>500</v>
      </c>
      <c r="G145" s="580">
        <f>D145*F145</f>
        <v>5000</v>
      </c>
      <c r="H145" s="581"/>
      <c r="I145" s="549"/>
    </row>
    <row r="146" spans="1:9" x14ac:dyDescent="0.2">
      <c r="A146" s="567" t="str">
        <f t="shared" si="14"/>
        <v>LAZER</v>
      </c>
      <c r="B146" s="575" t="str">
        <f>B143</f>
        <v>PRAÇA DE FOGO E REDÁRIO</v>
      </c>
      <c r="C146" s="576" t="s">
        <v>1612</v>
      </c>
      <c r="D146" s="577">
        <v>4</v>
      </c>
      <c r="E146" s="578" t="s">
        <v>87</v>
      </c>
      <c r="F146" s="579">
        <v>1200</v>
      </c>
      <c r="G146" s="580">
        <f t="shared" si="15"/>
        <v>4800</v>
      </c>
      <c r="H146" s="581"/>
      <c r="I146" s="549"/>
    </row>
    <row r="147" spans="1:9" x14ac:dyDescent="0.2">
      <c r="A147" s="567" t="str">
        <f t="shared" si="14"/>
        <v>LAZER</v>
      </c>
      <c r="B147" s="575" t="str">
        <f>B144</f>
        <v>PRAÇA DE FOGO E REDÁRIO</v>
      </c>
      <c r="C147" s="576" t="s">
        <v>1613</v>
      </c>
      <c r="D147" s="577">
        <v>4</v>
      </c>
      <c r="E147" s="578" t="s">
        <v>87</v>
      </c>
      <c r="F147" s="579">
        <v>780</v>
      </c>
      <c r="G147" s="580">
        <f t="shared" si="15"/>
        <v>3120</v>
      </c>
      <c r="H147" s="581"/>
      <c r="I147" s="549"/>
    </row>
    <row r="148" spans="1:9" x14ac:dyDescent="0.2">
      <c r="A148" s="567" t="str">
        <f t="shared" si="14"/>
        <v>LAZER</v>
      </c>
      <c r="B148" s="575" t="str">
        <f t="shared" si="16"/>
        <v>PRAÇA DE FOGO E REDÁRIO</v>
      </c>
      <c r="C148" s="576" t="s">
        <v>1684</v>
      </c>
      <c r="D148" s="577">
        <v>4</v>
      </c>
      <c r="E148" s="578" t="s">
        <v>87</v>
      </c>
      <c r="F148" s="579">
        <v>400</v>
      </c>
      <c r="G148" s="580">
        <f t="shared" si="15"/>
        <v>1600</v>
      </c>
      <c r="H148" s="581"/>
      <c r="I148" s="549"/>
    </row>
    <row r="149" spans="1:9" x14ac:dyDescent="0.2">
      <c r="A149" s="567" t="str">
        <f t="shared" si="14"/>
        <v>LAZER</v>
      </c>
      <c r="B149" s="575" t="str">
        <f t="shared" si="16"/>
        <v>PRAÇA DE FOGO E REDÁRIO</v>
      </c>
      <c r="C149" s="576" t="s">
        <v>1614</v>
      </c>
      <c r="D149" s="577">
        <v>6</v>
      </c>
      <c r="E149" s="578" t="s">
        <v>87</v>
      </c>
      <c r="F149" s="579">
        <v>350</v>
      </c>
      <c r="G149" s="580">
        <f t="shared" si="15"/>
        <v>2100</v>
      </c>
      <c r="H149" s="581"/>
      <c r="I149" s="549"/>
    </row>
    <row r="150" spans="1:9" x14ac:dyDescent="0.2">
      <c r="A150" s="567" t="str">
        <f t="shared" si="14"/>
        <v>LAZER</v>
      </c>
      <c r="B150" s="575" t="str">
        <f t="shared" si="16"/>
        <v>PRAÇA DE FOGO E REDÁRIO</v>
      </c>
      <c r="C150" s="576" t="s">
        <v>1615</v>
      </c>
      <c r="D150" s="577">
        <v>6</v>
      </c>
      <c r="E150" s="578" t="s">
        <v>87</v>
      </c>
      <c r="F150" s="579">
        <v>300</v>
      </c>
      <c r="G150" s="580">
        <f t="shared" si="15"/>
        <v>1800</v>
      </c>
      <c r="H150" s="581"/>
      <c r="I150" s="549"/>
    </row>
    <row r="151" spans="1:9" x14ac:dyDescent="0.2">
      <c r="A151" s="567" t="str">
        <f t="shared" si="14"/>
        <v>LAZER</v>
      </c>
      <c r="B151" s="575" t="str">
        <f>B147</f>
        <v>PRAÇA DE FOGO E REDÁRIO</v>
      </c>
      <c r="C151" s="576" t="s">
        <v>1598</v>
      </c>
      <c r="D151" s="577">
        <v>10</v>
      </c>
      <c r="E151" s="578" t="s">
        <v>87</v>
      </c>
      <c r="F151" s="579">
        <v>350</v>
      </c>
      <c r="G151" s="580">
        <f t="shared" si="15"/>
        <v>3500</v>
      </c>
      <c r="H151" s="581"/>
      <c r="I151" s="549"/>
    </row>
    <row r="152" spans="1:9" ht="14.45" customHeight="1" x14ac:dyDescent="0.2">
      <c r="A152" s="567" t="str">
        <f t="shared" si="14"/>
        <v>LAZER</v>
      </c>
      <c r="B152" s="575" t="str">
        <f>B148</f>
        <v>PRAÇA DE FOGO E REDÁRIO</v>
      </c>
      <c r="C152" s="576" t="s">
        <v>1676</v>
      </c>
      <c r="D152" s="577">
        <v>2</v>
      </c>
      <c r="E152" s="578" t="s">
        <v>87</v>
      </c>
      <c r="F152" s="579">
        <v>200</v>
      </c>
      <c r="G152" s="580">
        <f t="shared" si="15"/>
        <v>400</v>
      </c>
      <c r="H152" s="581"/>
      <c r="I152" s="549"/>
    </row>
    <row r="153" spans="1:9" ht="14.45" customHeight="1" x14ac:dyDescent="0.2">
      <c r="A153" s="567" t="str">
        <f t="shared" si="14"/>
        <v>LAZER</v>
      </c>
      <c r="B153" s="575" t="str">
        <f>B152</f>
        <v>PRAÇA DE FOGO E REDÁRIO</v>
      </c>
      <c r="C153" s="576" t="s">
        <v>1685</v>
      </c>
      <c r="D153" s="577">
        <v>6</v>
      </c>
      <c r="E153" s="578" t="s">
        <v>87</v>
      </c>
      <c r="F153" s="579">
        <v>400</v>
      </c>
      <c r="G153" s="580">
        <f t="shared" si="15"/>
        <v>2400</v>
      </c>
      <c r="H153" s="581"/>
      <c r="I153" s="549"/>
    </row>
    <row r="154" spans="1:9" x14ac:dyDescent="0.2">
      <c r="A154" s="567" t="str">
        <f t="shared" si="14"/>
        <v>LAZER</v>
      </c>
      <c r="B154" s="568" t="s">
        <v>1990</v>
      </c>
      <c r="C154" s="569" t="s">
        <v>331</v>
      </c>
      <c r="D154" s="1028">
        <f>D155</f>
        <v>200.29999999999998</v>
      </c>
      <c r="E154" s="571"/>
      <c r="F154" s="572"/>
      <c r="G154" s="573">
        <f>SUM(G155:G155)</f>
        <v>26038.999999999996</v>
      </c>
      <c r="H154" s="574"/>
      <c r="I154" s="549"/>
    </row>
    <row r="155" spans="1:9" x14ac:dyDescent="0.2">
      <c r="A155" s="567" t="str">
        <f t="shared" si="14"/>
        <v>LAZER</v>
      </c>
      <c r="B155" s="575" t="str">
        <f>B154</f>
        <v>REVESTIMENTO DE PISO DE PEDRA</v>
      </c>
      <c r="C155" s="576" t="s">
        <v>1617</v>
      </c>
      <c r="D155" s="577">
        <v>200.29999999999998</v>
      </c>
      <c r="E155" s="578" t="s">
        <v>87</v>
      </c>
      <c r="F155" s="579">
        <v>130</v>
      </c>
      <c r="G155" s="580">
        <f>D155*F155</f>
        <v>26038.999999999996</v>
      </c>
      <c r="H155" s="581"/>
      <c r="I155" s="549"/>
    </row>
    <row r="156" spans="1:9" ht="14.45" customHeight="1" x14ac:dyDescent="0.2">
      <c r="A156" s="560" t="s">
        <v>1991</v>
      </c>
      <c r="B156" s="561"/>
      <c r="C156" s="562" t="s">
        <v>331</v>
      </c>
      <c r="D156" s="563">
        <f ca="1">SUMIF(C157:D273,C156,D157:D273)</f>
        <v>35.01</v>
      </c>
      <c r="E156" s="564"/>
      <c r="F156" s="565">
        <f ca="1">G156/D156</f>
        <v>2513.5675521279636</v>
      </c>
      <c r="G156" s="563">
        <f ca="1">SUMIF(C157:G273,C156,G157:G273)</f>
        <v>88000</v>
      </c>
      <c r="H156" s="566"/>
      <c r="I156" s="549"/>
    </row>
    <row r="157" spans="1:9" x14ac:dyDescent="0.2">
      <c r="A157" s="567" t="str">
        <f>A156</f>
        <v>PAVIMENTO TIPO</v>
      </c>
      <c r="B157" s="568" t="s">
        <v>1627</v>
      </c>
      <c r="C157" s="569" t="s">
        <v>331</v>
      </c>
      <c r="D157" s="570">
        <v>35.01</v>
      </c>
      <c r="E157" s="571"/>
      <c r="F157" s="572"/>
      <c r="G157" s="573">
        <f>SUM(G158:G160)</f>
        <v>88000</v>
      </c>
      <c r="H157" s="574"/>
      <c r="I157" s="549"/>
    </row>
    <row r="158" spans="1:9" x14ac:dyDescent="0.2">
      <c r="A158" s="567" t="str">
        <f>A157</f>
        <v>PAVIMENTO TIPO</v>
      </c>
      <c r="B158" s="575" t="str">
        <f>B157</f>
        <v>HALL DE ENTRADA</v>
      </c>
      <c r="C158" s="576" t="s">
        <v>1615</v>
      </c>
      <c r="D158" s="577">
        <f>20*2</f>
        <v>40</v>
      </c>
      <c r="E158" s="578" t="s">
        <v>87</v>
      </c>
      <c r="F158" s="579">
        <v>500</v>
      </c>
      <c r="G158" s="580">
        <f>D158*F158</f>
        <v>20000</v>
      </c>
      <c r="H158" s="581"/>
      <c r="I158" s="549"/>
    </row>
    <row r="159" spans="1:9" x14ac:dyDescent="0.2">
      <c r="A159" s="567" t="str">
        <f>A158</f>
        <v>PAVIMENTO TIPO</v>
      </c>
      <c r="B159" s="575" t="str">
        <f>B157</f>
        <v>HALL DE ENTRADA</v>
      </c>
      <c r="C159" s="576" t="s">
        <v>1598</v>
      </c>
      <c r="D159" s="577">
        <f>20*4</f>
        <v>80</v>
      </c>
      <c r="E159" s="578" t="s">
        <v>87</v>
      </c>
      <c r="F159" s="579">
        <v>400</v>
      </c>
      <c r="G159" s="580">
        <f>D159*F159</f>
        <v>32000</v>
      </c>
      <c r="H159" s="581"/>
      <c r="I159" s="549"/>
    </row>
    <row r="160" spans="1:9" x14ac:dyDescent="0.2">
      <c r="A160" s="567" t="str">
        <f>A159</f>
        <v>PAVIMENTO TIPO</v>
      </c>
      <c r="B160" s="575" t="str">
        <f>B158</f>
        <v>HALL DE ENTRADA</v>
      </c>
      <c r="C160" s="576" t="s">
        <v>1597</v>
      </c>
      <c r="D160" s="577">
        <f>20*4</f>
        <v>80</v>
      </c>
      <c r="E160" s="578" t="s">
        <v>87</v>
      </c>
      <c r="F160" s="579">
        <v>450</v>
      </c>
      <c r="G160" s="580">
        <f>D160*F160</f>
        <v>36000</v>
      </c>
      <c r="H160" s="581"/>
      <c r="I160" s="549"/>
    </row>
    <row r="161" spans="1:26" ht="13.5" thickBot="1" x14ac:dyDescent="0.25">
      <c r="A161" s="567"/>
      <c r="B161" s="544"/>
      <c r="C161" s="545"/>
      <c r="D161" s="548">
        <f ca="1">D7+D22+D156</f>
        <v>436.93</v>
      </c>
      <c r="E161" s="545"/>
      <c r="F161" s="546">
        <f ca="1">G161/D161</f>
        <v>1999.0723914585858</v>
      </c>
      <c r="G161" s="546">
        <f ca="1">G22+G7+G156</f>
        <v>873454.7</v>
      </c>
      <c r="H161" s="547"/>
      <c r="I161" s="720"/>
    </row>
    <row r="162" spans="1:26" ht="14.25" thickTop="1" thickBot="1" x14ac:dyDescent="0.25">
      <c r="A162" s="567"/>
      <c r="B162" s="544"/>
      <c r="C162" s="545"/>
      <c r="D162" s="545"/>
      <c r="E162" s="545"/>
      <c r="F162" s="546">
        <f ca="1">G162/D161</f>
        <v>2498.8404893232323</v>
      </c>
      <c r="G162" s="546">
        <f ca="1">G161*1.25</f>
        <v>1091818.375</v>
      </c>
      <c r="H162" s="547"/>
      <c r="I162" s="549"/>
    </row>
    <row r="163" spans="1:26" ht="13.5" thickTop="1" x14ac:dyDescent="0.2"/>
    <row r="167" spans="1:26" x14ac:dyDescent="0.2">
      <c r="F167" s="585"/>
    </row>
    <row r="168" spans="1:26" x14ac:dyDescent="0.2">
      <c r="F168" s="586"/>
    </row>
    <row r="169" spans="1:26" x14ac:dyDescent="0.2">
      <c r="F169" s="586"/>
    </row>
    <row r="170" spans="1:26" x14ac:dyDescent="0.2">
      <c r="F170" s="586"/>
    </row>
    <row r="171" spans="1:26" s="584" customFormat="1" x14ac:dyDescent="0.2">
      <c r="C171" s="549"/>
      <c r="D171" s="549"/>
      <c r="E171" s="549"/>
      <c r="F171" s="586"/>
      <c r="G171" s="582"/>
      <c r="H171" s="583"/>
      <c r="J171" s="549"/>
      <c r="K171" s="549"/>
      <c r="L171" s="549"/>
      <c r="M171" s="549"/>
      <c r="N171" s="549"/>
      <c r="O171" s="549"/>
      <c r="P171" s="549"/>
      <c r="Q171" s="549"/>
      <c r="R171" s="549"/>
      <c r="S171" s="549"/>
      <c r="T171" s="549"/>
      <c r="U171" s="549"/>
    </row>
    <row r="172" spans="1:26" s="584" customFormat="1" x14ac:dyDescent="0.2">
      <c r="C172" s="549"/>
      <c r="D172" s="549"/>
      <c r="E172" s="549"/>
      <c r="F172" s="586"/>
      <c r="G172" s="582"/>
      <c r="H172" s="583"/>
      <c r="J172" s="549"/>
      <c r="K172" s="549"/>
      <c r="L172" s="549"/>
      <c r="M172" s="549"/>
      <c r="N172" s="549"/>
      <c r="O172" s="549"/>
      <c r="P172" s="549"/>
      <c r="Q172" s="549"/>
      <c r="R172" s="549"/>
      <c r="S172" s="549"/>
      <c r="T172" s="549"/>
      <c r="U172" s="549"/>
    </row>
    <row r="173" spans="1:26" s="584" customFormat="1" x14ac:dyDescent="0.2">
      <c r="C173" s="549"/>
      <c r="D173" s="549"/>
      <c r="E173" s="549"/>
      <c r="F173" s="582"/>
      <c r="G173" s="582"/>
      <c r="H173" s="583"/>
      <c r="J173" s="549"/>
      <c r="K173" s="549"/>
      <c r="L173" s="549"/>
      <c r="M173" s="549"/>
      <c r="N173" s="549"/>
      <c r="O173" s="549"/>
      <c r="P173" s="549"/>
      <c r="Q173" s="549"/>
      <c r="R173" s="549"/>
      <c r="S173" s="549"/>
      <c r="T173" s="549"/>
      <c r="U173" s="549"/>
    </row>
    <row r="174" spans="1:26" s="584" customFormat="1" x14ac:dyDescent="0.2">
      <c r="A174" s="549"/>
      <c r="B174" s="549"/>
      <c r="C174" s="549"/>
      <c r="D174" s="549"/>
      <c r="E174" s="549"/>
      <c r="F174" s="582"/>
      <c r="G174" s="582"/>
      <c r="H174" s="583"/>
      <c r="J174" s="549"/>
      <c r="K174" s="549"/>
      <c r="L174" s="549"/>
      <c r="M174" s="549"/>
      <c r="N174" s="549"/>
      <c r="O174" s="549"/>
      <c r="P174" s="549"/>
      <c r="Q174" s="549"/>
      <c r="R174" s="549"/>
      <c r="S174" s="549"/>
      <c r="T174" s="549"/>
      <c r="U174" s="549"/>
      <c r="V174" s="549"/>
      <c r="W174" s="549"/>
      <c r="X174" s="549"/>
      <c r="Y174" s="549"/>
      <c r="Z174" s="549"/>
    </row>
    <row r="175" spans="1:26" s="584" customFormat="1" x14ac:dyDescent="0.2">
      <c r="A175" s="549"/>
      <c r="B175" s="549"/>
      <c r="C175" s="549"/>
      <c r="D175" s="549"/>
      <c r="E175" s="549"/>
      <c r="F175" s="582"/>
      <c r="G175" s="582"/>
      <c r="H175" s="583"/>
      <c r="J175" s="549"/>
      <c r="K175" s="549"/>
      <c r="L175" s="549"/>
      <c r="M175" s="549"/>
      <c r="N175" s="549"/>
      <c r="O175" s="549"/>
      <c r="P175" s="549"/>
      <c r="Q175" s="549"/>
      <c r="R175" s="549"/>
      <c r="S175" s="549"/>
      <c r="T175" s="549"/>
      <c r="U175" s="549"/>
      <c r="V175" s="549"/>
      <c r="W175" s="549"/>
      <c r="X175" s="549"/>
      <c r="Y175" s="549"/>
      <c r="Z175" s="549"/>
    </row>
    <row r="176" spans="1:26" s="584" customFormat="1" x14ac:dyDescent="0.2">
      <c r="A176" s="549"/>
      <c r="B176" s="549"/>
      <c r="C176" s="549"/>
      <c r="D176" s="549"/>
      <c r="E176" s="549"/>
      <c r="F176" s="582"/>
      <c r="G176" s="582"/>
      <c r="H176" s="583"/>
      <c r="J176" s="549"/>
      <c r="K176" s="549"/>
      <c r="L176" s="549"/>
      <c r="M176" s="549"/>
      <c r="N176" s="549"/>
      <c r="O176" s="549"/>
      <c r="P176" s="549"/>
      <c r="Q176" s="549"/>
      <c r="R176" s="549"/>
      <c r="S176" s="549"/>
      <c r="T176" s="549"/>
      <c r="U176" s="549"/>
      <c r="V176" s="549"/>
      <c r="W176" s="549"/>
      <c r="X176" s="549"/>
      <c r="Y176" s="549"/>
      <c r="Z176" s="549"/>
    </row>
    <row r="177" spans="1:26" s="584" customFormat="1" x14ac:dyDescent="0.2">
      <c r="A177" s="549"/>
      <c r="B177" s="549"/>
      <c r="C177" s="549"/>
      <c r="D177" s="549"/>
      <c r="E177" s="549"/>
      <c r="F177" s="582"/>
      <c r="G177" s="582"/>
      <c r="H177" s="583"/>
      <c r="J177" s="549"/>
      <c r="K177" s="549"/>
      <c r="L177" s="549"/>
      <c r="M177" s="549"/>
      <c r="N177" s="549"/>
      <c r="O177" s="549"/>
      <c r="P177" s="549"/>
      <c r="Q177" s="549"/>
      <c r="R177" s="549"/>
      <c r="S177" s="549"/>
      <c r="T177" s="549"/>
      <c r="U177" s="549"/>
      <c r="V177" s="549"/>
      <c r="W177" s="549"/>
      <c r="X177" s="549"/>
      <c r="Y177" s="549"/>
      <c r="Z177" s="549"/>
    </row>
    <row r="178" spans="1:26" s="584" customFormat="1" x14ac:dyDescent="0.2">
      <c r="A178" s="549"/>
      <c r="B178" s="549"/>
      <c r="C178" s="549"/>
      <c r="D178" s="549"/>
      <c r="E178" s="549"/>
      <c r="F178" s="582"/>
      <c r="G178" s="582"/>
      <c r="H178" s="583"/>
      <c r="J178" s="549"/>
      <c r="K178" s="549"/>
      <c r="L178" s="549"/>
      <c r="M178" s="549"/>
      <c r="N178" s="549"/>
      <c r="O178" s="549"/>
      <c r="P178" s="549"/>
      <c r="Q178" s="549"/>
      <c r="R178" s="549"/>
      <c r="S178" s="549"/>
      <c r="T178" s="549"/>
      <c r="U178" s="549"/>
      <c r="V178" s="549"/>
      <c r="W178" s="549"/>
      <c r="X178" s="549"/>
      <c r="Y178" s="549"/>
      <c r="Z178" s="549"/>
    </row>
    <row r="179" spans="1:26" s="584" customFormat="1" x14ac:dyDescent="0.2">
      <c r="A179" s="549"/>
      <c r="B179" s="549"/>
      <c r="C179" s="549"/>
      <c r="D179" s="549"/>
      <c r="E179" s="549"/>
      <c r="F179" s="582"/>
      <c r="G179" s="582"/>
      <c r="H179" s="583"/>
      <c r="J179" s="549"/>
      <c r="K179" s="549"/>
      <c r="L179" s="549"/>
      <c r="M179" s="549"/>
      <c r="N179" s="549"/>
      <c r="O179" s="549"/>
      <c r="P179" s="549"/>
      <c r="Q179" s="549"/>
      <c r="R179" s="549"/>
      <c r="S179" s="549"/>
      <c r="T179" s="549"/>
      <c r="U179" s="549"/>
      <c r="V179" s="549"/>
      <c r="W179" s="549"/>
      <c r="X179" s="549"/>
      <c r="Y179" s="549"/>
      <c r="Z179" s="549"/>
    </row>
    <row r="180" spans="1:26" s="584" customFormat="1" x14ac:dyDescent="0.2">
      <c r="A180" s="549"/>
      <c r="B180" s="549"/>
      <c r="C180" s="549"/>
      <c r="D180" s="549"/>
      <c r="E180" s="549"/>
      <c r="F180" s="582"/>
      <c r="G180" s="582"/>
      <c r="H180" s="583"/>
      <c r="J180" s="549"/>
      <c r="K180" s="549"/>
      <c r="L180" s="549"/>
      <c r="M180" s="549"/>
      <c r="N180" s="549"/>
      <c r="O180" s="549"/>
      <c r="P180" s="549"/>
      <c r="Q180" s="549"/>
      <c r="R180" s="549"/>
      <c r="S180" s="549"/>
      <c r="T180" s="549"/>
      <c r="U180" s="549"/>
      <c r="V180" s="549"/>
      <c r="W180" s="549"/>
      <c r="X180" s="549"/>
      <c r="Y180" s="549"/>
      <c r="Z180" s="549"/>
    </row>
  </sheetData>
  <autoFilter ref="D6:H149" xr:uid="{00000000-0009-0000-0000-000022000000}"/>
  <dataConsolidate/>
  <mergeCells count="1">
    <mergeCell ref="A5:H5"/>
  </mergeCells>
  <pageMargins left="0.511811024" right="0.511811024" top="0.78740157499999996" bottom="0.78740157499999996" header="0.31496062000000002" footer="0.31496062000000002"/>
  <pageSetup paperSize="9" scale="21" fitToWidth="0" orientation="landscape" r:id="rId1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0000"/>
  </sheetPr>
  <dimension ref="A1:H23"/>
  <sheetViews>
    <sheetView showGridLines="0" view="pageBreakPreview" topLeftCell="A10" zoomScaleNormal="110" zoomScaleSheetLayoutView="100" workbookViewId="0">
      <selection activeCell="C20" sqref="C20"/>
    </sheetView>
  </sheetViews>
  <sheetFormatPr defaultColWidth="9.140625" defaultRowHeight="15" x14ac:dyDescent="0.25"/>
  <cols>
    <col min="1" max="1" width="29.7109375" style="905" customWidth="1"/>
    <col min="2" max="2" width="13.85546875" style="905" customWidth="1"/>
    <col min="3" max="3" width="60.28515625" style="905" customWidth="1"/>
    <col min="4" max="4" width="13.42578125" style="905" customWidth="1"/>
    <col min="5" max="5" width="20" style="909" customWidth="1"/>
    <col min="6" max="6" width="22" style="909" customWidth="1"/>
    <col min="7" max="7" width="15.42578125" style="905" customWidth="1"/>
    <col min="8" max="8" width="20.42578125" style="905" customWidth="1"/>
    <col min="9" max="16384" width="9.140625" style="905"/>
  </cols>
  <sheetData>
    <row r="1" spans="1:8" x14ac:dyDescent="0.25">
      <c r="A1" s="912"/>
      <c r="B1" s="913" t="s">
        <v>172</v>
      </c>
      <c r="C1" s="914" t="str">
        <f>ORÇAMENTO!I4</f>
        <v>SENSE106</v>
      </c>
      <c r="D1" s="915"/>
      <c r="E1" s="915"/>
      <c r="F1" s="915"/>
      <c r="G1" s="915"/>
      <c r="H1" s="538"/>
    </row>
    <row r="2" spans="1:8" x14ac:dyDescent="0.25">
      <c r="A2" s="916"/>
      <c r="B2" s="362" t="s">
        <v>173</v>
      </c>
      <c r="C2" s="363" t="str">
        <f>ORÇAMENTO!I5</f>
        <v>HOLZE EMPREENDIMENTOS</v>
      </c>
      <c r="D2" s="543"/>
      <c r="E2" s="543"/>
      <c r="F2" s="543"/>
      <c r="G2" s="543"/>
      <c r="H2" s="540"/>
    </row>
    <row r="3" spans="1:8" x14ac:dyDescent="0.25">
      <c r="A3" s="916"/>
      <c r="B3" s="362" t="s">
        <v>190</v>
      </c>
      <c r="C3" s="541">
        <f>ORÇAMENTO!P5</f>
        <v>45608</v>
      </c>
      <c r="D3" s="543"/>
      <c r="E3" s="543"/>
      <c r="F3" s="543"/>
      <c r="G3" s="543"/>
      <c r="H3" s="540"/>
    </row>
    <row r="4" spans="1:8" x14ac:dyDescent="0.25">
      <c r="A4" s="917"/>
      <c r="B4" s="362" t="s">
        <v>174</v>
      </c>
      <c r="C4" s="633" t="str">
        <f>ORÇAMENTO!O5</f>
        <v>R01 - Edileni Silva</v>
      </c>
      <c r="D4" s="543"/>
      <c r="E4" s="543"/>
      <c r="F4" s="543"/>
      <c r="G4" s="543"/>
      <c r="H4" s="539"/>
    </row>
    <row r="5" spans="1:8" ht="28.5" x14ac:dyDescent="0.25">
      <c r="A5" s="1377" t="s">
        <v>1554</v>
      </c>
      <c r="B5" s="1378"/>
      <c r="C5" s="1378"/>
      <c r="D5" s="1378"/>
      <c r="E5" s="1378"/>
      <c r="F5" s="1378"/>
      <c r="G5" s="1378"/>
      <c r="H5" s="1379"/>
    </row>
    <row r="6" spans="1:8" ht="28.5" x14ac:dyDescent="0.6">
      <c r="A6" s="918"/>
      <c r="B6" s="919"/>
      <c r="C6" s="920"/>
      <c r="D6" s="920"/>
      <c r="E6" s="906"/>
      <c r="F6" s="906"/>
      <c r="H6" s="921"/>
    </row>
    <row r="7" spans="1:8" ht="28.5" x14ac:dyDescent="0.25">
      <c r="A7" s="1380" t="s">
        <v>1555</v>
      </c>
      <c r="B7" s="1381"/>
      <c r="C7" s="1381"/>
      <c r="D7" s="1381"/>
      <c r="E7" s="1381"/>
      <c r="F7" s="1381"/>
      <c r="G7" s="1381"/>
      <c r="H7" s="1382"/>
    </row>
    <row r="8" spans="1:8" ht="21.75" x14ac:dyDescent="0.6">
      <c r="A8" s="922"/>
      <c r="B8" s="923"/>
      <c r="C8" s="923"/>
      <c r="D8" s="923"/>
      <c r="E8" s="923"/>
      <c r="F8" s="923"/>
      <c r="G8" s="923"/>
      <c r="H8" s="924"/>
    </row>
    <row r="9" spans="1:8" ht="21.75" x14ac:dyDescent="0.6">
      <c r="A9" s="925" t="s">
        <v>1555</v>
      </c>
      <c r="B9" s="907"/>
      <c r="C9" s="907"/>
      <c r="D9" s="907"/>
      <c r="E9" s="907"/>
      <c r="F9" s="907"/>
      <c r="G9" s="907"/>
      <c r="H9" s="926"/>
    </row>
    <row r="10" spans="1:8" ht="21.75" x14ac:dyDescent="0.6">
      <c r="A10" s="927"/>
      <c r="E10" s="905"/>
      <c r="F10" s="905"/>
      <c r="H10" s="924"/>
    </row>
    <row r="11" spans="1:8" ht="21.75" x14ac:dyDescent="0.6">
      <c r="A11" s="927"/>
      <c r="E11" s="905"/>
      <c r="F11" s="905"/>
      <c r="H11" s="924"/>
    </row>
    <row r="12" spans="1:8" ht="21.75" x14ac:dyDescent="0.6">
      <c r="A12" s="927"/>
      <c r="C12" s="933" t="s">
        <v>1556</v>
      </c>
      <c r="D12" s="934" t="s">
        <v>93</v>
      </c>
      <c r="E12" s="940" t="s">
        <v>1557</v>
      </c>
      <c r="F12" s="932" t="s">
        <v>1558</v>
      </c>
      <c r="G12" s="943" t="s">
        <v>1559</v>
      </c>
      <c r="H12" s="924"/>
    </row>
    <row r="13" spans="1:8" ht="31.5" x14ac:dyDescent="0.6">
      <c r="A13" s="927"/>
      <c r="C13" s="948" t="s">
        <v>1564</v>
      </c>
      <c r="D13" s="931">
        <v>4</v>
      </c>
      <c r="E13" s="941" t="s">
        <v>1560</v>
      </c>
      <c r="F13" s="946">
        <v>169</v>
      </c>
      <c r="G13" s="944">
        <f t="shared" ref="G13:G21" si="0">F13*D13</f>
        <v>676</v>
      </c>
      <c r="H13" s="924"/>
    </row>
    <row r="14" spans="1:8" ht="31.5" x14ac:dyDescent="0.6">
      <c r="A14" s="927"/>
      <c r="C14" s="949" t="s">
        <v>1565</v>
      </c>
      <c r="D14" s="908">
        <v>1</v>
      </c>
      <c r="E14" s="942" t="s">
        <v>1560</v>
      </c>
      <c r="F14" s="947">
        <v>199</v>
      </c>
      <c r="G14" s="945">
        <f t="shared" si="0"/>
        <v>199</v>
      </c>
      <c r="H14" s="924"/>
    </row>
    <row r="15" spans="1:8" ht="31.5" x14ac:dyDescent="0.6">
      <c r="A15" s="927"/>
      <c r="C15" s="949" t="s">
        <v>1561</v>
      </c>
      <c r="D15" s="908">
        <v>10</v>
      </c>
      <c r="E15" s="942" t="s">
        <v>1560</v>
      </c>
      <c r="F15" s="947">
        <v>199</v>
      </c>
      <c r="G15" s="945">
        <f t="shared" si="0"/>
        <v>1990</v>
      </c>
      <c r="H15" s="924"/>
    </row>
    <row r="16" spans="1:8" ht="21.75" x14ac:dyDescent="0.6">
      <c r="A16" s="927"/>
      <c r="C16" s="950" t="s">
        <v>1562</v>
      </c>
      <c r="D16" s="908">
        <v>1</v>
      </c>
      <c r="E16" s="942" t="s">
        <v>1560</v>
      </c>
      <c r="F16" s="947">
        <v>889</v>
      </c>
      <c r="G16" s="945">
        <f t="shared" si="0"/>
        <v>889</v>
      </c>
      <c r="H16" s="924"/>
    </row>
    <row r="17" spans="1:8" ht="21.75" x14ac:dyDescent="0.6">
      <c r="A17" s="927"/>
      <c r="C17" s="950" t="s">
        <v>1566</v>
      </c>
      <c r="D17" s="908">
        <v>1</v>
      </c>
      <c r="E17" s="942" t="s">
        <v>1560</v>
      </c>
      <c r="F17" s="947">
        <f>2470.5+452</f>
        <v>2922.5</v>
      </c>
      <c r="G17" s="945">
        <f t="shared" si="0"/>
        <v>2922.5</v>
      </c>
      <c r="H17" s="924"/>
    </row>
    <row r="18" spans="1:8" ht="21.75" x14ac:dyDescent="0.6">
      <c r="A18" s="927"/>
      <c r="C18" s="908" t="s">
        <v>1567</v>
      </c>
      <c r="D18" s="908">
        <v>2</v>
      </c>
      <c r="E18" s="942" t="s">
        <v>1560</v>
      </c>
      <c r="F18" s="962">
        <v>5880</v>
      </c>
      <c r="G18" s="945">
        <f t="shared" si="0"/>
        <v>11760</v>
      </c>
      <c r="H18" s="924"/>
    </row>
    <row r="19" spans="1:8" ht="21.75" x14ac:dyDescent="0.6">
      <c r="A19" s="927"/>
      <c r="C19" s="908" t="s">
        <v>1568</v>
      </c>
      <c r="D19" s="908">
        <v>1</v>
      </c>
      <c r="E19" s="942" t="s">
        <v>1560</v>
      </c>
      <c r="F19" s="962">
        <v>2615</v>
      </c>
      <c r="G19" s="945">
        <f t="shared" si="0"/>
        <v>2615</v>
      </c>
      <c r="H19" s="924"/>
    </row>
    <row r="20" spans="1:8" ht="21.75" x14ac:dyDescent="0.6">
      <c r="A20" s="927"/>
      <c r="C20" s="908" t="s">
        <v>1569</v>
      </c>
      <c r="D20" s="908">
        <v>1</v>
      </c>
      <c r="E20" s="942" t="s">
        <v>1560</v>
      </c>
      <c r="F20" s="947">
        <v>44000</v>
      </c>
      <c r="G20" s="945">
        <f t="shared" si="0"/>
        <v>44000</v>
      </c>
      <c r="H20" s="924"/>
    </row>
    <row r="21" spans="1:8" ht="21.75" x14ac:dyDescent="0.6">
      <c r="A21" s="927"/>
      <c r="C21" s="908" t="s">
        <v>1563</v>
      </c>
      <c r="D21" s="908">
        <v>1</v>
      </c>
      <c r="E21" s="942" t="s">
        <v>1560</v>
      </c>
      <c r="F21" s="947">
        <v>3200</v>
      </c>
      <c r="G21" s="945">
        <f t="shared" si="0"/>
        <v>3200</v>
      </c>
      <c r="H21" s="924"/>
    </row>
    <row r="22" spans="1:8" ht="21.75" x14ac:dyDescent="0.6">
      <c r="A22" s="930"/>
      <c r="C22" s="935" t="s">
        <v>14</v>
      </c>
      <c r="D22" s="936"/>
      <c r="E22" s="937"/>
      <c r="F22" s="938"/>
      <c r="G22" s="939">
        <f>SUM(G13:G21)</f>
        <v>68251.5</v>
      </c>
      <c r="H22" s="924"/>
    </row>
    <row r="23" spans="1:8" x14ac:dyDescent="0.25">
      <c r="A23" s="928"/>
      <c r="B23" s="910"/>
      <c r="C23" s="910"/>
      <c r="D23" s="910"/>
      <c r="E23" s="911"/>
      <c r="F23" s="911"/>
      <c r="G23" s="910"/>
      <c r="H23" s="929"/>
    </row>
  </sheetData>
  <mergeCells count="2">
    <mergeCell ref="A5:H5"/>
    <mergeCell ref="A7:H7"/>
  </mergeCells>
  <pageMargins left="0.511811024" right="0.511811024" top="0.78740157499999996" bottom="0.78740157499999996" header="0.31496062000000002" footer="0.31496062000000002"/>
  <pageSetup paperSize="9" scale="48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43800"/>
  </sheetPr>
  <dimension ref="A1:Z140"/>
  <sheetViews>
    <sheetView showGridLines="0" view="pageBreakPreview" topLeftCell="A115" zoomScale="85" zoomScaleNormal="85" zoomScaleSheetLayoutView="85" workbookViewId="0">
      <selection activeCell="A7" sqref="A1:XFD1048576"/>
    </sheetView>
  </sheetViews>
  <sheetFormatPr defaultColWidth="8.85546875" defaultRowHeight="12.75" x14ac:dyDescent="0.2"/>
  <cols>
    <col min="1" max="1" width="20.5703125" style="476" customWidth="1"/>
    <col min="2" max="2" width="38.7109375" style="476" bestFit="1" customWidth="1"/>
    <col min="3" max="3" width="60" style="476" bestFit="1" customWidth="1"/>
    <col min="4" max="4" width="8.140625" style="476" bestFit="1" customWidth="1"/>
    <col min="5" max="6" width="12.140625" style="477" customWidth="1"/>
    <col min="7" max="7" width="16.28515625" style="477" customWidth="1"/>
    <col min="8" max="16384" width="8.85546875" style="476"/>
  </cols>
  <sheetData>
    <row r="1" spans="1:26" ht="15.75" customHeight="1" x14ac:dyDescent="0.2">
      <c r="A1" s="362" t="s">
        <v>172</v>
      </c>
      <c r="B1" s="339" t="s">
        <v>387</v>
      </c>
      <c r="C1" s="339"/>
      <c r="D1" s="339"/>
      <c r="E1" s="339"/>
      <c r="F1" s="589"/>
      <c r="G1" s="538"/>
      <c r="H1" s="475"/>
      <c r="I1" s="475"/>
    </row>
    <row r="2" spans="1:26" ht="15.75" customHeight="1" x14ac:dyDescent="0.2">
      <c r="A2" s="362" t="s">
        <v>173</v>
      </c>
      <c r="B2" s="363" t="s">
        <v>388</v>
      </c>
      <c r="C2" s="363"/>
      <c r="D2" s="363"/>
      <c r="E2" s="363"/>
      <c r="F2" s="590"/>
      <c r="G2" s="540"/>
      <c r="H2" s="475"/>
      <c r="I2" s="475"/>
    </row>
    <row r="3" spans="1:26" ht="15.75" customHeight="1" x14ac:dyDescent="0.2">
      <c r="A3" s="362" t="s">
        <v>190</v>
      </c>
      <c r="B3" s="541">
        <v>45545</v>
      </c>
      <c r="C3" s="541"/>
      <c r="D3" s="541"/>
      <c r="E3" s="541"/>
      <c r="F3" s="590"/>
      <c r="G3" s="540"/>
      <c r="H3" s="475"/>
      <c r="I3" s="475"/>
    </row>
    <row r="4" spans="1:26" x14ac:dyDescent="0.2">
      <c r="A4" s="362" t="s">
        <v>174</v>
      </c>
      <c r="B4" s="633" t="s">
        <v>389</v>
      </c>
      <c r="C4" s="633"/>
      <c r="D4" s="633"/>
      <c r="E4" s="633"/>
      <c r="F4" s="590"/>
      <c r="G4" s="539"/>
    </row>
    <row r="5" spans="1:26" s="549" customFormat="1" ht="24" customHeight="1" thickBot="1" x14ac:dyDescent="0.25">
      <c r="A5" s="1383" t="s">
        <v>253</v>
      </c>
      <c r="B5" s="1383"/>
      <c r="C5" s="1383"/>
      <c r="D5" s="1383"/>
      <c r="E5" s="1383"/>
      <c r="F5" s="1383"/>
      <c r="G5" s="1383"/>
      <c r="H5" s="476"/>
      <c r="I5" s="476"/>
      <c r="J5" s="476"/>
      <c r="K5" s="476"/>
      <c r="L5" s="476"/>
    </row>
    <row r="6" spans="1:26" ht="39" customHeight="1" x14ac:dyDescent="0.2">
      <c r="A6" s="553" t="s">
        <v>225</v>
      </c>
      <c r="B6" s="553" t="s">
        <v>227</v>
      </c>
      <c r="C6" s="553" t="s">
        <v>254</v>
      </c>
      <c r="D6" s="553" t="s">
        <v>255</v>
      </c>
      <c r="E6" s="553" t="s">
        <v>256</v>
      </c>
      <c r="F6" s="553" t="s">
        <v>308</v>
      </c>
      <c r="G6" s="553" t="s">
        <v>14</v>
      </c>
    </row>
    <row r="7" spans="1:26" s="848" customFormat="1" x14ac:dyDescent="0.2">
      <c r="A7" s="1387" t="s">
        <v>228</v>
      </c>
      <c r="B7" s="904" t="s">
        <v>1541</v>
      </c>
      <c r="C7" s="809"/>
      <c r="D7" s="809"/>
      <c r="E7" s="810"/>
      <c r="F7" s="810">
        <v>2</v>
      </c>
      <c r="G7" s="890"/>
      <c r="H7" s="811"/>
      <c r="I7" s="811"/>
      <c r="J7" s="811"/>
      <c r="K7" s="811"/>
      <c r="L7" s="811"/>
      <c r="M7" s="811"/>
      <c r="N7" s="811"/>
      <c r="O7" s="811"/>
      <c r="P7" s="811"/>
      <c r="Q7" s="811"/>
      <c r="R7" s="811"/>
      <c r="S7" s="811"/>
      <c r="T7" s="811"/>
      <c r="U7" s="811"/>
      <c r="V7" s="811"/>
      <c r="W7" s="811"/>
      <c r="X7" s="811"/>
      <c r="Y7" s="811"/>
      <c r="Z7" s="811"/>
    </row>
    <row r="8" spans="1:26" s="848" customFormat="1" ht="12.75" customHeight="1" x14ac:dyDescent="0.2">
      <c r="A8" s="1387"/>
      <c r="B8" s="1384" t="s">
        <v>1238</v>
      </c>
      <c r="C8" s="813" t="s">
        <v>259</v>
      </c>
      <c r="D8" s="814" t="s">
        <v>2</v>
      </c>
      <c r="E8" s="815">
        <v>1</v>
      </c>
      <c r="F8" s="815"/>
      <c r="G8" s="891">
        <f>E8*$F$7</f>
        <v>2</v>
      </c>
      <c r="H8" s="811"/>
      <c r="I8" s="811"/>
      <c r="J8" s="811"/>
      <c r="K8" s="811"/>
      <c r="L8" s="811"/>
      <c r="M8" s="811"/>
      <c r="N8" s="811"/>
      <c r="O8" s="811"/>
      <c r="P8" s="811"/>
      <c r="Q8" s="811"/>
      <c r="R8" s="811"/>
      <c r="S8" s="811"/>
      <c r="T8" s="811"/>
      <c r="U8" s="811"/>
      <c r="V8" s="811"/>
      <c r="W8" s="811"/>
      <c r="X8" s="811"/>
      <c r="Y8" s="811"/>
      <c r="Z8" s="811"/>
    </row>
    <row r="9" spans="1:26" s="848" customFormat="1" ht="12.75" customHeight="1" x14ac:dyDescent="0.2">
      <c r="A9" s="1387"/>
      <c r="B9" s="1385"/>
      <c r="C9" s="813" t="s">
        <v>260</v>
      </c>
      <c r="D9" s="814" t="s">
        <v>2</v>
      </c>
      <c r="E9" s="815">
        <v>1</v>
      </c>
      <c r="F9" s="815"/>
      <c r="G9" s="891">
        <f t="shared" ref="G9:G17" si="0">E9*$F$7</f>
        <v>2</v>
      </c>
      <c r="H9" s="811"/>
      <c r="I9" s="811"/>
      <c r="J9" s="811"/>
      <c r="K9" s="811"/>
      <c r="L9" s="811"/>
      <c r="M9" s="811"/>
      <c r="N9" s="811"/>
      <c r="O9" s="811"/>
      <c r="P9" s="811"/>
      <c r="Q9" s="811"/>
      <c r="R9" s="811"/>
      <c r="S9" s="811"/>
      <c r="T9" s="811"/>
      <c r="U9" s="811"/>
      <c r="V9" s="811"/>
      <c r="W9" s="811"/>
      <c r="X9" s="811"/>
      <c r="Y9" s="811"/>
      <c r="Z9" s="811"/>
    </row>
    <row r="10" spans="1:26" s="848" customFormat="1" ht="12.75" customHeight="1" x14ac:dyDescent="0.2">
      <c r="A10" s="1387"/>
      <c r="B10" s="1385"/>
      <c r="C10" s="813" t="s">
        <v>261</v>
      </c>
      <c r="D10" s="814" t="s">
        <v>2</v>
      </c>
      <c r="E10" s="815">
        <v>1</v>
      </c>
      <c r="F10" s="815"/>
      <c r="G10" s="891">
        <f t="shared" si="0"/>
        <v>2</v>
      </c>
      <c r="H10" s="811"/>
      <c r="I10" s="811"/>
      <c r="J10" s="811"/>
      <c r="K10" s="811"/>
      <c r="L10" s="811"/>
      <c r="M10" s="811"/>
      <c r="N10" s="811"/>
      <c r="O10" s="811"/>
      <c r="P10" s="811"/>
      <c r="Q10" s="811"/>
      <c r="R10" s="811"/>
      <c r="S10" s="811"/>
      <c r="T10" s="811"/>
      <c r="U10" s="811"/>
      <c r="V10" s="811"/>
      <c r="W10" s="811"/>
      <c r="X10" s="811"/>
      <c r="Y10" s="811"/>
      <c r="Z10" s="811"/>
    </row>
    <row r="11" spans="1:26" s="848" customFormat="1" ht="12.75" customHeight="1" x14ac:dyDescent="0.2">
      <c r="A11" s="1387"/>
      <c r="B11" s="1385"/>
      <c r="C11" s="814" t="s">
        <v>1239</v>
      </c>
      <c r="D11" s="814" t="s">
        <v>2</v>
      </c>
      <c r="E11" s="815">
        <v>1</v>
      </c>
      <c r="F11" s="815"/>
      <c r="G11" s="891">
        <f t="shared" si="0"/>
        <v>2</v>
      </c>
      <c r="H11" s="811"/>
      <c r="I11" s="811"/>
      <c r="J11" s="811"/>
      <c r="K11" s="811"/>
      <c r="L11" s="811"/>
      <c r="M11" s="811"/>
      <c r="N11" s="811"/>
      <c r="O11" s="811"/>
      <c r="P11" s="811"/>
      <c r="Q11" s="811"/>
      <c r="R11" s="811"/>
      <c r="S11" s="811"/>
      <c r="T11" s="811"/>
      <c r="U11" s="811"/>
      <c r="V11" s="811"/>
      <c r="W11" s="811"/>
      <c r="X11" s="811"/>
      <c r="Y11" s="811"/>
      <c r="Z11" s="811"/>
    </row>
    <row r="12" spans="1:26" s="848" customFormat="1" ht="12.75" customHeight="1" x14ac:dyDescent="0.2">
      <c r="A12" s="1387"/>
      <c r="B12" s="1385"/>
      <c r="C12" s="814" t="s">
        <v>266</v>
      </c>
      <c r="D12" s="814" t="s">
        <v>2</v>
      </c>
      <c r="E12" s="815">
        <v>2</v>
      </c>
      <c r="F12" s="815"/>
      <c r="G12" s="891">
        <f t="shared" si="0"/>
        <v>4</v>
      </c>
      <c r="H12" s="811"/>
      <c r="I12" s="811"/>
      <c r="J12" s="811"/>
      <c r="K12" s="811"/>
      <c r="L12" s="811"/>
      <c r="M12" s="811"/>
      <c r="N12" s="811"/>
      <c r="O12" s="811"/>
      <c r="P12" s="811"/>
      <c r="Q12" s="811"/>
      <c r="R12" s="811"/>
      <c r="S12" s="811"/>
      <c r="T12" s="811"/>
      <c r="U12" s="811"/>
      <c r="V12" s="811"/>
      <c r="W12" s="811"/>
      <c r="X12" s="811"/>
      <c r="Y12" s="811"/>
      <c r="Z12" s="811"/>
    </row>
    <row r="13" spans="1:26" s="848" customFormat="1" ht="12.75" customHeight="1" x14ac:dyDescent="0.2">
      <c r="A13" s="1387"/>
      <c r="B13" s="1385"/>
      <c r="C13" s="814" t="s">
        <v>267</v>
      </c>
      <c r="D13" s="814" t="s">
        <v>2</v>
      </c>
      <c r="E13" s="815">
        <v>1</v>
      </c>
      <c r="F13" s="815"/>
      <c r="G13" s="891">
        <f t="shared" si="0"/>
        <v>2</v>
      </c>
      <c r="H13" s="811"/>
      <c r="I13" s="811"/>
      <c r="J13" s="811"/>
      <c r="K13" s="811"/>
      <c r="L13" s="811"/>
      <c r="M13" s="811"/>
      <c r="N13" s="811"/>
      <c r="O13" s="811"/>
      <c r="P13" s="811"/>
      <c r="Q13" s="811"/>
      <c r="R13" s="811"/>
      <c r="S13" s="811"/>
      <c r="T13" s="811"/>
      <c r="U13" s="811"/>
      <c r="V13" s="811"/>
      <c r="W13" s="811"/>
      <c r="X13" s="811"/>
      <c r="Y13" s="811"/>
      <c r="Z13" s="811"/>
    </row>
    <row r="14" spans="1:26" s="848" customFormat="1" ht="12.75" customHeight="1" x14ac:dyDescent="0.2">
      <c r="A14" s="1387"/>
      <c r="B14" s="1385"/>
      <c r="C14" s="814" t="s">
        <v>268</v>
      </c>
      <c r="D14" s="814" t="s">
        <v>2</v>
      </c>
      <c r="E14" s="815">
        <v>1</v>
      </c>
      <c r="F14" s="815"/>
      <c r="G14" s="891">
        <f t="shared" si="0"/>
        <v>2</v>
      </c>
      <c r="H14" s="811"/>
      <c r="I14" s="811"/>
      <c r="J14" s="811"/>
      <c r="K14" s="811"/>
      <c r="L14" s="811"/>
      <c r="M14" s="811"/>
      <c r="N14" s="811"/>
      <c r="O14" s="811"/>
      <c r="P14" s="811"/>
      <c r="Q14" s="811"/>
      <c r="R14" s="811"/>
      <c r="S14" s="811"/>
      <c r="T14" s="811"/>
      <c r="U14" s="811"/>
      <c r="V14" s="811"/>
      <c r="W14" s="811"/>
      <c r="X14" s="811"/>
      <c r="Y14" s="811"/>
      <c r="Z14" s="811"/>
    </row>
    <row r="15" spans="1:26" s="848" customFormat="1" ht="12.75" customHeight="1" x14ac:dyDescent="0.2">
      <c r="A15" s="1387"/>
      <c r="B15" s="1385"/>
      <c r="C15" s="814" t="s">
        <v>269</v>
      </c>
      <c r="D15" s="814" t="s">
        <v>2</v>
      </c>
      <c r="E15" s="815">
        <v>2</v>
      </c>
      <c r="F15" s="815"/>
      <c r="G15" s="891">
        <f t="shared" si="0"/>
        <v>4</v>
      </c>
      <c r="H15" s="811"/>
      <c r="I15" s="811"/>
      <c r="J15" s="811"/>
      <c r="K15" s="811"/>
      <c r="L15" s="811"/>
      <c r="M15" s="811"/>
      <c r="N15" s="811"/>
      <c r="O15" s="811"/>
      <c r="P15" s="811"/>
      <c r="Q15" s="811"/>
      <c r="R15" s="811"/>
      <c r="S15" s="811"/>
      <c r="T15" s="811"/>
      <c r="U15" s="811"/>
      <c r="V15" s="811"/>
      <c r="W15" s="811"/>
      <c r="X15" s="811"/>
      <c r="Y15" s="811"/>
      <c r="Z15" s="811"/>
    </row>
    <row r="16" spans="1:26" s="848" customFormat="1" ht="12.75" customHeight="1" x14ac:dyDescent="0.2">
      <c r="A16" s="1387"/>
      <c r="B16" s="1385"/>
      <c r="C16" s="814" t="s">
        <v>270</v>
      </c>
      <c r="D16" s="814" t="s">
        <v>2</v>
      </c>
      <c r="E16" s="815">
        <v>1</v>
      </c>
      <c r="F16" s="815"/>
      <c r="G16" s="891">
        <f t="shared" si="0"/>
        <v>2</v>
      </c>
      <c r="H16" s="811"/>
      <c r="I16" s="811"/>
      <c r="J16" s="811"/>
      <c r="K16" s="811"/>
      <c r="L16" s="811"/>
      <c r="M16" s="811"/>
      <c r="N16" s="811"/>
      <c r="O16" s="811"/>
      <c r="P16" s="811"/>
      <c r="Q16" s="811"/>
      <c r="R16" s="811"/>
      <c r="S16" s="811"/>
      <c r="T16" s="811"/>
      <c r="U16" s="811"/>
      <c r="V16" s="811"/>
      <c r="W16" s="811"/>
      <c r="X16" s="811"/>
      <c r="Y16" s="811"/>
      <c r="Z16" s="811"/>
    </row>
    <row r="17" spans="1:26" s="848" customFormat="1" ht="12.75" customHeight="1" x14ac:dyDescent="0.2">
      <c r="A17" s="1387"/>
      <c r="B17" s="1386"/>
      <c r="C17" s="814" t="s">
        <v>264</v>
      </c>
      <c r="D17" s="814" t="s">
        <v>2</v>
      </c>
      <c r="E17" s="815">
        <v>1</v>
      </c>
      <c r="F17" s="815"/>
      <c r="G17" s="891">
        <f t="shared" si="0"/>
        <v>2</v>
      </c>
      <c r="H17" s="811"/>
      <c r="I17" s="811"/>
      <c r="J17" s="811"/>
      <c r="K17" s="811"/>
      <c r="L17" s="811"/>
      <c r="M17" s="811"/>
      <c r="N17" s="811"/>
      <c r="O17" s="811"/>
      <c r="P17" s="811"/>
      <c r="Q17" s="811"/>
      <c r="R17" s="811"/>
      <c r="S17" s="811"/>
      <c r="T17" s="811"/>
      <c r="U17" s="811"/>
      <c r="V17" s="811"/>
      <c r="W17" s="811"/>
      <c r="X17" s="811"/>
      <c r="Y17" s="811"/>
      <c r="Z17" s="811"/>
    </row>
    <row r="18" spans="1:26" s="848" customFormat="1" ht="12.75" customHeight="1" x14ac:dyDescent="0.2">
      <c r="A18" s="1387"/>
      <c r="B18" s="901" t="s">
        <v>1542</v>
      </c>
      <c r="C18" s="816"/>
      <c r="D18" s="816"/>
      <c r="E18" s="817"/>
      <c r="F18" s="893">
        <v>1</v>
      </c>
      <c r="G18" s="894"/>
      <c r="H18" s="811"/>
      <c r="I18" s="811"/>
      <c r="J18" s="811"/>
      <c r="K18" s="811"/>
      <c r="L18" s="811"/>
      <c r="M18" s="811"/>
      <c r="N18" s="811"/>
      <c r="O18" s="811"/>
      <c r="P18" s="811"/>
      <c r="Q18" s="811"/>
      <c r="R18" s="811"/>
      <c r="S18" s="811"/>
      <c r="T18" s="811"/>
      <c r="U18" s="811"/>
      <c r="V18" s="811"/>
      <c r="W18" s="811"/>
      <c r="X18" s="811"/>
      <c r="Y18" s="811"/>
      <c r="Z18" s="811"/>
    </row>
    <row r="19" spans="1:26" s="848" customFormat="1" ht="12.75" customHeight="1" x14ac:dyDescent="0.2">
      <c r="A19" s="1387"/>
      <c r="B19" s="1384" t="s">
        <v>1238</v>
      </c>
      <c r="C19" s="818" t="s">
        <v>1239</v>
      </c>
      <c r="D19" s="814" t="s">
        <v>2</v>
      </c>
      <c r="E19" s="815">
        <v>2</v>
      </c>
      <c r="F19" s="815"/>
      <c r="G19" s="891">
        <f>E19*$F$18</f>
        <v>2</v>
      </c>
      <c r="H19" s="811"/>
      <c r="I19" s="811"/>
      <c r="J19" s="811"/>
      <c r="K19" s="811"/>
      <c r="L19" s="811"/>
      <c r="M19" s="811"/>
      <c r="N19" s="811"/>
      <c r="O19" s="811"/>
      <c r="P19" s="811"/>
      <c r="Q19" s="811"/>
      <c r="R19" s="811"/>
      <c r="S19" s="811"/>
      <c r="T19" s="811"/>
      <c r="U19" s="811"/>
      <c r="V19" s="811"/>
      <c r="W19" s="811"/>
      <c r="X19" s="811"/>
      <c r="Y19" s="811"/>
      <c r="Z19" s="811"/>
    </row>
    <row r="20" spans="1:26" s="848" customFormat="1" ht="12.75" customHeight="1" x14ac:dyDescent="0.2">
      <c r="A20" s="1387"/>
      <c r="B20" s="1385"/>
      <c r="C20" s="814" t="s">
        <v>267</v>
      </c>
      <c r="D20" s="814" t="s">
        <v>2</v>
      </c>
      <c r="E20" s="815">
        <v>1</v>
      </c>
      <c r="F20" s="815"/>
      <c r="G20" s="891">
        <f t="shared" ref="G20:G27" si="1">E20*$F$18</f>
        <v>1</v>
      </c>
      <c r="H20" s="811"/>
      <c r="I20" s="811"/>
      <c r="J20" s="811"/>
      <c r="K20" s="811"/>
      <c r="L20" s="811"/>
      <c r="M20" s="811"/>
      <c r="N20" s="811"/>
      <c r="O20" s="811"/>
      <c r="P20" s="811"/>
      <c r="Q20" s="811"/>
      <c r="R20" s="811"/>
      <c r="S20" s="811"/>
      <c r="T20" s="811"/>
      <c r="U20" s="811"/>
      <c r="V20" s="811"/>
      <c r="W20" s="811"/>
      <c r="X20" s="811"/>
      <c r="Y20" s="811"/>
      <c r="Z20" s="811"/>
    </row>
    <row r="21" spans="1:26" s="848" customFormat="1" ht="12.75" customHeight="1" x14ac:dyDescent="0.2">
      <c r="A21" s="1387"/>
      <c r="B21" s="1385"/>
      <c r="C21" s="814" t="s">
        <v>309</v>
      </c>
      <c r="D21" s="814" t="s">
        <v>2</v>
      </c>
      <c r="E21" s="815">
        <v>1</v>
      </c>
      <c r="F21" s="815"/>
      <c r="G21" s="891">
        <f t="shared" si="1"/>
        <v>1</v>
      </c>
      <c r="H21" s="811"/>
      <c r="I21" s="811"/>
      <c r="J21" s="811"/>
      <c r="K21" s="811"/>
      <c r="L21" s="811"/>
      <c r="M21" s="811"/>
      <c r="N21" s="811"/>
      <c r="O21" s="811"/>
      <c r="P21" s="811"/>
      <c r="Q21" s="811"/>
      <c r="R21" s="811"/>
      <c r="S21" s="811"/>
      <c r="T21" s="811"/>
      <c r="U21" s="811"/>
      <c r="V21" s="811"/>
      <c r="W21" s="811"/>
      <c r="X21" s="811"/>
      <c r="Y21" s="811"/>
      <c r="Z21" s="811"/>
    </row>
    <row r="22" spans="1:26" s="848" customFormat="1" ht="12.75" customHeight="1" x14ac:dyDescent="0.2">
      <c r="A22" s="1387"/>
      <c r="B22" s="1385"/>
      <c r="C22" s="814" t="s">
        <v>1242</v>
      </c>
      <c r="D22" s="814" t="s">
        <v>2</v>
      </c>
      <c r="E22" s="815">
        <v>1</v>
      </c>
      <c r="F22" s="815"/>
      <c r="G22" s="891">
        <f>E22*$F$18</f>
        <v>1</v>
      </c>
      <c r="H22" s="811"/>
      <c r="I22" s="811"/>
      <c r="J22" s="811"/>
      <c r="K22" s="811"/>
      <c r="L22" s="811"/>
      <c r="M22" s="811"/>
      <c r="N22" s="811"/>
      <c r="O22" s="811"/>
      <c r="P22" s="811"/>
      <c r="Q22" s="811"/>
      <c r="R22" s="811"/>
      <c r="S22" s="811"/>
      <c r="T22" s="811"/>
      <c r="U22" s="811"/>
      <c r="V22" s="811"/>
      <c r="W22" s="811"/>
      <c r="X22" s="811"/>
      <c r="Y22" s="811"/>
      <c r="Z22" s="811"/>
    </row>
    <row r="23" spans="1:26" s="848" customFormat="1" ht="12.75" customHeight="1" x14ac:dyDescent="0.2">
      <c r="A23" s="1387"/>
      <c r="B23" s="1385"/>
      <c r="C23" s="814" t="s">
        <v>268</v>
      </c>
      <c r="D23" s="814" t="s">
        <v>2</v>
      </c>
      <c r="E23" s="815">
        <v>2</v>
      </c>
      <c r="F23" s="815"/>
      <c r="G23" s="891">
        <f t="shared" si="1"/>
        <v>2</v>
      </c>
      <c r="H23" s="811"/>
      <c r="I23" s="811"/>
      <c r="J23" s="811"/>
      <c r="K23" s="811"/>
      <c r="L23" s="811"/>
      <c r="M23" s="811"/>
      <c r="N23" s="811"/>
      <c r="O23" s="811"/>
      <c r="P23" s="811"/>
      <c r="Q23" s="811"/>
      <c r="R23" s="811"/>
      <c r="S23" s="811"/>
      <c r="T23" s="811"/>
      <c r="U23" s="811"/>
      <c r="V23" s="811"/>
      <c r="W23" s="811"/>
      <c r="X23" s="811"/>
      <c r="Y23" s="811"/>
      <c r="Z23" s="811"/>
    </row>
    <row r="24" spans="1:26" s="848" customFormat="1" ht="12.75" customHeight="1" x14ac:dyDescent="0.2">
      <c r="A24" s="1387"/>
      <c r="B24" s="1385"/>
      <c r="C24" s="814" t="s">
        <v>269</v>
      </c>
      <c r="D24" s="814" t="s">
        <v>2</v>
      </c>
      <c r="E24" s="815">
        <v>2</v>
      </c>
      <c r="F24" s="815"/>
      <c r="G24" s="891">
        <f t="shared" si="1"/>
        <v>2</v>
      </c>
      <c r="H24" s="811"/>
      <c r="I24" s="811"/>
      <c r="J24" s="811"/>
      <c r="K24" s="811"/>
      <c r="L24" s="811"/>
      <c r="M24" s="811"/>
      <c r="N24" s="811"/>
      <c r="O24" s="811"/>
      <c r="P24" s="811"/>
      <c r="Q24" s="811"/>
      <c r="R24" s="811"/>
      <c r="S24" s="811"/>
      <c r="T24" s="811"/>
      <c r="U24" s="811"/>
      <c r="V24" s="811"/>
      <c r="W24" s="811"/>
      <c r="X24" s="811"/>
      <c r="Y24" s="811"/>
      <c r="Z24" s="811"/>
    </row>
    <row r="25" spans="1:26" s="848" customFormat="1" ht="12.75" customHeight="1" x14ac:dyDescent="0.2">
      <c r="A25" s="1387"/>
      <c r="B25" s="1385"/>
      <c r="C25" s="814" t="s">
        <v>270</v>
      </c>
      <c r="D25" s="814" t="s">
        <v>2</v>
      </c>
      <c r="E25" s="815">
        <v>1</v>
      </c>
      <c r="F25" s="815"/>
      <c r="G25" s="891">
        <f t="shared" si="1"/>
        <v>1</v>
      </c>
      <c r="H25" s="811"/>
      <c r="I25" s="811"/>
      <c r="J25" s="811"/>
      <c r="K25" s="811"/>
      <c r="L25" s="811"/>
      <c r="M25" s="811"/>
      <c r="N25" s="811"/>
      <c r="O25" s="811"/>
      <c r="P25" s="811"/>
      <c r="Q25" s="811"/>
      <c r="R25" s="811"/>
      <c r="S25" s="811"/>
      <c r="T25" s="811"/>
      <c r="U25" s="811"/>
      <c r="V25" s="811"/>
      <c r="W25" s="811"/>
      <c r="X25" s="811"/>
      <c r="Y25" s="811"/>
      <c r="Z25" s="811"/>
    </row>
    <row r="26" spans="1:26" s="848" customFormat="1" ht="12.75" customHeight="1" x14ac:dyDescent="0.2">
      <c r="A26" s="1387"/>
      <c r="B26" s="1385"/>
      <c r="C26" s="814" t="s">
        <v>264</v>
      </c>
      <c r="D26" s="814" t="s">
        <v>2</v>
      </c>
      <c r="E26" s="815">
        <v>1</v>
      </c>
      <c r="F26" s="815"/>
      <c r="G26" s="891">
        <f t="shared" si="1"/>
        <v>1</v>
      </c>
      <c r="H26" s="811"/>
      <c r="I26" s="811"/>
      <c r="J26" s="811"/>
      <c r="K26" s="811"/>
      <c r="L26" s="811"/>
      <c r="M26" s="811"/>
      <c r="N26" s="811"/>
      <c r="O26" s="811"/>
      <c r="P26" s="811"/>
      <c r="Q26" s="811"/>
      <c r="R26" s="811"/>
      <c r="S26" s="811"/>
      <c r="T26" s="811"/>
      <c r="U26" s="811"/>
      <c r="V26" s="811"/>
      <c r="W26" s="811"/>
      <c r="X26" s="811"/>
      <c r="Y26" s="811"/>
      <c r="Z26" s="811"/>
    </row>
    <row r="27" spans="1:26" s="848" customFormat="1" ht="12.75" customHeight="1" x14ac:dyDescent="0.2">
      <c r="A27" s="1387"/>
      <c r="B27" s="1386"/>
      <c r="C27" s="813" t="s">
        <v>258</v>
      </c>
      <c r="D27" s="814" t="s">
        <v>2</v>
      </c>
      <c r="E27" s="815">
        <v>1</v>
      </c>
      <c r="F27" s="815"/>
      <c r="G27" s="891">
        <f t="shared" si="1"/>
        <v>1</v>
      </c>
      <c r="H27" s="811"/>
      <c r="I27" s="811"/>
      <c r="J27" s="811"/>
      <c r="K27" s="811"/>
      <c r="L27" s="811"/>
      <c r="M27" s="811"/>
      <c r="N27" s="811"/>
      <c r="O27" s="811"/>
      <c r="P27" s="811"/>
      <c r="Q27" s="811"/>
      <c r="R27" s="811"/>
      <c r="S27" s="811"/>
      <c r="T27" s="811"/>
      <c r="U27" s="811"/>
      <c r="V27" s="811"/>
      <c r="W27" s="811"/>
      <c r="X27" s="811"/>
      <c r="Y27" s="811"/>
      <c r="Z27" s="811"/>
    </row>
    <row r="28" spans="1:26" s="848" customFormat="1" ht="12.75" customHeight="1" x14ac:dyDescent="0.2">
      <c r="A28" s="1387"/>
      <c r="B28" s="901" t="s">
        <v>1992</v>
      </c>
      <c r="C28" s="816"/>
      <c r="D28" s="816"/>
      <c r="E28" s="817"/>
      <c r="F28" s="893">
        <v>1</v>
      </c>
      <c r="G28" s="894"/>
      <c r="H28" s="811"/>
      <c r="I28" s="811"/>
      <c r="J28" s="811"/>
      <c r="K28" s="811"/>
      <c r="L28" s="811"/>
      <c r="M28" s="811"/>
      <c r="N28" s="811"/>
      <c r="O28" s="811"/>
      <c r="P28" s="811"/>
      <c r="Q28" s="811"/>
      <c r="R28" s="811"/>
      <c r="S28" s="811"/>
      <c r="T28" s="811"/>
      <c r="U28" s="811"/>
      <c r="V28" s="811"/>
      <c r="W28" s="811"/>
      <c r="X28" s="811"/>
      <c r="Y28" s="811"/>
      <c r="Z28" s="811"/>
    </row>
    <row r="29" spans="1:26" s="848" customFormat="1" ht="12.75" customHeight="1" x14ac:dyDescent="0.2">
      <c r="A29" s="1387"/>
      <c r="B29" s="1384" t="s">
        <v>1238</v>
      </c>
      <c r="C29" s="819" t="s">
        <v>258</v>
      </c>
      <c r="D29" s="814" t="s">
        <v>2</v>
      </c>
      <c r="E29" s="815">
        <v>1</v>
      </c>
      <c r="F29" s="815"/>
      <c r="G29" s="891">
        <f>E29*$F$28</f>
        <v>1</v>
      </c>
      <c r="H29" s="811"/>
      <c r="I29" s="811"/>
      <c r="J29" s="811"/>
      <c r="K29" s="811"/>
      <c r="L29" s="811"/>
      <c r="M29" s="811"/>
      <c r="N29" s="811"/>
      <c r="O29" s="811"/>
      <c r="P29" s="811"/>
      <c r="Q29" s="811"/>
      <c r="R29" s="811"/>
      <c r="S29" s="811"/>
      <c r="T29" s="811"/>
      <c r="U29" s="811"/>
      <c r="V29" s="811"/>
      <c r="W29" s="811"/>
      <c r="X29" s="811"/>
      <c r="Y29" s="811"/>
      <c r="Z29" s="811"/>
    </row>
    <row r="30" spans="1:26" s="848" customFormat="1" ht="12.75" customHeight="1" x14ac:dyDescent="0.2">
      <c r="A30" s="1387"/>
      <c r="B30" s="1385"/>
      <c r="C30" s="814" t="s">
        <v>267</v>
      </c>
      <c r="D30" s="814" t="s">
        <v>2</v>
      </c>
      <c r="E30" s="815">
        <f>1*E29</f>
        <v>1</v>
      </c>
      <c r="F30" s="815"/>
      <c r="G30" s="891">
        <f>E30*$F$28</f>
        <v>1</v>
      </c>
      <c r="H30" s="811"/>
      <c r="I30" s="811"/>
      <c r="J30" s="811"/>
      <c r="K30" s="811"/>
      <c r="L30" s="811"/>
      <c r="M30" s="811"/>
      <c r="N30" s="811"/>
      <c r="O30" s="811"/>
      <c r="P30" s="811"/>
      <c r="Q30" s="811"/>
      <c r="R30" s="811"/>
      <c r="S30" s="811"/>
      <c r="T30" s="811"/>
      <c r="U30" s="811"/>
      <c r="V30" s="811"/>
      <c r="W30" s="811"/>
      <c r="X30" s="811"/>
      <c r="Y30" s="811"/>
      <c r="Z30" s="811"/>
    </row>
    <row r="31" spans="1:26" s="848" customFormat="1" ht="12.75" customHeight="1" x14ac:dyDescent="0.2">
      <c r="A31" s="1387"/>
      <c r="B31" s="1385"/>
      <c r="C31" s="814" t="s">
        <v>268</v>
      </c>
      <c r="D31" s="814" t="s">
        <v>2</v>
      </c>
      <c r="E31" s="815">
        <f>1*E29</f>
        <v>1</v>
      </c>
      <c r="F31" s="815"/>
      <c r="G31" s="891">
        <f>E31*$F$28</f>
        <v>1</v>
      </c>
      <c r="H31" s="811"/>
      <c r="I31" s="811"/>
      <c r="J31" s="811"/>
      <c r="K31" s="811"/>
      <c r="L31" s="811"/>
      <c r="M31" s="811"/>
      <c r="N31" s="811"/>
      <c r="O31" s="811"/>
      <c r="P31" s="811"/>
      <c r="Q31" s="811"/>
      <c r="R31" s="811"/>
      <c r="S31" s="811"/>
      <c r="T31" s="811"/>
      <c r="U31" s="811"/>
      <c r="V31" s="811"/>
      <c r="W31" s="811"/>
      <c r="X31" s="811"/>
      <c r="Y31" s="811"/>
      <c r="Z31" s="811"/>
    </row>
    <row r="32" spans="1:26" s="848" customFormat="1" ht="12.75" customHeight="1" x14ac:dyDescent="0.2">
      <c r="A32" s="1387"/>
      <c r="B32" s="1385"/>
      <c r="C32" s="814" t="s">
        <v>269</v>
      </c>
      <c r="D32" s="814" t="s">
        <v>2</v>
      </c>
      <c r="E32" s="815">
        <f>2*E29</f>
        <v>2</v>
      </c>
      <c r="F32" s="815"/>
      <c r="G32" s="891">
        <f>E32*$F$28</f>
        <v>2</v>
      </c>
      <c r="H32" s="811"/>
      <c r="I32" s="811"/>
      <c r="J32" s="811"/>
      <c r="K32" s="811"/>
      <c r="L32" s="811"/>
      <c r="M32" s="811"/>
      <c r="N32" s="811"/>
      <c r="O32" s="811"/>
      <c r="P32" s="811"/>
      <c r="Q32" s="811"/>
      <c r="R32" s="811"/>
      <c r="S32" s="811"/>
      <c r="T32" s="811"/>
      <c r="U32" s="811"/>
      <c r="V32" s="811"/>
      <c r="W32" s="811"/>
      <c r="X32" s="811"/>
      <c r="Y32" s="811"/>
      <c r="Z32" s="811"/>
    </row>
    <row r="33" spans="1:26" s="848" customFormat="1" ht="12.75" customHeight="1" x14ac:dyDescent="0.2">
      <c r="A33" s="1387"/>
      <c r="B33" s="1385"/>
      <c r="C33" s="814" t="s">
        <v>1239</v>
      </c>
      <c r="D33" s="814" t="s">
        <v>2</v>
      </c>
      <c r="E33" s="815">
        <v>1</v>
      </c>
      <c r="F33" s="815"/>
      <c r="G33" s="891">
        <f>E33*$F$28</f>
        <v>1</v>
      </c>
      <c r="H33" s="811"/>
      <c r="I33" s="811"/>
      <c r="J33" s="811"/>
      <c r="K33" s="811"/>
      <c r="L33" s="811"/>
      <c r="M33" s="811"/>
      <c r="N33" s="811"/>
      <c r="O33" s="811"/>
      <c r="P33" s="811"/>
      <c r="Q33" s="811"/>
      <c r="R33" s="811"/>
      <c r="S33" s="811"/>
      <c r="T33" s="811"/>
      <c r="U33" s="811"/>
      <c r="V33" s="811"/>
      <c r="W33" s="811"/>
      <c r="X33" s="811"/>
      <c r="Y33" s="811"/>
      <c r="Z33" s="811"/>
    </row>
    <row r="34" spans="1:26" s="848" customFormat="1" ht="12.75" customHeight="1" x14ac:dyDescent="0.2">
      <c r="A34" s="1387"/>
      <c r="B34" s="901" t="s">
        <v>1543</v>
      </c>
      <c r="C34" s="816"/>
      <c r="D34" s="816"/>
      <c r="E34" s="817"/>
      <c r="F34" s="893">
        <v>1</v>
      </c>
      <c r="G34" s="894"/>
      <c r="H34" s="811"/>
      <c r="I34" s="811"/>
      <c r="J34" s="811"/>
      <c r="K34" s="811"/>
      <c r="L34" s="811"/>
      <c r="M34" s="811"/>
      <c r="N34" s="811"/>
      <c r="O34" s="811"/>
      <c r="P34" s="811"/>
      <c r="Q34" s="811"/>
      <c r="R34" s="811"/>
      <c r="S34" s="811"/>
      <c r="T34" s="811"/>
      <c r="U34" s="811"/>
      <c r="V34" s="811"/>
      <c r="W34" s="811"/>
      <c r="X34" s="811"/>
      <c r="Y34" s="811"/>
      <c r="Z34" s="811"/>
    </row>
    <row r="35" spans="1:26" s="848" customFormat="1" ht="12.75" customHeight="1" x14ac:dyDescent="0.2">
      <c r="A35" s="1387"/>
      <c r="B35" s="1384" t="s">
        <v>1238</v>
      </c>
      <c r="C35" s="814" t="s">
        <v>1239</v>
      </c>
      <c r="D35" s="896" t="s">
        <v>2</v>
      </c>
      <c r="E35" s="897">
        <v>1</v>
      </c>
      <c r="F35" s="897"/>
      <c r="G35" s="891">
        <f>E35*$F$34</f>
        <v>1</v>
      </c>
      <c r="H35" s="811"/>
      <c r="I35" s="811"/>
      <c r="J35" s="811"/>
      <c r="K35" s="811"/>
      <c r="L35" s="811"/>
      <c r="M35" s="811"/>
      <c r="N35" s="811"/>
      <c r="O35" s="811"/>
      <c r="P35" s="811"/>
      <c r="Q35" s="811"/>
      <c r="R35" s="811"/>
      <c r="S35" s="811"/>
      <c r="T35" s="811"/>
      <c r="U35" s="811"/>
      <c r="V35" s="811"/>
      <c r="W35" s="811"/>
      <c r="X35" s="811"/>
      <c r="Y35" s="811"/>
      <c r="Z35" s="811"/>
    </row>
    <row r="36" spans="1:26" s="848" customFormat="1" ht="12.75" customHeight="1" x14ac:dyDescent="0.2">
      <c r="A36" s="1387"/>
      <c r="B36" s="1389"/>
      <c r="C36" s="814" t="s">
        <v>1245</v>
      </c>
      <c r="D36" s="896" t="s">
        <v>2</v>
      </c>
      <c r="E36" s="897">
        <v>1</v>
      </c>
      <c r="F36" s="897"/>
      <c r="G36" s="891">
        <f>E36*$F$34</f>
        <v>1</v>
      </c>
      <c r="H36" s="811"/>
      <c r="I36" s="811"/>
      <c r="J36" s="811"/>
      <c r="K36" s="811"/>
      <c r="L36" s="811"/>
      <c r="M36" s="811"/>
      <c r="N36" s="811"/>
      <c r="O36" s="811"/>
      <c r="P36" s="811"/>
      <c r="Q36" s="811"/>
      <c r="R36" s="811"/>
      <c r="S36" s="811"/>
      <c r="T36" s="811"/>
      <c r="U36" s="811"/>
      <c r="V36" s="811"/>
      <c r="W36" s="811"/>
      <c r="X36" s="811"/>
      <c r="Y36" s="811"/>
      <c r="Z36" s="811"/>
    </row>
    <row r="37" spans="1:26" s="848" customFormat="1" ht="12.75" customHeight="1" x14ac:dyDescent="0.2">
      <c r="A37" s="1387"/>
      <c r="B37" s="1389"/>
      <c r="C37" s="814" t="s">
        <v>1246</v>
      </c>
      <c r="D37" s="896" t="s">
        <v>2</v>
      </c>
      <c r="E37" s="897">
        <v>1</v>
      </c>
      <c r="F37" s="897"/>
      <c r="G37" s="891">
        <f>E37*$F$34</f>
        <v>1</v>
      </c>
      <c r="H37" s="811"/>
      <c r="I37" s="811"/>
      <c r="J37" s="811"/>
      <c r="K37" s="811"/>
      <c r="L37" s="811"/>
      <c r="M37" s="811"/>
      <c r="N37" s="811"/>
      <c r="O37" s="811"/>
      <c r="P37" s="811"/>
      <c r="Q37" s="811"/>
      <c r="R37" s="811"/>
      <c r="S37" s="811"/>
      <c r="T37" s="811"/>
      <c r="U37" s="811"/>
      <c r="V37" s="811"/>
      <c r="W37" s="811"/>
      <c r="X37" s="811"/>
      <c r="Y37" s="811"/>
      <c r="Z37" s="811"/>
    </row>
    <row r="38" spans="1:26" s="848" customFormat="1" ht="12.75" customHeight="1" x14ac:dyDescent="0.2">
      <c r="A38" s="1387"/>
      <c r="B38" s="1390"/>
      <c r="C38" s="814" t="s">
        <v>265</v>
      </c>
      <c r="D38" s="896" t="s">
        <v>2</v>
      </c>
      <c r="E38" s="897">
        <v>1</v>
      </c>
      <c r="F38" s="897"/>
      <c r="G38" s="891">
        <f>E38*$F$34</f>
        <v>1</v>
      </c>
      <c r="H38" s="811"/>
      <c r="I38" s="811"/>
      <c r="J38" s="811"/>
      <c r="K38" s="811"/>
      <c r="L38" s="811"/>
      <c r="M38" s="811"/>
      <c r="N38" s="811"/>
      <c r="O38" s="811"/>
      <c r="P38" s="811"/>
      <c r="Q38" s="811"/>
      <c r="R38" s="811"/>
      <c r="S38" s="811"/>
      <c r="T38" s="811"/>
      <c r="U38" s="811"/>
      <c r="V38" s="811"/>
      <c r="W38" s="811"/>
      <c r="X38" s="811"/>
      <c r="Y38" s="811"/>
      <c r="Z38" s="811"/>
    </row>
    <row r="39" spans="1:26" s="848" customFormat="1" ht="12.75" customHeight="1" x14ac:dyDescent="0.2">
      <c r="A39" s="1387"/>
      <c r="B39" s="901" t="s">
        <v>1544</v>
      </c>
      <c r="C39" s="816"/>
      <c r="D39" s="816"/>
      <c r="E39" s="817"/>
      <c r="F39" s="893">
        <f>1</f>
        <v>1</v>
      </c>
      <c r="G39" s="894"/>
      <c r="H39" s="811"/>
      <c r="I39" s="811"/>
      <c r="J39" s="811"/>
      <c r="K39" s="811"/>
      <c r="L39" s="811"/>
      <c r="M39" s="811"/>
      <c r="N39" s="811"/>
      <c r="O39" s="811"/>
      <c r="P39" s="811"/>
      <c r="Q39" s="811"/>
      <c r="R39" s="811"/>
      <c r="S39" s="811"/>
      <c r="T39" s="811"/>
      <c r="U39" s="811"/>
      <c r="V39" s="811"/>
      <c r="W39" s="811"/>
      <c r="X39" s="811"/>
      <c r="Y39" s="811"/>
      <c r="Z39" s="811"/>
    </row>
    <row r="40" spans="1:26" s="848" customFormat="1" ht="12.75" customHeight="1" x14ac:dyDescent="0.2">
      <c r="A40" s="1387"/>
      <c r="B40" s="1391" t="s">
        <v>1238</v>
      </c>
      <c r="C40" s="814" t="s">
        <v>1239</v>
      </c>
      <c r="D40" s="896" t="s">
        <v>2</v>
      </c>
      <c r="E40" s="897">
        <v>1</v>
      </c>
      <c r="F40" s="897"/>
      <c r="G40" s="891">
        <f>E40*$F$39</f>
        <v>1</v>
      </c>
      <c r="H40" s="811"/>
      <c r="I40" s="811"/>
      <c r="J40" s="811"/>
      <c r="K40" s="811"/>
      <c r="L40" s="811"/>
      <c r="M40" s="811"/>
      <c r="N40" s="811"/>
      <c r="O40" s="811"/>
      <c r="P40" s="811"/>
      <c r="Q40" s="811"/>
      <c r="R40" s="811"/>
      <c r="S40" s="811"/>
      <c r="T40" s="811"/>
      <c r="U40" s="811"/>
      <c r="V40" s="811"/>
      <c r="W40" s="811"/>
      <c r="X40" s="811"/>
      <c r="Y40" s="811"/>
      <c r="Z40" s="811"/>
    </row>
    <row r="41" spans="1:26" s="848" customFormat="1" ht="12.75" customHeight="1" x14ac:dyDescent="0.2">
      <c r="A41" s="1387"/>
      <c r="B41" s="1392"/>
      <c r="C41" s="819" t="s">
        <v>1247</v>
      </c>
      <c r="D41" s="896" t="s">
        <v>2</v>
      </c>
      <c r="E41" s="897">
        <v>1</v>
      </c>
      <c r="F41" s="897"/>
      <c r="G41" s="891">
        <f>E41*F39</f>
        <v>1</v>
      </c>
      <c r="H41" s="811"/>
      <c r="I41" s="811"/>
      <c r="J41" s="811"/>
      <c r="K41" s="811"/>
      <c r="L41" s="811"/>
      <c r="M41" s="811"/>
      <c r="N41" s="811"/>
      <c r="O41" s="811"/>
      <c r="P41" s="811"/>
      <c r="Q41" s="811"/>
      <c r="R41" s="811"/>
      <c r="S41" s="811"/>
      <c r="T41" s="811"/>
      <c r="U41" s="811"/>
      <c r="V41" s="811"/>
      <c r="W41" s="811"/>
      <c r="X41" s="811"/>
      <c r="Y41" s="811"/>
      <c r="Z41" s="811"/>
    </row>
    <row r="42" spans="1:26" s="848" customFormat="1" ht="12.75" customHeight="1" x14ac:dyDescent="0.2">
      <c r="A42" s="1387"/>
      <c r="B42" s="1393"/>
      <c r="C42" s="814" t="s">
        <v>262</v>
      </c>
      <c r="D42" s="896" t="s">
        <v>2</v>
      </c>
      <c r="E42" s="897">
        <v>1</v>
      </c>
      <c r="F42" s="897"/>
      <c r="G42" s="891">
        <f>E42*$F$39</f>
        <v>1</v>
      </c>
      <c r="H42" s="811"/>
      <c r="I42" s="811"/>
      <c r="J42" s="811"/>
      <c r="K42" s="811"/>
      <c r="L42" s="811"/>
      <c r="M42" s="811"/>
      <c r="N42" s="811"/>
      <c r="O42" s="811"/>
      <c r="P42" s="811"/>
      <c r="Q42" s="811"/>
      <c r="R42" s="811"/>
      <c r="S42" s="811"/>
      <c r="T42" s="811"/>
      <c r="U42" s="811"/>
      <c r="V42" s="811"/>
      <c r="W42" s="811"/>
      <c r="X42" s="811"/>
      <c r="Y42" s="811"/>
      <c r="Z42" s="811"/>
    </row>
    <row r="43" spans="1:26" s="848" customFormat="1" x14ac:dyDescent="0.2">
      <c r="A43" s="1394" t="s">
        <v>229</v>
      </c>
      <c r="B43" s="892" t="s">
        <v>1541</v>
      </c>
      <c r="C43" s="816"/>
      <c r="D43" s="816"/>
      <c r="E43" s="817"/>
      <c r="F43" s="893">
        <v>1</v>
      </c>
      <c r="G43" s="894"/>
      <c r="H43" s="811"/>
      <c r="I43" s="811"/>
      <c r="J43" s="811"/>
      <c r="K43" s="811"/>
      <c r="L43" s="811"/>
      <c r="M43" s="811"/>
      <c r="N43" s="811"/>
      <c r="O43" s="811"/>
      <c r="P43" s="811"/>
      <c r="Q43" s="811"/>
      <c r="R43" s="811"/>
      <c r="S43" s="811"/>
      <c r="T43" s="811"/>
      <c r="U43" s="811"/>
      <c r="V43" s="811"/>
      <c r="W43" s="811"/>
      <c r="X43" s="811"/>
      <c r="Y43" s="811"/>
      <c r="Z43" s="811"/>
    </row>
    <row r="44" spans="1:26" s="848" customFormat="1" ht="12.75" customHeight="1" x14ac:dyDescent="0.2">
      <c r="A44" s="1394"/>
      <c r="B44" s="1395" t="s">
        <v>1238</v>
      </c>
      <c r="C44" s="819" t="s">
        <v>259</v>
      </c>
      <c r="D44" s="814" t="s">
        <v>2</v>
      </c>
      <c r="E44" s="815">
        <v>1</v>
      </c>
      <c r="F44" s="815"/>
      <c r="G44" s="891">
        <f>E44*$F$43</f>
        <v>1</v>
      </c>
      <c r="H44" s="811"/>
      <c r="I44" s="811"/>
      <c r="J44" s="811"/>
      <c r="K44" s="811"/>
      <c r="L44" s="811"/>
      <c r="M44" s="811"/>
      <c r="N44" s="811"/>
      <c r="O44" s="811"/>
      <c r="P44" s="811"/>
      <c r="Q44" s="811"/>
      <c r="R44" s="811"/>
      <c r="S44" s="811"/>
      <c r="T44" s="811"/>
      <c r="U44" s="811"/>
      <c r="V44" s="811"/>
      <c r="W44" s="811"/>
      <c r="X44" s="811"/>
      <c r="Y44" s="811"/>
      <c r="Z44" s="811"/>
    </row>
    <row r="45" spans="1:26" s="848" customFormat="1" ht="12.75" customHeight="1" x14ac:dyDescent="0.2">
      <c r="A45" s="1394"/>
      <c r="B45" s="1396"/>
      <c r="C45" s="819" t="s">
        <v>260</v>
      </c>
      <c r="D45" s="814" t="s">
        <v>2</v>
      </c>
      <c r="E45" s="815">
        <v>1</v>
      </c>
      <c r="F45" s="815"/>
      <c r="G45" s="891">
        <f t="shared" ref="G45:G53" si="2">E45*$F$43</f>
        <v>1</v>
      </c>
      <c r="H45" s="811"/>
      <c r="I45" s="811"/>
      <c r="J45" s="811"/>
      <c r="K45" s="811"/>
      <c r="L45" s="811"/>
      <c r="M45" s="811"/>
      <c r="N45" s="811"/>
      <c r="O45" s="811"/>
      <c r="P45" s="811"/>
      <c r="Q45" s="811"/>
      <c r="R45" s="811"/>
      <c r="S45" s="811"/>
      <c r="T45" s="811"/>
      <c r="U45" s="811"/>
      <c r="V45" s="811"/>
      <c r="W45" s="811"/>
      <c r="X45" s="811"/>
      <c r="Y45" s="811"/>
      <c r="Z45" s="811"/>
    </row>
    <row r="46" spans="1:26" s="848" customFormat="1" ht="12.75" customHeight="1" x14ac:dyDescent="0.2">
      <c r="A46" s="1394"/>
      <c r="B46" s="1396"/>
      <c r="C46" s="819" t="s">
        <v>261</v>
      </c>
      <c r="D46" s="814" t="s">
        <v>2</v>
      </c>
      <c r="E46" s="815">
        <v>1</v>
      </c>
      <c r="F46" s="815"/>
      <c r="G46" s="891">
        <f t="shared" si="2"/>
        <v>1</v>
      </c>
      <c r="H46" s="811"/>
      <c r="I46" s="811"/>
      <c r="J46" s="811"/>
      <c r="K46" s="811"/>
      <c r="L46" s="811"/>
      <c r="M46" s="811"/>
      <c r="N46" s="811"/>
      <c r="O46" s="811"/>
      <c r="P46" s="811"/>
      <c r="Q46" s="811"/>
      <c r="R46" s="811"/>
      <c r="S46" s="811"/>
      <c r="T46" s="811"/>
      <c r="U46" s="811"/>
      <c r="V46" s="811"/>
      <c r="W46" s="811"/>
      <c r="X46" s="811"/>
      <c r="Y46" s="811"/>
      <c r="Z46" s="811"/>
    </row>
    <row r="47" spans="1:26" s="848" customFormat="1" ht="12.75" customHeight="1" x14ac:dyDescent="0.2">
      <c r="A47" s="1394"/>
      <c r="B47" s="1396"/>
      <c r="C47" s="819" t="s">
        <v>1239</v>
      </c>
      <c r="D47" s="814" t="s">
        <v>2</v>
      </c>
      <c r="E47" s="815">
        <v>1</v>
      </c>
      <c r="F47" s="815"/>
      <c r="G47" s="891">
        <f t="shared" si="2"/>
        <v>1</v>
      </c>
      <c r="H47" s="811"/>
      <c r="I47" s="811"/>
      <c r="J47" s="811"/>
      <c r="K47" s="811"/>
      <c r="L47" s="811"/>
      <c r="M47" s="811"/>
      <c r="N47" s="811"/>
      <c r="O47" s="811"/>
      <c r="P47" s="811"/>
      <c r="Q47" s="811"/>
      <c r="R47" s="811"/>
      <c r="S47" s="811"/>
      <c r="T47" s="811"/>
      <c r="U47" s="811"/>
      <c r="V47" s="811"/>
      <c r="W47" s="811"/>
      <c r="X47" s="811"/>
      <c r="Y47" s="811"/>
      <c r="Z47" s="811"/>
    </row>
    <row r="48" spans="1:26" s="848" customFormat="1" ht="12.75" customHeight="1" x14ac:dyDescent="0.2">
      <c r="A48" s="1394"/>
      <c r="B48" s="1396"/>
      <c r="C48" s="819" t="s">
        <v>266</v>
      </c>
      <c r="D48" s="814" t="s">
        <v>2</v>
      </c>
      <c r="E48" s="815">
        <v>2</v>
      </c>
      <c r="F48" s="815"/>
      <c r="G48" s="891">
        <f t="shared" si="2"/>
        <v>2</v>
      </c>
      <c r="H48" s="811"/>
      <c r="I48" s="811"/>
      <c r="J48" s="811"/>
      <c r="K48" s="811"/>
      <c r="L48" s="811"/>
      <c r="M48" s="811"/>
      <c r="N48" s="811"/>
      <c r="O48" s="811"/>
      <c r="P48" s="811"/>
      <c r="Q48" s="811"/>
      <c r="R48" s="811"/>
      <c r="S48" s="811"/>
      <c r="T48" s="811"/>
      <c r="U48" s="811"/>
      <c r="V48" s="811"/>
      <c r="W48" s="811"/>
      <c r="X48" s="811"/>
      <c r="Y48" s="811"/>
      <c r="Z48" s="811"/>
    </row>
    <row r="49" spans="1:26" s="848" customFormat="1" ht="12.75" customHeight="1" x14ac:dyDescent="0.2">
      <c r="A49" s="1394"/>
      <c r="B49" s="1396"/>
      <c r="C49" s="819" t="s">
        <v>267</v>
      </c>
      <c r="D49" s="814" t="s">
        <v>2</v>
      </c>
      <c r="E49" s="815">
        <v>1</v>
      </c>
      <c r="F49" s="815"/>
      <c r="G49" s="891">
        <f t="shared" si="2"/>
        <v>1</v>
      </c>
      <c r="H49" s="811"/>
      <c r="I49" s="811"/>
      <c r="J49" s="811"/>
      <c r="K49" s="811"/>
      <c r="L49" s="811"/>
      <c r="M49" s="811"/>
      <c r="N49" s="811"/>
      <c r="O49" s="811"/>
      <c r="P49" s="811"/>
      <c r="Q49" s="811"/>
      <c r="R49" s="811"/>
      <c r="S49" s="811"/>
      <c r="T49" s="811"/>
      <c r="U49" s="811"/>
      <c r="V49" s="811"/>
      <c r="W49" s="811"/>
      <c r="X49" s="811"/>
      <c r="Y49" s="811"/>
      <c r="Z49" s="811"/>
    </row>
    <row r="50" spans="1:26" s="848" customFormat="1" ht="12.75" customHeight="1" x14ac:dyDescent="0.2">
      <c r="A50" s="1394"/>
      <c r="B50" s="1396"/>
      <c r="C50" s="814" t="s">
        <v>268</v>
      </c>
      <c r="D50" s="814" t="s">
        <v>2</v>
      </c>
      <c r="E50" s="815">
        <v>1</v>
      </c>
      <c r="F50" s="815"/>
      <c r="G50" s="891">
        <f t="shared" si="2"/>
        <v>1</v>
      </c>
      <c r="H50" s="811"/>
      <c r="I50" s="811"/>
      <c r="J50" s="811"/>
      <c r="K50" s="811"/>
      <c r="L50" s="811"/>
      <c r="M50" s="811"/>
      <c r="N50" s="811"/>
      <c r="O50" s="811"/>
      <c r="P50" s="811"/>
      <c r="Q50" s="811"/>
      <c r="R50" s="811"/>
      <c r="S50" s="811"/>
      <c r="T50" s="811"/>
      <c r="U50" s="811"/>
      <c r="V50" s="811"/>
      <c r="W50" s="811"/>
      <c r="X50" s="811"/>
      <c r="Y50" s="811"/>
      <c r="Z50" s="811"/>
    </row>
    <row r="51" spans="1:26" s="848" customFormat="1" ht="12.75" customHeight="1" x14ac:dyDescent="0.2">
      <c r="A51" s="1394"/>
      <c r="B51" s="1396"/>
      <c r="C51" s="814" t="s">
        <v>269</v>
      </c>
      <c r="D51" s="814" t="s">
        <v>2</v>
      </c>
      <c r="E51" s="815">
        <v>2</v>
      </c>
      <c r="F51" s="815"/>
      <c r="G51" s="891">
        <f t="shared" si="2"/>
        <v>2</v>
      </c>
      <c r="H51" s="811"/>
      <c r="I51" s="811"/>
      <c r="J51" s="811"/>
      <c r="K51" s="811"/>
      <c r="L51" s="811"/>
      <c r="M51" s="811"/>
      <c r="N51" s="811"/>
      <c r="O51" s="811"/>
      <c r="P51" s="811"/>
      <c r="Q51" s="811"/>
      <c r="R51" s="811"/>
      <c r="S51" s="811"/>
      <c r="T51" s="811"/>
      <c r="U51" s="811"/>
      <c r="V51" s="811"/>
      <c r="W51" s="811"/>
      <c r="X51" s="811"/>
      <c r="Y51" s="811"/>
      <c r="Z51" s="811"/>
    </row>
    <row r="52" spans="1:26" s="848" customFormat="1" ht="12.75" customHeight="1" x14ac:dyDescent="0.2">
      <c r="A52" s="1394"/>
      <c r="B52" s="1396"/>
      <c r="C52" s="814" t="s">
        <v>270</v>
      </c>
      <c r="D52" s="814" t="s">
        <v>2</v>
      </c>
      <c r="E52" s="815">
        <v>1</v>
      </c>
      <c r="F52" s="815"/>
      <c r="G52" s="891">
        <f t="shared" si="2"/>
        <v>1</v>
      </c>
      <c r="H52" s="811"/>
      <c r="I52" s="811"/>
      <c r="J52" s="811"/>
      <c r="K52" s="811"/>
      <c r="L52" s="811"/>
      <c r="M52" s="811"/>
      <c r="N52" s="811"/>
      <c r="O52" s="811"/>
      <c r="P52" s="811"/>
      <c r="Q52" s="811"/>
      <c r="R52" s="811"/>
      <c r="S52" s="811"/>
      <c r="T52" s="811"/>
      <c r="U52" s="811"/>
      <c r="V52" s="811"/>
      <c r="W52" s="811"/>
      <c r="X52" s="811"/>
      <c r="Y52" s="811"/>
      <c r="Z52" s="811"/>
    </row>
    <row r="53" spans="1:26" s="848" customFormat="1" ht="12.75" customHeight="1" x14ac:dyDescent="0.2">
      <c r="A53" s="1394"/>
      <c r="B53" s="1397"/>
      <c r="C53" s="814" t="s">
        <v>264</v>
      </c>
      <c r="D53" s="814" t="s">
        <v>2</v>
      </c>
      <c r="E53" s="815">
        <v>1</v>
      </c>
      <c r="F53" s="815"/>
      <c r="G53" s="891">
        <f t="shared" si="2"/>
        <v>1</v>
      </c>
      <c r="H53" s="811"/>
      <c r="I53" s="811"/>
      <c r="J53" s="811"/>
      <c r="K53" s="811"/>
      <c r="L53" s="811"/>
      <c r="M53" s="811"/>
      <c r="N53" s="811"/>
      <c r="O53" s="811"/>
      <c r="P53" s="811"/>
      <c r="Q53" s="811"/>
      <c r="R53" s="811"/>
      <c r="S53" s="811"/>
      <c r="T53" s="811"/>
      <c r="U53" s="811"/>
      <c r="V53" s="811"/>
      <c r="W53" s="811"/>
      <c r="X53" s="811"/>
      <c r="Y53" s="811"/>
      <c r="Z53" s="811"/>
    </row>
    <row r="54" spans="1:26" s="848" customFormat="1" ht="12.75" customHeight="1" x14ac:dyDescent="0.2">
      <c r="A54" s="1394"/>
      <c r="B54" s="892" t="s">
        <v>1545</v>
      </c>
      <c r="C54" s="816"/>
      <c r="D54" s="816"/>
      <c r="E54" s="817"/>
      <c r="F54" s="893">
        <v>1</v>
      </c>
      <c r="G54" s="894"/>
      <c r="H54" s="811"/>
      <c r="I54" s="811"/>
      <c r="J54" s="811"/>
      <c r="K54" s="811"/>
      <c r="L54" s="811"/>
      <c r="M54" s="811"/>
      <c r="N54" s="811"/>
      <c r="O54" s="811"/>
      <c r="P54" s="811"/>
      <c r="Q54" s="811"/>
      <c r="R54" s="811"/>
      <c r="S54" s="811"/>
      <c r="T54" s="811"/>
      <c r="U54" s="811"/>
      <c r="V54" s="811"/>
      <c r="W54" s="811"/>
      <c r="X54" s="811"/>
      <c r="Y54" s="811"/>
      <c r="Z54" s="811"/>
    </row>
    <row r="55" spans="1:26" s="848" customFormat="1" ht="12.75" customHeight="1" x14ac:dyDescent="0.2">
      <c r="A55" s="1394"/>
      <c r="B55" s="1395" t="s">
        <v>1238</v>
      </c>
      <c r="C55" s="819" t="s">
        <v>1239</v>
      </c>
      <c r="D55" s="814" t="s">
        <v>2</v>
      </c>
      <c r="E55" s="815">
        <v>2</v>
      </c>
      <c r="F55" s="815"/>
      <c r="G55" s="891">
        <f t="shared" ref="G55:G63" si="3">E55*$F$54</f>
        <v>2</v>
      </c>
      <c r="H55" s="811"/>
      <c r="I55" s="811"/>
      <c r="J55" s="811"/>
      <c r="K55" s="811"/>
      <c r="L55" s="811"/>
      <c r="M55" s="811"/>
      <c r="N55" s="811"/>
      <c r="O55" s="811"/>
      <c r="P55" s="811"/>
      <c r="Q55" s="811"/>
      <c r="R55" s="811"/>
      <c r="S55" s="811"/>
      <c r="T55" s="811"/>
      <c r="U55" s="811"/>
      <c r="V55" s="811"/>
      <c r="W55" s="811"/>
      <c r="X55" s="811"/>
      <c r="Y55" s="811"/>
      <c r="Z55" s="811"/>
    </row>
    <row r="56" spans="1:26" s="848" customFormat="1" ht="12.75" customHeight="1" x14ac:dyDescent="0.2">
      <c r="A56" s="1394"/>
      <c r="B56" s="1396"/>
      <c r="C56" s="819" t="s">
        <v>267</v>
      </c>
      <c r="D56" s="814" t="s">
        <v>2</v>
      </c>
      <c r="E56" s="815">
        <v>1</v>
      </c>
      <c r="F56" s="815"/>
      <c r="G56" s="891">
        <f t="shared" si="3"/>
        <v>1</v>
      </c>
      <c r="H56" s="811"/>
      <c r="I56" s="811"/>
      <c r="J56" s="811"/>
      <c r="K56" s="811"/>
      <c r="L56" s="811"/>
      <c r="M56" s="811"/>
      <c r="N56" s="811"/>
      <c r="O56" s="811"/>
      <c r="P56" s="811"/>
      <c r="Q56" s="811"/>
      <c r="R56" s="811"/>
      <c r="S56" s="811"/>
      <c r="T56" s="811"/>
      <c r="U56" s="811"/>
      <c r="V56" s="811"/>
      <c r="W56" s="811"/>
      <c r="X56" s="811"/>
      <c r="Y56" s="811"/>
      <c r="Z56" s="811"/>
    </row>
    <row r="57" spans="1:26" s="848" customFormat="1" ht="12.75" customHeight="1" x14ac:dyDescent="0.2">
      <c r="A57" s="1394"/>
      <c r="B57" s="1396"/>
      <c r="C57" s="819" t="s">
        <v>309</v>
      </c>
      <c r="D57" s="814" t="s">
        <v>2</v>
      </c>
      <c r="E57" s="815">
        <v>1</v>
      </c>
      <c r="F57" s="815"/>
      <c r="G57" s="891">
        <f t="shared" si="3"/>
        <v>1</v>
      </c>
      <c r="H57" s="811"/>
      <c r="I57" s="811"/>
      <c r="J57" s="811"/>
      <c r="K57" s="811"/>
      <c r="L57" s="811"/>
      <c r="M57" s="811"/>
      <c r="N57" s="811"/>
      <c r="O57" s="811"/>
      <c r="P57" s="811"/>
      <c r="Q57" s="811"/>
      <c r="R57" s="811"/>
      <c r="S57" s="811"/>
      <c r="T57" s="811"/>
      <c r="U57" s="811"/>
      <c r="V57" s="811"/>
      <c r="W57" s="811"/>
      <c r="X57" s="811"/>
      <c r="Y57" s="811"/>
      <c r="Z57" s="811"/>
    </row>
    <row r="58" spans="1:26" s="848" customFormat="1" ht="12.75" customHeight="1" x14ac:dyDescent="0.2">
      <c r="A58" s="1394"/>
      <c r="B58" s="1396"/>
      <c r="C58" s="814" t="s">
        <v>1242</v>
      </c>
      <c r="D58" s="814" t="s">
        <v>2</v>
      </c>
      <c r="E58" s="815">
        <v>1</v>
      </c>
      <c r="F58" s="815"/>
      <c r="G58" s="891">
        <f t="shared" si="3"/>
        <v>1</v>
      </c>
      <c r="H58" s="811"/>
      <c r="I58" s="811"/>
      <c r="J58" s="811"/>
      <c r="K58" s="811"/>
      <c r="L58" s="811"/>
      <c r="M58" s="811"/>
      <c r="N58" s="811"/>
      <c r="O58" s="811"/>
      <c r="P58" s="811"/>
      <c r="Q58" s="811"/>
      <c r="R58" s="811"/>
      <c r="S58" s="811"/>
      <c r="T58" s="811"/>
      <c r="U58" s="811"/>
      <c r="V58" s="811"/>
      <c r="W58" s="811"/>
      <c r="X58" s="811"/>
      <c r="Y58" s="811"/>
      <c r="Z58" s="811"/>
    </row>
    <row r="59" spans="1:26" s="848" customFormat="1" ht="12.75" customHeight="1" x14ac:dyDescent="0.2">
      <c r="A59" s="1394"/>
      <c r="B59" s="1396"/>
      <c r="C59" s="819" t="s">
        <v>268</v>
      </c>
      <c r="D59" s="814" t="s">
        <v>2</v>
      </c>
      <c r="E59" s="815">
        <v>2</v>
      </c>
      <c r="F59" s="815"/>
      <c r="G59" s="891">
        <f t="shared" si="3"/>
        <v>2</v>
      </c>
      <c r="H59" s="811"/>
      <c r="I59" s="811"/>
      <c r="J59" s="811"/>
      <c r="K59" s="811"/>
      <c r="L59" s="811"/>
      <c r="M59" s="811"/>
      <c r="N59" s="811"/>
      <c r="O59" s="811"/>
      <c r="P59" s="811"/>
      <c r="Q59" s="811"/>
      <c r="R59" s="811"/>
      <c r="S59" s="811"/>
      <c r="T59" s="811"/>
      <c r="U59" s="811"/>
      <c r="V59" s="811"/>
      <c r="W59" s="811"/>
      <c r="X59" s="811"/>
      <c r="Y59" s="811"/>
      <c r="Z59" s="811"/>
    </row>
    <row r="60" spans="1:26" s="848" customFormat="1" ht="12.75" customHeight="1" x14ac:dyDescent="0.2">
      <c r="A60" s="1394"/>
      <c r="B60" s="1396"/>
      <c r="C60" s="814" t="s">
        <v>269</v>
      </c>
      <c r="D60" s="814" t="s">
        <v>2</v>
      </c>
      <c r="E60" s="815">
        <v>2</v>
      </c>
      <c r="F60" s="815"/>
      <c r="G60" s="891">
        <f t="shared" si="3"/>
        <v>2</v>
      </c>
      <c r="H60" s="811"/>
      <c r="I60" s="811"/>
      <c r="J60" s="811"/>
      <c r="K60" s="811"/>
      <c r="L60" s="811"/>
      <c r="M60" s="811"/>
      <c r="N60" s="811"/>
      <c r="O60" s="811"/>
      <c r="P60" s="811"/>
      <c r="Q60" s="811"/>
      <c r="R60" s="811"/>
      <c r="S60" s="811"/>
      <c r="T60" s="811"/>
      <c r="U60" s="811"/>
      <c r="V60" s="811"/>
      <c r="W60" s="811"/>
      <c r="X60" s="811"/>
      <c r="Y60" s="811"/>
      <c r="Z60" s="811"/>
    </row>
    <row r="61" spans="1:26" s="848" customFormat="1" ht="12.75" customHeight="1" x14ac:dyDescent="0.2">
      <c r="A61" s="1394"/>
      <c r="B61" s="1396"/>
      <c r="C61" s="814" t="s">
        <v>270</v>
      </c>
      <c r="D61" s="814" t="s">
        <v>2</v>
      </c>
      <c r="E61" s="815">
        <v>1</v>
      </c>
      <c r="F61" s="815"/>
      <c r="G61" s="891">
        <f t="shared" si="3"/>
        <v>1</v>
      </c>
      <c r="H61" s="811"/>
      <c r="I61" s="811"/>
      <c r="J61" s="811"/>
      <c r="K61" s="811"/>
      <c r="L61" s="811"/>
      <c r="M61" s="811"/>
      <c r="N61" s="811"/>
      <c r="O61" s="811"/>
      <c r="P61" s="811"/>
      <c r="Q61" s="811"/>
      <c r="R61" s="811"/>
      <c r="S61" s="811"/>
      <c r="T61" s="811"/>
      <c r="U61" s="811"/>
      <c r="V61" s="811"/>
      <c r="W61" s="811"/>
      <c r="X61" s="811"/>
      <c r="Y61" s="811"/>
      <c r="Z61" s="811"/>
    </row>
    <row r="62" spans="1:26" s="848" customFormat="1" ht="12.75" customHeight="1" x14ac:dyDescent="0.2">
      <c r="A62" s="1394"/>
      <c r="B62" s="1396"/>
      <c r="C62" s="814" t="s">
        <v>264</v>
      </c>
      <c r="D62" s="814" t="s">
        <v>2</v>
      </c>
      <c r="E62" s="815">
        <v>1</v>
      </c>
      <c r="F62" s="815"/>
      <c r="G62" s="891">
        <f t="shared" si="3"/>
        <v>1</v>
      </c>
      <c r="H62" s="811"/>
      <c r="I62" s="811"/>
      <c r="J62" s="811"/>
      <c r="K62" s="811"/>
      <c r="L62" s="811"/>
      <c r="M62" s="811"/>
      <c r="N62" s="811"/>
      <c r="O62" s="811"/>
      <c r="P62" s="811"/>
      <c r="Q62" s="811"/>
      <c r="R62" s="811"/>
      <c r="S62" s="811"/>
      <c r="T62" s="811"/>
      <c r="U62" s="811"/>
      <c r="V62" s="811"/>
      <c r="W62" s="811"/>
      <c r="X62" s="811"/>
      <c r="Y62" s="811"/>
      <c r="Z62" s="811"/>
    </row>
    <row r="63" spans="1:26" s="848" customFormat="1" ht="12.75" customHeight="1" x14ac:dyDescent="0.2">
      <c r="A63" s="1394"/>
      <c r="B63" s="1396"/>
      <c r="C63" s="814" t="s">
        <v>258</v>
      </c>
      <c r="D63" s="814" t="s">
        <v>2</v>
      </c>
      <c r="E63" s="815">
        <v>1</v>
      </c>
      <c r="F63" s="815"/>
      <c r="G63" s="891">
        <f t="shared" si="3"/>
        <v>1</v>
      </c>
      <c r="H63" s="811"/>
      <c r="I63" s="811"/>
      <c r="J63" s="811"/>
      <c r="K63" s="811"/>
      <c r="L63" s="811"/>
      <c r="M63" s="811"/>
      <c r="N63" s="811"/>
      <c r="O63" s="811"/>
      <c r="P63" s="811"/>
      <c r="Q63" s="811"/>
      <c r="R63" s="811"/>
      <c r="S63" s="811"/>
      <c r="T63" s="811"/>
      <c r="U63" s="811"/>
      <c r="V63" s="811"/>
      <c r="W63" s="811"/>
      <c r="X63" s="811"/>
      <c r="Y63" s="811"/>
      <c r="Z63" s="811"/>
    </row>
    <row r="64" spans="1:26" s="848" customFormat="1" ht="12.75" customHeight="1" x14ac:dyDescent="0.2">
      <c r="A64" s="1394"/>
      <c r="B64" s="892" t="s">
        <v>1546</v>
      </c>
      <c r="C64" s="816"/>
      <c r="D64" s="816"/>
      <c r="E64" s="817"/>
      <c r="F64" s="893">
        <v>1</v>
      </c>
      <c r="G64" s="894"/>
      <c r="H64" s="811"/>
      <c r="I64" s="811"/>
      <c r="J64" s="811"/>
      <c r="K64" s="811"/>
      <c r="L64" s="811"/>
      <c r="M64" s="811"/>
      <c r="N64" s="811"/>
      <c r="O64" s="811"/>
      <c r="P64" s="811"/>
      <c r="Q64" s="811"/>
      <c r="R64" s="811"/>
      <c r="S64" s="811"/>
      <c r="T64" s="811"/>
      <c r="U64" s="811"/>
      <c r="V64" s="811"/>
      <c r="W64" s="811"/>
      <c r="X64" s="811"/>
      <c r="Y64" s="811"/>
      <c r="Z64" s="811"/>
    </row>
    <row r="65" spans="1:26" s="848" customFormat="1" ht="12.75" customHeight="1" x14ac:dyDescent="0.2">
      <c r="A65" s="1394"/>
      <c r="B65" s="1395" t="s">
        <v>1238</v>
      </c>
      <c r="C65" s="819" t="s">
        <v>1239</v>
      </c>
      <c r="D65" s="814" t="s">
        <v>2</v>
      </c>
      <c r="E65" s="815">
        <v>2</v>
      </c>
      <c r="F65" s="815"/>
      <c r="G65" s="891">
        <f t="shared" ref="G65:G73" si="4">E65*$F$64</f>
        <v>2</v>
      </c>
      <c r="H65" s="811"/>
      <c r="I65" s="811"/>
      <c r="J65" s="811"/>
      <c r="K65" s="811"/>
      <c r="L65" s="811"/>
      <c r="M65" s="811"/>
      <c r="N65" s="811"/>
      <c r="O65" s="811"/>
      <c r="P65" s="811"/>
      <c r="Q65" s="811"/>
      <c r="R65" s="811"/>
      <c r="S65" s="811"/>
      <c r="T65" s="811"/>
      <c r="U65" s="811"/>
      <c r="V65" s="811"/>
      <c r="W65" s="811"/>
      <c r="X65" s="811"/>
      <c r="Y65" s="811"/>
      <c r="Z65" s="811"/>
    </row>
    <row r="66" spans="1:26" s="848" customFormat="1" ht="12.75" customHeight="1" x14ac:dyDescent="0.2">
      <c r="A66" s="1394"/>
      <c r="B66" s="1396"/>
      <c r="C66" s="819" t="s">
        <v>267</v>
      </c>
      <c r="D66" s="814" t="s">
        <v>2</v>
      </c>
      <c r="E66" s="815">
        <v>1</v>
      </c>
      <c r="F66" s="815"/>
      <c r="G66" s="891">
        <f t="shared" si="4"/>
        <v>1</v>
      </c>
      <c r="H66" s="811"/>
      <c r="I66" s="811"/>
      <c r="J66" s="811"/>
      <c r="K66" s="811"/>
      <c r="L66" s="811"/>
      <c r="M66" s="811"/>
      <c r="N66" s="811"/>
      <c r="O66" s="811"/>
      <c r="P66" s="811"/>
      <c r="Q66" s="811"/>
      <c r="R66" s="811"/>
      <c r="S66" s="811"/>
      <c r="T66" s="811"/>
      <c r="U66" s="811"/>
      <c r="V66" s="811"/>
      <c r="W66" s="811"/>
      <c r="X66" s="811"/>
      <c r="Y66" s="811"/>
      <c r="Z66" s="811"/>
    </row>
    <row r="67" spans="1:26" s="848" customFormat="1" ht="12.75" customHeight="1" x14ac:dyDescent="0.2">
      <c r="A67" s="1394"/>
      <c r="B67" s="1396"/>
      <c r="C67" s="819" t="s">
        <v>309</v>
      </c>
      <c r="D67" s="814" t="s">
        <v>2</v>
      </c>
      <c r="E67" s="815">
        <v>1</v>
      </c>
      <c r="F67" s="815"/>
      <c r="G67" s="891">
        <f t="shared" si="4"/>
        <v>1</v>
      </c>
      <c r="H67" s="811"/>
      <c r="I67" s="811"/>
      <c r="J67" s="811"/>
      <c r="K67" s="811"/>
      <c r="L67" s="811"/>
      <c r="M67" s="811"/>
      <c r="N67" s="811"/>
      <c r="O67" s="811"/>
      <c r="P67" s="811"/>
      <c r="Q67" s="811"/>
      <c r="R67" s="811"/>
      <c r="S67" s="811"/>
      <c r="T67" s="811"/>
      <c r="U67" s="811"/>
      <c r="V67" s="811"/>
      <c r="W67" s="811"/>
      <c r="X67" s="811"/>
      <c r="Y67" s="811"/>
      <c r="Z67" s="811"/>
    </row>
    <row r="68" spans="1:26" s="848" customFormat="1" ht="12.75" customHeight="1" x14ac:dyDescent="0.2">
      <c r="A68" s="1394"/>
      <c r="B68" s="1396"/>
      <c r="C68" s="814" t="s">
        <v>1242</v>
      </c>
      <c r="D68" s="814" t="s">
        <v>2</v>
      </c>
      <c r="E68" s="815">
        <v>1</v>
      </c>
      <c r="F68" s="815"/>
      <c r="G68" s="891">
        <f t="shared" si="4"/>
        <v>1</v>
      </c>
      <c r="H68" s="811"/>
      <c r="I68" s="811"/>
      <c r="J68" s="811"/>
      <c r="K68" s="811"/>
      <c r="L68" s="811"/>
      <c r="M68" s="811"/>
      <c r="N68" s="811"/>
      <c r="O68" s="811"/>
      <c r="P68" s="811"/>
      <c r="Q68" s="811"/>
      <c r="R68" s="811"/>
      <c r="S68" s="811"/>
      <c r="T68" s="811"/>
      <c r="U68" s="811"/>
      <c r="V68" s="811"/>
      <c r="W68" s="811"/>
      <c r="X68" s="811"/>
      <c r="Y68" s="811"/>
      <c r="Z68" s="811"/>
    </row>
    <row r="69" spans="1:26" s="848" customFormat="1" ht="12.75" customHeight="1" x14ac:dyDescent="0.2">
      <c r="A69" s="1394"/>
      <c r="B69" s="1396"/>
      <c r="C69" s="819" t="s">
        <v>268</v>
      </c>
      <c r="D69" s="814" t="s">
        <v>2</v>
      </c>
      <c r="E69" s="815">
        <v>2</v>
      </c>
      <c r="F69" s="815"/>
      <c r="G69" s="891">
        <f t="shared" si="4"/>
        <v>2</v>
      </c>
      <c r="H69" s="811"/>
      <c r="I69" s="811"/>
      <c r="J69" s="811"/>
      <c r="K69" s="811"/>
      <c r="L69" s="811"/>
      <c r="M69" s="811"/>
      <c r="N69" s="811"/>
      <c r="O69" s="811"/>
      <c r="P69" s="811"/>
      <c r="Q69" s="811"/>
      <c r="R69" s="811"/>
      <c r="S69" s="811"/>
      <c r="T69" s="811"/>
      <c r="U69" s="811"/>
      <c r="V69" s="811"/>
      <c r="W69" s="811"/>
      <c r="X69" s="811"/>
      <c r="Y69" s="811"/>
      <c r="Z69" s="811"/>
    </row>
    <row r="70" spans="1:26" s="848" customFormat="1" ht="12.75" customHeight="1" x14ac:dyDescent="0.2">
      <c r="A70" s="1394"/>
      <c r="B70" s="1396"/>
      <c r="C70" s="814" t="s">
        <v>269</v>
      </c>
      <c r="D70" s="814" t="s">
        <v>2</v>
      </c>
      <c r="E70" s="815">
        <v>2</v>
      </c>
      <c r="F70" s="815"/>
      <c r="G70" s="891">
        <f t="shared" si="4"/>
        <v>2</v>
      </c>
      <c r="H70" s="811"/>
      <c r="I70" s="811"/>
      <c r="J70" s="811"/>
      <c r="K70" s="811"/>
      <c r="L70" s="811"/>
      <c r="M70" s="811"/>
      <c r="N70" s="811"/>
      <c r="O70" s="811"/>
      <c r="P70" s="811"/>
      <c r="Q70" s="811"/>
      <c r="R70" s="811"/>
      <c r="S70" s="811"/>
      <c r="T70" s="811"/>
      <c r="U70" s="811"/>
      <c r="V70" s="811"/>
      <c r="W70" s="811"/>
      <c r="X70" s="811"/>
      <c r="Y70" s="811"/>
      <c r="Z70" s="811"/>
    </row>
    <row r="71" spans="1:26" s="848" customFormat="1" ht="12.75" customHeight="1" x14ac:dyDescent="0.2">
      <c r="A71" s="1394"/>
      <c r="B71" s="1396"/>
      <c r="C71" s="814" t="s">
        <v>270</v>
      </c>
      <c r="D71" s="814" t="s">
        <v>2</v>
      </c>
      <c r="E71" s="815">
        <v>1</v>
      </c>
      <c r="F71" s="815"/>
      <c r="G71" s="891">
        <f t="shared" si="4"/>
        <v>1</v>
      </c>
      <c r="H71" s="811"/>
      <c r="I71" s="811"/>
      <c r="J71" s="811"/>
      <c r="K71" s="811"/>
      <c r="L71" s="811"/>
      <c r="M71" s="811"/>
      <c r="N71" s="811"/>
      <c r="O71" s="811"/>
      <c r="P71" s="811"/>
      <c r="Q71" s="811"/>
      <c r="R71" s="811"/>
      <c r="S71" s="811"/>
      <c r="T71" s="811"/>
      <c r="U71" s="811"/>
      <c r="V71" s="811"/>
      <c r="W71" s="811"/>
      <c r="X71" s="811"/>
      <c r="Y71" s="811"/>
      <c r="Z71" s="811"/>
    </row>
    <row r="72" spans="1:26" s="848" customFormat="1" ht="12.75" customHeight="1" x14ac:dyDescent="0.2">
      <c r="A72" s="1394"/>
      <c r="B72" s="1396"/>
      <c r="C72" s="814" t="s">
        <v>264</v>
      </c>
      <c r="D72" s="814" t="s">
        <v>2</v>
      </c>
      <c r="E72" s="815">
        <v>1</v>
      </c>
      <c r="F72" s="815"/>
      <c r="G72" s="891">
        <f t="shared" si="4"/>
        <v>1</v>
      </c>
      <c r="H72" s="811"/>
      <c r="I72" s="811"/>
      <c r="J72" s="811"/>
      <c r="K72" s="811"/>
      <c r="L72" s="811"/>
      <c r="M72" s="811"/>
      <c r="N72" s="811"/>
      <c r="O72" s="811"/>
      <c r="P72" s="811"/>
      <c r="Q72" s="811"/>
      <c r="R72" s="811"/>
      <c r="S72" s="811"/>
      <c r="T72" s="811"/>
      <c r="U72" s="811"/>
      <c r="V72" s="811"/>
      <c r="W72" s="811"/>
      <c r="X72" s="811"/>
      <c r="Y72" s="811"/>
      <c r="Z72" s="811"/>
    </row>
    <row r="73" spans="1:26" s="848" customFormat="1" ht="12.75" customHeight="1" x14ac:dyDescent="0.2">
      <c r="A73" s="1394"/>
      <c r="B73" s="1396"/>
      <c r="C73" s="814" t="s">
        <v>258</v>
      </c>
      <c r="D73" s="814" t="s">
        <v>2</v>
      </c>
      <c r="E73" s="815">
        <v>1</v>
      </c>
      <c r="F73" s="815"/>
      <c r="G73" s="891">
        <f t="shared" si="4"/>
        <v>1</v>
      </c>
      <c r="H73" s="811"/>
      <c r="I73" s="811"/>
      <c r="J73" s="811"/>
      <c r="K73" s="811"/>
      <c r="L73" s="811"/>
      <c r="M73" s="811"/>
      <c r="N73" s="811"/>
      <c r="O73" s="811"/>
      <c r="P73" s="811"/>
      <c r="Q73" s="811"/>
      <c r="R73" s="811"/>
      <c r="S73" s="811"/>
      <c r="T73" s="811"/>
      <c r="U73" s="811"/>
      <c r="V73" s="811"/>
      <c r="W73" s="811"/>
      <c r="X73" s="811"/>
      <c r="Y73" s="811"/>
      <c r="Z73" s="811"/>
    </row>
    <row r="74" spans="1:26" s="848" customFormat="1" ht="12.75" customHeight="1" x14ac:dyDescent="0.2">
      <c r="A74" s="1394"/>
      <c r="B74" s="816" t="s">
        <v>1553</v>
      </c>
      <c r="C74" s="816"/>
      <c r="D74" s="816"/>
      <c r="E74" s="817"/>
      <c r="F74" s="817">
        <v>3</v>
      </c>
      <c r="G74" s="894"/>
      <c r="H74" s="811"/>
      <c r="I74" s="811"/>
      <c r="J74" s="811"/>
      <c r="K74" s="811"/>
      <c r="L74" s="811"/>
      <c r="M74" s="811"/>
      <c r="N74" s="811"/>
      <c r="O74" s="811"/>
      <c r="P74" s="811"/>
      <c r="Q74" s="811"/>
      <c r="R74" s="811"/>
      <c r="S74" s="811"/>
      <c r="T74" s="811"/>
      <c r="U74" s="811"/>
      <c r="V74" s="811"/>
      <c r="W74" s="811"/>
      <c r="X74" s="811"/>
      <c r="Y74" s="811"/>
      <c r="Z74" s="811"/>
    </row>
    <row r="75" spans="1:26" s="848" customFormat="1" ht="12.75" customHeight="1" x14ac:dyDescent="0.2">
      <c r="A75" s="1394"/>
      <c r="B75" s="866"/>
      <c r="C75" s="814" t="s">
        <v>263</v>
      </c>
      <c r="D75" s="814" t="s">
        <v>2</v>
      </c>
      <c r="E75" s="815">
        <v>1</v>
      </c>
      <c r="F75" s="815"/>
      <c r="G75" s="891">
        <f>E75*$F$74</f>
        <v>3</v>
      </c>
      <c r="H75" s="811"/>
      <c r="I75" s="811"/>
      <c r="J75" s="811"/>
      <c r="K75" s="811"/>
      <c r="L75" s="811"/>
      <c r="M75" s="811"/>
      <c r="N75" s="811"/>
      <c r="O75" s="811"/>
      <c r="P75" s="811"/>
      <c r="Q75" s="811"/>
      <c r="R75" s="811"/>
      <c r="S75" s="811"/>
      <c r="T75" s="811"/>
      <c r="U75" s="811"/>
      <c r="V75" s="811"/>
      <c r="W75" s="811"/>
      <c r="X75" s="811"/>
      <c r="Y75" s="811"/>
      <c r="Z75" s="811"/>
    </row>
    <row r="76" spans="1:26" s="848" customFormat="1" ht="12.75" customHeight="1" x14ac:dyDescent="0.2">
      <c r="A76" s="1394"/>
      <c r="B76" s="866"/>
      <c r="C76" s="814" t="s">
        <v>1247</v>
      </c>
      <c r="D76" s="814" t="s">
        <v>2</v>
      </c>
      <c r="E76" s="815">
        <v>1</v>
      </c>
      <c r="F76" s="815"/>
      <c r="G76" s="891">
        <f>E76*$F$77</f>
        <v>1</v>
      </c>
      <c r="H76" s="811"/>
      <c r="I76" s="811"/>
      <c r="J76" s="811"/>
      <c r="K76" s="811"/>
      <c r="L76" s="811"/>
      <c r="M76" s="811"/>
      <c r="N76" s="811"/>
      <c r="O76" s="811"/>
      <c r="P76" s="811"/>
      <c r="Q76" s="811"/>
      <c r="R76" s="811"/>
      <c r="S76" s="811"/>
      <c r="T76" s="811"/>
      <c r="U76" s="811"/>
      <c r="V76" s="811"/>
      <c r="W76" s="811"/>
      <c r="X76" s="811"/>
      <c r="Y76" s="811"/>
      <c r="Z76" s="811"/>
    </row>
    <row r="77" spans="1:26" s="848" customFormat="1" ht="12.75" customHeight="1" x14ac:dyDescent="0.2">
      <c r="A77" s="1394"/>
      <c r="B77" s="816" t="s">
        <v>262</v>
      </c>
      <c r="C77" s="816"/>
      <c r="D77" s="816"/>
      <c r="E77" s="817"/>
      <c r="F77" s="817">
        <v>1</v>
      </c>
      <c r="G77" s="894"/>
      <c r="H77" s="811"/>
      <c r="I77" s="811"/>
      <c r="J77" s="811"/>
      <c r="K77" s="811"/>
      <c r="L77" s="811"/>
      <c r="M77" s="811"/>
      <c r="N77" s="811"/>
      <c r="O77" s="811"/>
      <c r="P77" s="811"/>
      <c r="Q77" s="811"/>
      <c r="R77" s="811"/>
      <c r="S77" s="811"/>
      <c r="T77" s="811"/>
      <c r="U77" s="811"/>
      <c r="V77" s="811"/>
      <c r="W77" s="811"/>
      <c r="X77" s="811"/>
      <c r="Y77" s="811"/>
      <c r="Z77" s="811"/>
    </row>
    <row r="78" spans="1:26" s="848" customFormat="1" ht="12.75" customHeight="1" x14ac:dyDescent="0.2">
      <c r="A78" s="1394"/>
      <c r="B78" s="866"/>
      <c r="C78" s="814" t="s">
        <v>262</v>
      </c>
      <c r="D78" s="814" t="s">
        <v>2</v>
      </c>
      <c r="E78" s="815">
        <v>1</v>
      </c>
      <c r="F78" s="815"/>
      <c r="G78" s="891">
        <f>E78*$F$77</f>
        <v>1</v>
      </c>
      <c r="H78" s="811"/>
      <c r="I78" s="811"/>
      <c r="J78" s="811"/>
      <c r="K78" s="811"/>
      <c r="L78" s="811"/>
      <c r="M78" s="811"/>
      <c r="N78" s="811"/>
      <c r="O78" s="811"/>
      <c r="P78" s="811"/>
      <c r="Q78" s="811"/>
      <c r="R78" s="811"/>
      <c r="S78" s="811"/>
      <c r="T78" s="811"/>
      <c r="U78" s="811"/>
      <c r="V78" s="811"/>
      <c r="W78" s="811"/>
      <c r="X78" s="811"/>
      <c r="Y78" s="811"/>
      <c r="Z78" s="811"/>
    </row>
    <row r="79" spans="1:26" s="848" customFormat="1" ht="12.75" customHeight="1" x14ac:dyDescent="0.2">
      <c r="A79" s="1394"/>
      <c r="B79" s="866"/>
      <c r="C79" s="814" t="s">
        <v>1247</v>
      </c>
      <c r="D79" s="814" t="s">
        <v>2</v>
      </c>
      <c r="E79" s="815">
        <v>1</v>
      </c>
      <c r="F79" s="815"/>
      <c r="G79" s="891">
        <f>E79*$F$77</f>
        <v>1</v>
      </c>
      <c r="H79" s="811"/>
      <c r="I79" s="811"/>
      <c r="J79" s="811"/>
      <c r="K79" s="811"/>
      <c r="L79" s="811"/>
      <c r="M79" s="811"/>
      <c r="N79" s="811"/>
      <c r="O79" s="811"/>
      <c r="P79" s="811"/>
      <c r="Q79" s="811"/>
      <c r="R79" s="811"/>
      <c r="S79" s="811"/>
      <c r="T79" s="811"/>
      <c r="U79" s="811"/>
      <c r="V79" s="811"/>
      <c r="W79" s="811"/>
      <c r="X79" s="811"/>
      <c r="Y79" s="811"/>
      <c r="Z79" s="811"/>
    </row>
    <row r="80" spans="1:26" s="848" customFormat="1" ht="12.75" customHeight="1" x14ac:dyDescent="0.2">
      <c r="A80" s="1394"/>
      <c r="B80" s="816" t="s">
        <v>1552</v>
      </c>
      <c r="C80" s="816"/>
      <c r="D80" s="816"/>
      <c r="E80" s="817"/>
      <c r="F80" s="817">
        <v>1</v>
      </c>
      <c r="G80" s="894"/>
      <c r="H80" s="811"/>
      <c r="I80" s="811"/>
      <c r="J80" s="811"/>
      <c r="K80" s="811"/>
      <c r="L80" s="811"/>
      <c r="M80" s="811"/>
      <c r="N80" s="811"/>
      <c r="O80" s="811"/>
      <c r="P80" s="811"/>
      <c r="Q80" s="811"/>
      <c r="R80" s="811"/>
      <c r="S80" s="811"/>
      <c r="T80" s="811"/>
      <c r="U80" s="811"/>
      <c r="V80" s="811"/>
      <c r="W80" s="811"/>
      <c r="X80" s="811"/>
      <c r="Y80" s="811"/>
      <c r="Z80" s="811"/>
    </row>
    <row r="81" spans="1:26" s="848" customFormat="1" ht="12.75" customHeight="1" x14ac:dyDescent="0.2">
      <c r="A81" s="1394"/>
      <c r="B81" s="866"/>
      <c r="C81" s="814" t="s">
        <v>1243</v>
      </c>
      <c r="D81" s="814" t="s">
        <v>2</v>
      </c>
      <c r="E81" s="815">
        <v>1</v>
      </c>
      <c r="F81" s="815"/>
      <c r="G81" s="891">
        <f>E81*$F$80</f>
        <v>1</v>
      </c>
      <c r="H81" s="811"/>
      <c r="I81" s="811"/>
      <c r="J81" s="811"/>
      <c r="K81" s="811"/>
      <c r="L81" s="811"/>
      <c r="M81" s="811"/>
      <c r="N81" s="811"/>
      <c r="O81" s="811"/>
      <c r="P81" s="811"/>
      <c r="Q81" s="811"/>
      <c r="R81" s="811"/>
      <c r="S81" s="811"/>
      <c r="T81" s="811"/>
      <c r="U81" s="811"/>
      <c r="V81" s="811"/>
      <c r="W81" s="811"/>
      <c r="X81" s="811"/>
      <c r="Y81" s="811"/>
      <c r="Z81" s="811"/>
    </row>
    <row r="82" spans="1:26" s="848" customFormat="1" ht="12.75" customHeight="1" x14ac:dyDescent="0.2">
      <c r="A82" s="1394"/>
      <c r="B82" s="866"/>
      <c r="C82" s="814" t="s">
        <v>1242</v>
      </c>
      <c r="D82" s="814" t="s">
        <v>2</v>
      </c>
      <c r="E82" s="815">
        <v>1</v>
      </c>
      <c r="F82" s="815"/>
      <c r="G82" s="891">
        <f>E82*$F$80</f>
        <v>1</v>
      </c>
      <c r="H82" s="811"/>
      <c r="I82" s="811"/>
      <c r="J82" s="811"/>
      <c r="K82" s="811"/>
      <c r="L82" s="811"/>
      <c r="M82" s="811"/>
      <c r="N82" s="811"/>
      <c r="O82" s="811"/>
      <c r="P82" s="811"/>
      <c r="Q82" s="811"/>
      <c r="R82" s="811"/>
      <c r="S82" s="811"/>
      <c r="T82" s="811"/>
      <c r="U82" s="811"/>
      <c r="V82" s="811"/>
      <c r="W82" s="811"/>
      <c r="X82" s="811"/>
      <c r="Y82" s="811"/>
      <c r="Z82" s="811"/>
    </row>
    <row r="83" spans="1:26" s="848" customFormat="1" ht="12.75" customHeight="1" x14ac:dyDescent="0.2">
      <c r="A83" s="1394"/>
      <c r="B83" s="866"/>
      <c r="C83" s="814" t="s">
        <v>270</v>
      </c>
      <c r="D83" s="814" t="s">
        <v>2</v>
      </c>
      <c r="E83" s="815">
        <v>1</v>
      </c>
      <c r="F83" s="815"/>
      <c r="G83" s="891">
        <f>E83*$F$80</f>
        <v>1</v>
      </c>
      <c r="H83" s="811"/>
      <c r="I83" s="811"/>
      <c r="J83" s="811"/>
      <c r="K83" s="811"/>
      <c r="L83" s="811"/>
      <c r="M83" s="811"/>
      <c r="N83" s="811"/>
      <c r="O83" s="811"/>
      <c r="P83" s="811"/>
      <c r="Q83" s="811"/>
      <c r="R83" s="811"/>
      <c r="S83" s="811"/>
      <c r="T83" s="811"/>
      <c r="U83" s="811"/>
      <c r="V83" s="811"/>
      <c r="W83" s="811"/>
      <c r="X83" s="811"/>
      <c r="Y83" s="811"/>
      <c r="Z83" s="811"/>
    </row>
    <row r="84" spans="1:26" s="848" customFormat="1" ht="12.75" customHeight="1" x14ac:dyDescent="0.2">
      <c r="A84" s="1394"/>
      <c r="B84" s="866"/>
      <c r="C84" s="814" t="s">
        <v>1239</v>
      </c>
      <c r="D84" s="814" t="s">
        <v>2</v>
      </c>
      <c r="E84" s="815">
        <v>1</v>
      </c>
      <c r="F84" s="815"/>
      <c r="G84" s="891">
        <f>E84*$F$80</f>
        <v>1</v>
      </c>
      <c r="H84" s="811"/>
      <c r="I84" s="811"/>
      <c r="J84" s="811"/>
      <c r="K84" s="811"/>
      <c r="L84" s="811"/>
      <c r="M84" s="811"/>
      <c r="N84" s="811"/>
      <c r="O84" s="811"/>
      <c r="P84" s="811"/>
      <c r="Q84" s="811"/>
      <c r="R84" s="811"/>
      <c r="S84" s="811"/>
      <c r="T84" s="811"/>
      <c r="U84" s="811"/>
      <c r="V84" s="811"/>
      <c r="W84" s="811"/>
      <c r="X84" s="811"/>
      <c r="Y84" s="811"/>
      <c r="Z84" s="811"/>
    </row>
    <row r="85" spans="1:26" s="848" customFormat="1" ht="12.75" customHeight="1" x14ac:dyDescent="0.2">
      <c r="A85" s="1394"/>
      <c r="B85" s="816" t="s">
        <v>1551</v>
      </c>
      <c r="C85" s="816"/>
      <c r="D85" s="816"/>
      <c r="E85" s="817"/>
      <c r="F85" s="817">
        <v>1</v>
      </c>
      <c r="G85" s="894"/>
      <c r="H85" s="811"/>
      <c r="I85" s="811"/>
      <c r="J85" s="811"/>
      <c r="K85" s="811"/>
      <c r="L85" s="811"/>
      <c r="M85" s="811"/>
      <c r="N85" s="811"/>
      <c r="O85" s="811"/>
      <c r="P85" s="811"/>
      <c r="Q85" s="811"/>
      <c r="R85" s="811"/>
      <c r="S85" s="811"/>
      <c r="T85" s="811"/>
      <c r="U85" s="811"/>
      <c r="V85" s="811"/>
      <c r="W85" s="811"/>
      <c r="X85" s="811"/>
      <c r="Y85" s="811"/>
      <c r="Z85" s="811"/>
    </row>
    <row r="86" spans="1:26" s="848" customFormat="1" ht="12.75" customHeight="1" x14ac:dyDescent="0.2">
      <c r="A86" s="1394"/>
      <c r="B86" s="866"/>
      <c r="C86" s="814" t="s">
        <v>1243</v>
      </c>
      <c r="D86" s="814" t="s">
        <v>2</v>
      </c>
      <c r="E86" s="815">
        <v>2</v>
      </c>
      <c r="F86" s="815"/>
      <c r="G86" s="891">
        <f>E86*$F$85</f>
        <v>2</v>
      </c>
      <c r="H86" s="811"/>
      <c r="I86" s="811"/>
      <c r="J86" s="811"/>
      <c r="K86" s="811"/>
      <c r="L86" s="811"/>
      <c r="M86" s="811"/>
      <c r="N86" s="811"/>
      <c r="O86" s="811"/>
      <c r="P86" s="811"/>
      <c r="Q86" s="811"/>
      <c r="R86" s="811"/>
      <c r="S86" s="811"/>
      <c r="T86" s="811"/>
      <c r="U86" s="811"/>
      <c r="V86" s="811"/>
      <c r="W86" s="811"/>
      <c r="X86" s="811"/>
      <c r="Y86" s="811"/>
      <c r="Z86" s="811"/>
    </row>
    <row r="87" spans="1:26" s="848" customFormat="1" ht="12.75" customHeight="1" x14ac:dyDescent="0.2">
      <c r="A87" s="1394"/>
      <c r="B87" s="866"/>
      <c r="C87" s="814" t="s">
        <v>1242</v>
      </c>
      <c r="D87" s="814" t="s">
        <v>2</v>
      </c>
      <c r="E87" s="815">
        <v>2</v>
      </c>
      <c r="F87" s="815"/>
      <c r="G87" s="891">
        <f>E87*$F$85</f>
        <v>2</v>
      </c>
      <c r="H87" s="811"/>
      <c r="I87" s="811"/>
      <c r="J87" s="811"/>
      <c r="K87" s="811"/>
      <c r="L87" s="811"/>
      <c r="M87" s="811"/>
      <c r="N87" s="811"/>
      <c r="O87" s="811"/>
      <c r="P87" s="811"/>
      <c r="Q87" s="811"/>
      <c r="R87" s="811"/>
      <c r="S87" s="811"/>
      <c r="T87" s="811"/>
      <c r="U87" s="811"/>
      <c r="V87" s="811"/>
      <c r="W87" s="811"/>
      <c r="X87" s="811"/>
      <c r="Y87" s="811"/>
      <c r="Z87" s="811"/>
    </row>
    <row r="88" spans="1:26" s="848" customFormat="1" ht="12.75" customHeight="1" x14ac:dyDescent="0.2">
      <c r="A88" s="1394"/>
      <c r="B88" s="866"/>
      <c r="C88" s="814" t="s">
        <v>270</v>
      </c>
      <c r="D88" s="814" t="s">
        <v>2</v>
      </c>
      <c r="E88" s="815">
        <v>2</v>
      </c>
      <c r="F88" s="815"/>
      <c r="G88" s="891">
        <f>E88*$F$85</f>
        <v>2</v>
      </c>
      <c r="H88" s="811"/>
      <c r="I88" s="811"/>
      <c r="J88" s="811"/>
      <c r="K88" s="811"/>
      <c r="L88" s="811"/>
      <c r="M88" s="811"/>
      <c r="N88" s="811"/>
      <c r="O88" s="811"/>
      <c r="P88" s="811"/>
      <c r="Q88" s="811"/>
      <c r="R88" s="811"/>
      <c r="S88" s="811"/>
      <c r="T88" s="811"/>
      <c r="U88" s="811"/>
      <c r="V88" s="811"/>
      <c r="W88" s="811"/>
      <c r="X88" s="811"/>
      <c r="Y88" s="811"/>
      <c r="Z88" s="811"/>
    </row>
    <row r="89" spans="1:26" s="848" customFormat="1" ht="12.75" customHeight="1" x14ac:dyDescent="0.2">
      <c r="A89" s="1394"/>
      <c r="B89" s="866"/>
      <c r="C89" s="814" t="s">
        <v>1239</v>
      </c>
      <c r="D89" s="814" t="s">
        <v>2</v>
      </c>
      <c r="E89" s="815">
        <v>1</v>
      </c>
      <c r="F89" s="815"/>
      <c r="G89" s="891">
        <f>E89*$F$85</f>
        <v>1</v>
      </c>
      <c r="H89" s="811"/>
      <c r="I89" s="811"/>
      <c r="J89" s="811"/>
      <c r="K89" s="811"/>
      <c r="L89" s="811"/>
      <c r="M89" s="811"/>
      <c r="N89" s="811"/>
      <c r="O89" s="811"/>
      <c r="P89" s="811"/>
      <c r="Q89" s="811"/>
      <c r="R89" s="811"/>
      <c r="S89" s="811"/>
      <c r="T89" s="811"/>
      <c r="U89" s="811"/>
      <c r="V89" s="811"/>
      <c r="W89" s="811"/>
      <c r="X89" s="811"/>
      <c r="Y89" s="811"/>
      <c r="Z89" s="811"/>
    </row>
    <row r="90" spans="1:26" s="848" customFormat="1" ht="12.75" customHeight="1" x14ac:dyDescent="0.2">
      <c r="A90" s="1394"/>
      <c r="B90" s="816" t="s">
        <v>1550</v>
      </c>
      <c r="C90" s="816"/>
      <c r="D90" s="816"/>
      <c r="E90" s="817"/>
      <c r="F90" s="817">
        <v>1</v>
      </c>
      <c r="G90" s="894"/>
      <c r="H90" s="811"/>
      <c r="I90" s="811"/>
      <c r="J90" s="811"/>
      <c r="K90" s="811"/>
      <c r="L90" s="811"/>
      <c r="M90" s="811"/>
      <c r="N90" s="811"/>
      <c r="O90" s="811"/>
      <c r="P90" s="811"/>
      <c r="Q90" s="811"/>
      <c r="R90" s="811"/>
      <c r="S90" s="811"/>
      <c r="T90" s="811"/>
      <c r="U90" s="811"/>
      <c r="V90" s="811"/>
      <c r="W90" s="811"/>
      <c r="X90" s="811"/>
      <c r="Y90" s="811"/>
      <c r="Z90" s="811"/>
    </row>
    <row r="91" spans="1:26" s="848" customFormat="1" ht="12.75" customHeight="1" x14ac:dyDescent="0.2">
      <c r="A91" s="1394"/>
      <c r="B91" s="866"/>
      <c r="C91" s="814" t="s">
        <v>1243</v>
      </c>
      <c r="D91" s="814" t="s">
        <v>2</v>
      </c>
      <c r="E91" s="815">
        <v>2</v>
      </c>
      <c r="F91" s="815"/>
      <c r="G91" s="891">
        <f>E91*$F$90</f>
        <v>2</v>
      </c>
      <c r="H91" s="811"/>
      <c r="I91" s="811"/>
      <c r="J91" s="811"/>
      <c r="K91" s="811"/>
      <c r="L91" s="811"/>
      <c r="M91" s="811"/>
      <c r="N91" s="811"/>
      <c r="O91" s="811"/>
      <c r="P91" s="811"/>
      <c r="Q91" s="811"/>
      <c r="R91" s="811"/>
      <c r="S91" s="811"/>
      <c r="T91" s="811"/>
      <c r="U91" s="811"/>
      <c r="V91" s="811"/>
      <c r="W91" s="811"/>
      <c r="X91" s="811"/>
      <c r="Y91" s="811"/>
      <c r="Z91" s="811"/>
    </row>
    <row r="92" spans="1:26" s="848" customFormat="1" ht="12.75" customHeight="1" x14ac:dyDescent="0.2">
      <c r="A92" s="1394"/>
      <c r="B92" s="866"/>
      <c r="C92" s="814" t="s">
        <v>1242</v>
      </c>
      <c r="D92" s="814" t="s">
        <v>2</v>
      </c>
      <c r="E92" s="815">
        <v>2</v>
      </c>
      <c r="F92" s="815"/>
      <c r="G92" s="891">
        <f>E92*$F$90</f>
        <v>2</v>
      </c>
      <c r="H92" s="811"/>
      <c r="I92" s="811"/>
      <c r="J92" s="811"/>
      <c r="K92" s="811"/>
      <c r="L92" s="811"/>
      <c r="M92" s="811"/>
      <c r="N92" s="811"/>
      <c r="O92" s="811"/>
      <c r="P92" s="811"/>
      <c r="Q92" s="811"/>
      <c r="R92" s="811"/>
      <c r="S92" s="811"/>
      <c r="T92" s="811"/>
      <c r="U92" s="811"/>
      <c r="V92" s="811"/>
      <c r="W92" s="811"/>
      <c r="X92" s="811"/>
      <c r="Y92" s="811"/>
      <c r="Z92" s="811"/>
    </row>
    <row r="93" spans="1:26" s="848" customFormat="1" ht="12.75" customHeight="1" x14ac:dyDescent="0.2">
      <c r="A93" s="1394"/>
      <c r="B93" s="866"/>
      <c r="C93" s="814" t="s">
        <v>270</v>
      </c>
      <c r="D93" s="814" t="s">
        <v>2</v>
      </c>
      <c r="E93" s="815">
        <v>2</v>
      </c>
      <c r="F93" s="815"/>
      <c r="G93" s="891">
        <f>E93*$F$90</f>
        <v>2</v>
      </c>
      <c r="H93" s="811"/>
      <c r="I93" s="811"/>
      <c r="J93" s="811"/>
      <c r="K93" s="811"/>
      <c r="L93" s="811"/>
      <c r="M93" s="811"/>
      <c r="N93" s="811"/>
      <c r="O93" s="811"/>
      <c r="P93" s="811"/>
      <c r="Q93" s="811"/>
      <c r="R93" s="811"/>
      <c r="S93" s="811"/>
      <c r="T93" s="811"/>
      <c r="U93" s="811"/>
      <c r="V93" s="811"/>
      <c r="W93" s="811"/>
      <c r="X93" s="811"/>
      <c r="Y93" s="811"/>
      <c r="Z93" s="811"/>
    </row>
    <row r="94" spans="1:26" s="848" customFormat="1" ht="12.75" customHeight="1" x14ac:dyDescent="0.2">
      <c r="A94" s="1394"/>
      <c r="B94" s="866"/>
      <c r="C94" s="814" t="s">
        <v>1239</v>
      </c>
      <c r="D94" s="814" t="s">
        <v>2</v>
      </c>
      <c r="E94" s="815">
        <v>1</v>
      </c>
      <c r="F94" s="815"/>
      <c r="G94" s="891">
        <f>E94*$F$90</f>
        <v>1</v>
      </c>
      <c r="H94" s="811"/>
      <c r="I94" s="811"/>
      <c r="J94" s="811"/>
      <c r="K94" s="811"/>
      <c r="L94" s="811"/>
      <c r="M94" s="811"/>
      <c r="N94" s="811"/>
      <c r="O94" s="811"/>
      <c r="P94" s="811"/>
      <c r="Q94" s="811"/>
      <c r="R94" s="811"/>
      <c r="S94" s="811"/>
      <c r="T94" s="811"/>
      <c r="U94" s="811"/>
      <c r="V94" s="811"/>
      <c r="W94" s="811"/>
      <c r="X94" s="811"/>
      <c r="Y94" s="811"/>
      <c r="Z94" s="811"/>
    </row>
    <row r="95" spans="1:26" s="848" customFormat="1" x14ac:dyDescent="0.2">
      <c r="A95" s="1387" t="s">
        <v>1549</v>
      </c>
      <c r="B95" s="901" t="s">
        <v>1547</v>
      </c>
      <c r="C95" s="816"/>
      <c r="D95" s="816"/>
      <c r="E95" s="817"/>
      <c r="F95" s="817">
        <f>3*20</f>
        <v>60</v>
      </c>
      <c r="G95" s="894"/>
      <c r="H95" s="811"/>
      <c r="I95" s="811"/>
      <c r="J95" s="811"/>
      <c r="K95" s="811"/>
      <c r="L95" s="811"/>
      <c r="M95" s="811"/>
      <c r="N95" s="811"/>
      <c r="O95" s="811"/>
      <c r="P95" s="811"/>
      <c r="Q95" s="811"/>
      <c r="R95" s="811"/>
      <c r="S95" s="811"/>
      <c r="T95" s="811"/>
      <c r="U95" s="811"/>
      <c r="V95" s="811"/>
      <c r="W95" s="811"/>
      <c r="X95" s="811"/>
      <c r="Y95" s="811"/>
      <c r="Z95" s="811"/>
    </row>
    <row r="96" spans="1:26" s="848" customFormat="1" x14ac:dyDescent="0.2">
      <c r="A96" s="1388"/>
      <c r="B96" s="1384" t="s">
        <v>1238</v>
      </c>
      <c r="C96" s="819" t="s">
        <v>258</v>
      </c>
      <c r="D96" s="814" t="s">
        <v>2</v>
      </c>
      <c r="E96" s="815">
        <v>1</v>
      </c>
      <c r="F96" s="815"/>
      <c r="G96" s="891">
        <f>E96*$F$95</f>
        <v>60</v>
      </c>
      <c r="H96" s="811"/>
      <c r="I96" s="811"/>
      <c r="J96" s="811"/>
      <c r="K96" s="811"/>
      <c r="L96" s="811"/>
      <c r="M96" s="811"/>
      <c r="N96" s="811"/>
      <c r="O96" s="811"/>
      <c r="P96" s="811"/>
      <c r="Q96" s="811"/>
      <c r="R96" s="811"/>
      <c r="S96" s="811"/>
      <c r="T96" s="811"/>
      <c r="U96" s="811"/>
      <c r="V96" s="811"/>
      <c r="W96" s="811"/>
      <c r="X96" s="811"/>
      <c r="Y96" s="811"/>
      <c r="Z96" s="811"/>
    </row>
    <row r="97" spans="1:26" s="848" customFormat="1" ht="12.75" customHeight="1" x14ac:dyDescent="0.2">
      <c r="A97" s="1388"/>
      <c r="B97" s="1385"/>
      <c r="C97" s="814" t="s">
        <v>267</v>
      </c>
      <c r="D97" s="814" t="s">
        <v>2</v>
      </c>
      <c r="E97" s="815">
        <f>1*E96</f>
        <v>1</v>
      </c>
      <c r="F97" s="815"/>
      <c r="G97" s="891">
        <f>E97*$F$95</f>
        <v>60</v>
      </c>
      <c r="H97" s="811"/>
      <c r="I97" s="811"/>
      <c r="J97" s="811"/>
      <c r="K97" s="811"/>
      <c r="L97" s="811"/>
      <c r="M97" s="811"/>
      <c r="N97" s="811"/>
      <c r="O97" s="811"/>
      <c r="P97" s="811"/>
      <c r="Q97" s="811"/>
      <c r="R97" s="811"/>
      <c r="S97" s="811"/>
      <c r="T97" s="811"/>
      <c r="U97" s="811"/>
      <c r="V97" s="811"/>
      <c r="W97" s="811"/>
      <c r="X97" s="811"/>
      <c r="Y97" s="811"/>
      <c r="Z97" s="811"/>
    </row>
    <row r="98" spans="1:26" s="848" customFormat="1" ht="12.75" customHeight="1" x14ac:dyDescent="0.2">
      <c r="A98" s="1388"/>
      <c r="B98" s="1385"/>
      <c r="C98" s="814" t="s">
        <v>268</v>
      </c>
      <c r="D98" s="814" t="s">
        <v>2</v>
      </c>
      <c r="E98" s="815">
        <f>1*E96</f>
        <v>1</v>
      </c>
      <c r="F98" s="815"/>
      <c r="G98" s="891">
        <f>E98*$F$95</f>
        <v>60</v>
      </c>
      <c r="H98" s="811"/>
      <c r="I98" s="811"/>
      <c r="J98" s="811"/>
      <c r="K98" s="811"/>
      <c r="L98" s="811"/>
      <c r="M98" s="811"/>
      <c r="N98" s="811"/>
      <c r="O98" s="811"/>
      <c r="P98" s="811"/>
      <c r="Q98" s="811"/>
      <c r="R98" s="811"/>
      <c r="S98" s="811"/>
      <c r="T98" s="811"/>
      <c r="U98" s="811"/>
      <c r="V98" s="811"/>
      <c r="W98" s="811"/>
      <c r="X98" s="811"/>
      <c r="Y98" s="811"/>
      <c r="Z98" s="811"/>
    </row>
    <row r="99" spans="1:26" s="848" customFormat="1" ht="12.75" customHeight="1" x14ac:dyDescent="0.2">
      <c r="A99" s="1388"/>
      <c r="B99" s="1385"/>
      <c r="C99" s="814" t="s">
        <v>269</v>
      </c>
      <c r="D99" s="814" t="s">
        <v>2</v>
      </c>
      <c r="E99" s="815">
        <f>2*E96</f>
        <v>2</v>
      </c>
      <c r="F99" s="815"/>
      <c r="G99" s="891">
        <f>E99*$F$95</f>
        <v>120</v>
      </c>
      <c r="H99" s="811"/>
      <c r="I99" s="811"/>
      <c r="J99" s="811"/>
      <c r="K99" s="811"/>
      <c r="L99" s="811"/>
      <c r="M99" s="811"/>
      <c r="N99" s="811"/>
      <c r="O99" s="811"/>
      <c r="P99" s="811"/>
      <c r="Q99" s="811"/>
      <c r="R99" s="811"/>
      <c r="S99" s="811"/>
      <c r="T99" s="811"/>
      <c r="U99" s="811"/>
      <c r="V99" s="811"/>
      <c r="W99" s="811"/>
      <c r="X99" s="811"/>
      <c r="Y99" s="811"/>
      <c r="Z99" s="811"/>
    </row>
    <row r="100" spans="1:26" s="848" customFormat="1" ht="12.75" customHeight="1" x14ac:dyDescent="0.2">
      <c r="A100" s="1388"/>
      <c r="B100" s="1385"/>
      <c r="C100" s="814" t="s">
        <v>1239</v>
      </c>
      <c r="D100" s="814" t="s">
        <v>2</v>
      </c>
      <c r="E100" s="815">
        <v>1</v>
      </c>
      <c r="F100" s="815"/>
      <c r="G100" s="891">
        <f>E100*$F$95</f>
        <v>60</v>
      </c>
      <c r="H100" s="811"/>
      <c r="I100" s="811"/>
      <c r="J100" s="811"/>
      <c r="K100" s="811"/>
      <c r="L100" s="811"/>
      <c r="M100" s="811"/>
      <c r="N100" s="811"/>
      <c r="O100" s="811"/>
      <c r="P100" s="811"/>
      <c r="Q100" s="811"/>
      <c r="R100" s="811"/>
      <c r="S100" s="811"/>
      <c r="T100" s="811"/>
      <c r="U100" s="811"/>
      <c r="V100" s="811"/>
      <c r="W100" s="811"/>
      <c r="X100" s="811"/>
      <c r="Y100" s="811"/>
      <c r="Z100" s="811"/>
    </row>
    <row r="101" spans="1:26" s="848" customFormat="1" ht="12.75" customHeight="1" x14ac:dyDescent="0.2">
      <c r="A101" s="1388"/>
      <c r="B101" s="901" t="s">
        <v>1548</v>
      </c>
      <c r="C101" s="816"/>
      <c r="D101" s="816"/>
      <c r="E101" s="817"/>
      <c r="F101" s="817">
        <f>3*20</f>
        <v>60</v>
      </c>
      <c r="G101" s="894"/>
      <c r="H101" s="811"/>
      <c r="I101" s="811"/>
      <c r="J101" s="811"/>
      <c r="K101" s="811"/>
      <c r="L101" s="811"/>
      <c r="M101" s="811"/>
      <c r="N101" s="811"/>
      <c r="O101" s="811"/>
      <c r="P101" s="811"/>
      <c r="Q101" s="811"/>
      <c r="R101" s="811"/>
      <c r="S101" s="811"/>
      <c r="T101" s="811"/>
      <c r="U101" s="811"/>
      <c r="V101" s="811"/>
      <c r="W101" s="811"/>
      <c r="X101" s="811"/>
      <c r="Y101" s="811"/>
      <c r="Z101" s="811"/>
    </row>
    <row r="102" spans="1:26" s="848" customFormat="1" ht="12.75" customHeight="1" x14ac:dyDescent="0.2">
      <c r="A102" s="1388"/>
      <c r="B102" s="1384" t="s">
        <v>1238</v>
      </c>
      <c r="C102" s="819" t="s">
        <v>258</v>
      </c>
      <c r="D102" s="814" t="s">
        <v>2</v>
      </c>
      <c r="E102" s="815">
        <v>1</v>
      </c>
      <c r="F102" s="815"/>
      <c r="G102" s="891">
        <f>E102*$F$101</f>
        <v>60</v>
      </c>
      <c r="H102" s="811"/>
      <c r="I102" s="811"/>
      <c r="J102" s="811"/>
      <c r="K102" s="811"/>
      <c r="L102" s="811"/>
      <c r="M102" s="811"/>
      <c r="N102" s="811"/>
      <c r="O102" s="811"/>
      <c r="P102" s="811"/>
      <c r="Q102" s="811"/>
      <c r="R102" s="811"/>
      <c r="S102" s="811"/>
      <c r="T102" s="811"/>
      <c r="U102" s="811"/>
      <c r="V102" s="811"/>
      <c r="W102" s="811"/>
      <c r="X102" s="811"/>
      <c r="Y102" s="811"/>
      <c r="Z102" s="811"/>
    </row>
    <row r="103" spans="1:26" s="848" customFormat="1" ht="12.75" customHeight="1" x14ac:dyDescent="0.2">
      <c r="A103" s="1388"/>
      <c r="B103" s="1385"/>
      <c r="C103" s="814" t="s">
        <v>267</v>
      </c>
      <c r="D103" s="814" t="s">
        <v>2</v>
      </c>
      <c r="E103" s="815">
        <f>1*E102</f>
        <v>1</v>
      </c>
      <c r="F103" s="815"/>
      <c r="G103" s="891">
        <f>E103*$F$101</f>
        <v>60</v>
      </c>
      <c r="H103" s="811"/>
      <c r="I103" s="811"/>
      <c r="J103" s="811"/>
      <c r="K103" s="811"/>
      <c r="L103" s="811"/>
      <c r="M103" s="811"/>
      <c r="N103" s="811"/>
      <c r="O103" s="811"/>
      <c r="P103" s="811"/>
      <c r="Q103" s="811"/>
      <c r="R103" s="811"/>
      <c r="S103" s="811"/>
      <c r="T103" s="811"/>
      <c r="U103" s="811"/>
      <c r="V103" s="811"/>
      <c r="W103" s="811"/>
      <c r="X103" s="811"/>
      <c r="Y103" s="811"/>
      <c r="Z103" s="811"/>
    </row>
    <row r="104" spans="1:26" s="848" customFormat="1" ht="12.75" customHeight="1" x14ac:dyDescent="0.2">
      <c r="A104" s="1388"/>
      <c r="B104" s="1385"/>
      <c r="C104" s="814" t="s">
        <v>268</v>
      </c>
      <c r="D104" s="814" t="s">
        <v>2</v>
      </c>
      <c r="E104" s="815">
        <f>1*E102</f>
        <v>1</v>
      </c>
      <c r="F104" s="815"/>
      <c r="G104" s="891">
        <f>E104*$F$101</f>
        <v>60</v>
      </c>
      <c r="H104" s="811"/>
      <c r="I104" s="811"/>
      <c r="J104" s="811"/>
      <c r="K104" s="811"/>
      <c r="L104" s="811"/>
      <c r="M104" s="811"/>
      <c r="N104" s="811"/>
      <c r="O104" s="811"/>
      <c r="P104" s="811"/>
      <c r="Q104" s="811"/>
      <c r="R104" s="811"/>
      <c r="S104" s="811"/>
      <c r="T104" s="811"/>
      <c r="U104" s="811"/>
      <c r="V104" s="811"/>
      <c r="W104" s="811"/>
      <c r="X104" s="811"/>
      <c r="Y104" s="811"/>
      <c r="Z104" s="811"/>
    </row>
    <row r="105" spans="1:26" s="848" customFormat="1" ht="12.75" customHeight="1" x14ac:dyDescent="0.2">
      <c r="A105" s="1388"/>
      <c r="B105" s="1385"/>
      <c r="C105" s="814" t="s">
        <v>269</v>
      </c>
      <c r="D105" s="814" t="s">
        <v>2</v>
      </c>
      <c r="E105" s="815">
        <f>2*E102</f>
        <v>2</v>
      </c>
      <c r="F105" s="815"/>
      <c r="G105" s="891">
        <f>E105*$F$101</f>
        <v>120</v>
      </c>
      <c r="H105" s="811"/>
      <c r="I105" s="811"/>
      <c r="J105" s="811"/>
      <c r="K105" s="811"/>
      <c r="L105" s="811"/>
      <c r="M105" s="811"/>
      <c r="N105" s="811"/>
      <c r="O105" s="811"/>
      <c r="P105" s="811"/>
      <c r="Q105" s="811"/>
      <c r="R105" s="811"/>
      <c r="S105" s="811"/>
      <c r="T105" s="811"/>
      <c r="U105" s="811"/>
      <c r="V105" s="811"/>
      <c r="W105" s="811"/>
      <c r="X105" s="811"/>
      <c r="Y105" s="811"/>
      <c r="Z105" s="811"/>
    </row>
    <row r="106" spans="1:26" s="848" customFormat="1" ht="12.75" customHeight="1" x14ac:dyDescent="0.2">
      <c r="A106" s="1388"/>
      <c r="B106" s="1385"/>
      <c r="C106" s="814" t="s">
        <v>1239</v>
      </c>
      <c r="D106" s="814" t="s">
        <v>2</v>
      </c>
      <c r="E106" s="815">
        <v>1</v>
      </c>
      <c r="F106" s="815"/>
      <c r="G106" s="891">
        <f>E106*$F$101</f>
        <v>60</v>
      </c>
      <c r="H106" s="811"/>
      <c r="I106" s="811"/>
      <c r="J106" s="811"/>
      <c r="K106" s="811"/>
      <c r="L106" s="811"/>
      <c r="M106" s="811"/>
      <c r="N106" s="811"/>
      <c r="O106" s="811"/>
      <c r="P106" s="811"/>
      <c r="Q106" s="811"/>
      <c r="R106" s="811"/>
      <c r="S106" s="811"/>
      <c r="T106" s="811"/>
      <c r="U106" s="811"/>
      <c r="V106" s="811"/>
      <c r="W106" s="811"/>
      <c r="X106" s="811"/>
      <c r="Y106" s="811"/>
      <c r="Z106" s="811"/>
    </row>
    <row r="107" spans="1:26" s="848" customFormat="1" ht="12.75" customHeight="1" x14ac:dyDescent="0.2">
      <c r="A107" s="1388"/>
      <c r="B107" s="901" t="s">
        <v>1542</v>
      </c>
      <c r="C107" s="816"/>
      <c r="D107" s="816"/>
      <c r="E107" s="817"/>
      <c r="F107" s="893">
        <f>2*20</f>
        <v>40</v>
      </c>
      <c r="G107" s="894"/>
      <c r="H107" s="811"/>
      <c r="I107" s="811"/>
      <c r="J107" s="811"/>
      <c r="K107" s="811"/>
      <c r="L107" s="811"/>
      <c r="M107" s="811"/>
      <c r="N107" s="811"/>
      <c r="O107" s="811"/>
      <c r="P107" s="811"/>
      <c r="Q107" s="811"/>
      <c r="R107" s="811"/>
      <c r="S107" s="811"/>
      <c r="T107" s="811"/>
      <c r="U107" s="811"/>
      <c r="V107" s="811"/>
      <c r="W107" s="811"/>
      <c r="X107" s="811"/>
      <c r="Y107" s="811"/>
      <c r="Z107" s="811"/>
    </row>
    <row r="108" spans="1:26" s="848" customFormat="1" x14ac:dyDescent="0.2">
      <c r="A108" s="1388"/>
      <c r="B108" s="1384" t="s">
        <v>1238</v>
      </c>
      <c r="C108" s="819" t="s">
        <v>258</v>
      </c>
      <c r="D108" s="814" t="s">
        <v>2</v>
      </c>
      <c r="E108" s="897">
        <v>1</v>
      </c>
      <c r="F108" s="815"/>
      <c r="G108" s="891">
        <f>E108*$F$107</f>
        <v>40</v>
      </c>
      <c r="H108" s="811"/>
      <c r="I108" s="811"/>
      <c r="J108" s="811"/>
      <c r="K108" s="811"/>
      <c r="L108" s="811"/>
      <c r="M108" s="811"/>
      <c r="N108" s="811"/>
      <c r="O108" s="811"/>
      <c r="P108" s="811"/>
      <c r="Q108" s="811"/>
      <c r="R108" s="811"/>
      <c r="S108" s="811"/>
      <c r="T108" s="811"/>
      <c r="U108" s="811"/>
      <c r="V108" s="811"/>
      <c r="W108" s="811"/>
      <c r="X108" s="811"/>
      <c r="Y108" s="811"/>
      <c r="Z108" s="811"/>
    </row>
    <row r="109" spans="1:26" s="848" customFormat="1" ht="12.75" customHeight="1" x14ac:dyDescent="0.2">
      <c r="A109" s="1388"/>
      <c r="B109" s="1385"/>
      <c r="C109" s="896" t="s">
        <v>267</v>
      </c>
      <c r="D109" s="814" t="s">
        <v>2</v>
      </c>
      <c r="E109" s="897">
        <v>1</v>
      </c>
      <c r="F109" s="815"/>
      <c r="G109" s="891">
        <f>E109*$F$107</f>
        <v>40</v>
      </c>
      <c r="H109" s="811"/>
      <c r="I109" s="811"/>
      <c r="J109" s="811"/>
      <c r="K109" s="811"/>
      <c r="L109" s="811"/>
      <c r="M109" s="811"/>
      <c r="N109" s="811"/>
      <c r="O109" s="811"/>
      <c r="P109" s="811"/>
      <c r="Q109" s="811"/>
      <c r="R109" s="811"/>
      <c r="S109" s="811"/>
      <c r="T109" s="811"/>
      <c r="U109" s="811"/>
      <c r="V109" s="811"/>
      <c r="W109" s="811"/>
      <c r="X109" s="811"/>
      <c r="Y109" s="811"/>
      <c r="Z109" s="811"/>
    </row>
    <row r="110" spans="1:26" s="848" customFormat="1" ht="12.75" customHeight="1" x14ac:dyDescent="0.2">
      <c r="A110" s="1388"/>
      <c r="B110" s="1385"/>
      <c r="C110" s="896" t="s">
        <v>268</v>
      </c>
      <c r="D110" s="814" t="s">
        <v>2</v>
      </c>
      <c r="E110" s="897">
        <v>1</v>
      </c>
      <c r="F110" s="815"/>
      <c r="G110" s="891">
        <f>E110*$F$107</f>
        <v>40</v>
      </c>
      <c r="H110" s="811"/>
      <c r="I110" s="811"/>
      <c r="J110" s="811"/>
      <c r="K110" s="811"/>
      <c r="L110" s="811"/>
      <c r="M110" s="811"/>
      <c r="N110" s="811"/>
      <c r="O110" s="811"/>
      <c r="P110" s="811"/>
      <c r="Q110" s="811"/>
      <c r="R110" s="811"/>
      <c r="S110" s="811"/>
      <c r="T110" s="811"/>
      <c r="U110" s="811"/>
      <c r="V110" s="811"/>
      <c r="W110" s="811"/>
      <c r="X110" s="811"/>
      <c r="Y110" s="811"/>
      <c r="Z110" s="811"/>
    </row>
    <row r="111" spans="1:26" s="848" customFormat="1" ht="12.75" customHeight="1" x14ac:dyDescent="0.2">
      <c r="A111" s="1388"/>
      <c r="B111" s="1385"/>
      <c r="C111" s="896" t="s">
        <v>269</v>
      </c>
      <c r="D111" s="814" t="s">
        <v>2</v>
      </c>
      <c r="E111" s="897">
        <v>2</v>
      </c>
      <c r="F111" s="815"/>
      <c r="G111" s="891">
        <f>E111*$F$107</f>
        <v>80</v>
      </c>
      <c r="H111" s="811"/>
      <c r="I111" s="811"/>
      <c r="J111" s="811"/>
      <c r="K111" s="811"/>
      <c r="L111" s="811"/>
      <c r="M111" s="811"/>
      <c r="N111" s="811"/>
      <c r="O111" s="811"/>
      <c r="P111" s="811"/>
      <c r="Q111" s="811"/>
      <c r="R111" s="811"/>
      <c r="S111" s="811"/>
      <c r="T111" s="811"/>
      <c r="U111" s="811"/>
      <c r="V111" s="811"/>
      <c r="W111" s="811"/>
      <c r="X111" s="811"/>
      <c r="Y111" s="811"/>
      <c r="Z111" s="811"/>
    </row>
    <row r="112" spans="1:26" s="848" customFormat="1" ht="12.75" customHeight="1" x14ac:dyDescent="0.2">
      <c r="A112" s="1388"/>
      <c r="B112" s="1385"/>
      <c r="C112" s="896" t="s">
        <v>1239</v>
      </c>
      <c r="D112" s="814" t="s">
        <v>2</v>
      </c>
      <c r="E112" s="897">
        <v>1</v>
      </c>
      <c r="F112" s="815"/>
      <c r="G112" s="891">
        <f>E112*$F$107</f>
        <v>40</v>
      </c>
      <c r="H112" s="811"/>
      <c r="I112" s="811"/>
      <c r="J112" s="811"/>
      <c r="K112" s="811"/>
      <c r="L112" s="811"/>
      <c r="M112" s="811"/>
      <c r="N112" s="811"/>
      <c r="O112" s="811"/>
      <c r="P112" s="811"/>
      <c r="Q112" s="811"/>
      <c r="R112" s="811"/>
      <c r="S112" s="811"/>
      <c r="T112" s="811"/>
      <c r="U112" s="811"/>
      <c r="V112" s="811"/>
      <c r="W112" s="811"/>
      <c r="X112" s="811"/>
      <c r="Y112" s="811"/>
      <c r="Z112" s="811"/>
    </row>
    <row r="113" spans="1:26" s="848" customFormat="1" ht="12.75" customHeight="1" x14ac:dyDescent="0.2">
      <c r="A113" s="1388"/>
      <c r="B113" s="902" t="s">
        <v>1240</v>
      </c>
      <c r="C113" s="816"/>
      <c r="D113" s="816"/>
      <c r="E113" s="817"/>
      <c r="F113" s="817">
        <f>3*20</f>
        <v>60</v>
      </c>
      <c r="G113" s="894"/>
      <c r="H113" s="811"/>
      <c r="I113" s="811"/>
      <c r="J113" s="811"/>
      <c r="K113" s="811"/>
      <c r="L113" s="811"/>
      <c r="M113" s="811"/>
      <c r="N113" s="811"/>
      <c r="O113" s="811"/>
      <c r="P113" s="811"/>
      <c r="Q113" s="811"/>
      <c r="R113" s="811"/>
      <c r="S113" s="811"/>
      <c r="T113" s="811"/>
      <c r="U113" s="811"/>
      <c r="V113" s="811"/>
      <c r="W113" s="811"/>
      <c r="X113" s="811"/>
      <c r="Y113" s="811"/>
      <c r="Z113" s="811"/>
    </row>
    <row r="114" spans="1:26" s="848" customFormat="1" ht="12.75" customHeight="1" x14ac:dyDescent="0.2">
      <c r="A114" s="1388"/>
      <c r="B114" s="976"/>
      <c r="C114" s="814" t="s">
        <v>1239</v>
      </c>
      <c r="D114" s="814" t="s">
        <v>2</v>
      </c>
      <c r="E114" s="815">
        <v>1</v>
      </c>
      <c r="F114" s="815"/>
      <c r="G114" s="891">
        <f>E114*$F$113</f>
        <v>60</v>
      </c>
      <c r="H114" s="811"/>
      <c r="I114" s="811"/>
      <c r="J114" s="811"/>
      <c r="K114" s="811"/>
      <c r="L114" s="811"/>
      <c r="M114" s="811"/>
      <c r="N114" s="811"/>
      <c r="O114" s="811"/>
      <c r="P114" s="811"/>
      <c r="Q114" s="811"/>
      <c r="R114" s="811"/>
      <c r="S114" s="811"/>
      <c r="T114" s="811"/>
      <c r="U114" s="811"/>
      <c r="V114" s="811"/>
      <c r="W114" s="811"/>
      <c r="X114" s="811"/>
      <c r="Y114" s="811"/>
      <c r="Z114" s="811"/>
    </row>
    <row r="115" spans="1:26" s="848" customFormat="1" ht="12.75" customHeight="1" x14ac:dyDescent="0.2">
      <c r="A115" s="1388"/>
      <c r="B115" s="902" t="s">
        <v>1241</v>
      </c>
      <c r="C115" s="816"/>
      <c r="D115" s="816"/>
      <c r="E115" s="817"/>
      <c r="F115" s="817">
        <f>3*20</f>
        <v>60</v>
      </c>
      <c r="G115" s="894"/>
      <c r="H115" s="811"/>
      <c r="I115" s="811"/>
      <c r="J115" s="811"/>
      <c r="K115" s="811"/>
      <c r="L115" s="811"/>
      <c r="M115" s="811"/>
      <c r="N115" s="811"/>
      <c r="O115" s="811"/>
      <c r="P115" s="811"/>
      <c r="Q115" s="811"/>
      <c r="R115" s="811"/>
      <c r="S115" s="811"/>
      <c r="T115" s="811"/>
      <c r="U115" s="811"/>
      <c r="V115" s="811"/>
      <c r="W115" s="811"/>
      <c r="X115" s="811"/>
      <c r="Y115" s="811"/>
      <c r="Z115" s="811"/>
    </row>
    <row r="116" spans="1:26" s="848" customFormat="1" ht="13.5" customHeight="1" thickBot="1" x14ac:dyDescent="0.25">
      <c r="A116" s="1388"/>
      <c r="B116" s="903"/>
      <c r="C116" s="898" t="s">
        <v>1239</v>
      </c>
      <c r="D116" s="898" t="s">
        <v>2</v>
      </c>
      <c r="E116" s="899">
        <v>1</v>
      </c>
      <c r="F116" s="899"/>
      <c r="G116" s="900">
        <f>E116*$F$115</f>
        <v>60</v>
      </c>
      <c r="H116" s="811"/>
      <c r="I116" s="811"/>
      <c r="J116" s="811"/>
      <c r="K116" s="811"/>
      <c r="L116" s="811"/>
      <c r="M116" s="811"/>
      <c r="N116" s="811"/>
      <c r="O116" s="811"/>
      <c r="P116" s="811"/>
      <c r="Q116" s="811"/>
      <c r="R116" s="811"/>
      <c r="S116" s="811"/>
      <c r="T116" s="811"/>
      <c r="U116" s="811"/>
      <c r="V116" s="811"/>
      <c r="W116" s="811"/>
      <c r="X116" s="811"/>
      <c r="Y116" s="811"/>
      <c r="Z116" s="811"/>
    </row>
    <row r="117" spans="1:26" x14ac:dyDescent="0.2">
      <c r="G117" s="477">
        <f>SUM(G7:G116)</f>
        <v>1189</v>
      </c>
    </row>
    <row r="119" spans="1:26" ht="15" x14ac:dyDescent="0.25">
      <c r="B119" s="820" t="s">
        <v>890</v>
      </c>
      <c r="C119" s="821" t="s">
        <v>247</v>
      </c>
      <c r="D119" s="822"/>
      <c r="E119" s="823" t="s">
        <v>1244</v>
      </c>
    </row>
    <row r="120" spans="1:26" ht="15" x14ac:dyDescent="0.25">
      <c r="B120" s="824"/>
      <c r="C120" s="1029" t="s">
        <v>1239</v>
      </c>
      <c r="D120" s="825"/>
      <c r="E120" s="826">
        <f t="shared" ref="E120:E139" si="5">SUMIF($C$7:$C$116,C120,$G$7:$G$116)</f>
        <v>295</v>
      </c>
    </row>
    <row r="121" spans="1:26" ht="15" x14ac:dyDescent="0.25">
      <c r="B121" s="824"/>
      <c r="C121" s="1029" t="s">
        <v>1247</v>
      </c>
      <c r="D121" s="825"/>
      <c r="E121" s="826">
        <f t="shared" si="5"/>
        <v>3</v>
      </c>
    </row>
    <row r="122" spans="1:26" ht="15" x14ac:dyDescent="0.25">
      <c r="B122" s="824"/>
      <c r="C122" s="1029" t="s">
        <v>267</v>
      </c>
      <c r="D122" s="825"/>
      <c r="E122" s="826">
        <f t="shared" si="5"/>
        <v>167</v>
      </c>
    </row>
    <row r="123" spans="1:26" ht="15" x14ac:dyDescent="0.25">
      <c r="B123" s="824"/>
      <c r="C123" s="1029" t="s">
        <v>266</v>
      </c>
      <c r="D123" s="825"/>
      <c r="E123" s="826">
        <f t="shared" si="5"/>
        <v>6</v>
      </c>
    </row>
    <row r="124" spans="1:26" ht="15" x14ac:dyDescent="0.25">
      <c r="B124" s="824"/>
      <c r="C124" s="1029" t="s">
        <v>1243</v>
      </c>
      <c r="D124" s="825"/>
      <c r="E124" s="826">
        <f t="shared" si="5"/>
        <v>5</v>
      </c>
    </row>
    <row r="125" spans="1:26" ht="15" x14ac:dyDescent="0.25">
      <c r="B125" s="824"/>
      <c r="C125" s="1029" t="s">
        <v>309</v>
      </c>
      <c r="D125" s="825"/>
      <c r="E125" s="826">
        <f t="shared" si="5"/>
        <v>3</v>
      </c>
    </row>
    <row r="126" spans="1:26" ht="15" x14ac:dyDescent="0.25">
      <c r="B126" s="824"/>
      <c r="C126" s="1029" t="s">
        <v>262</v>
      </c>
      <c r="D126" s="825"/>
      <c r="E126" s="826">
        <f t="shared" si="5"/>
        <v>2</v>
      </c>
    </row>
    <row r="127" spans="1:26" ht="15" x14ac:dyDescent="0.25">
      <c r="B127" s="824"/>
      <c r="C127" s="1029" t="s">
        <v>268</v>
      </c>
      <c r="D127" s="825"/>
      <c r="E127" s="826">
        <f t="shared" si="5"/>
        <v>170</v>
      </c>
    </row>
    <row r="128" spans="1:26" ht="15" x14ac:dyDescent="0.25">
      <c r="B128" s="824"/>
      <c r="C128" s="1029" t="s">
        <v>260</v>
      </c>
      <c r="D128" s="825"/>
      <c r="E128" s="826">
        <f t="shared" si="5"/>
        <v>3</v>
      </c>
    </row>
    <row r="129" spans="2:5" ht="15" x14ac:dyDescent="0.25">
      <c r="B129" s="824"/>
      <c r="C129" s="1029" t="s">
        <v>269</v>
      </c>
      <c r="D129" s="825"/>
      <c r="E129" s="826">
        <f t="shared" si="5"/>
        <v>334</v>
      </c>
    </row>
    <row r="130" spans="2:5" ht="15" x14ac:dyDescent="0.25">
      <c r="B130" s="824"/>
      <c r="C130" s="1029" t="s">
        <v>270</v>
      </c>
      <c r="D130" s="825"/>
      <c r="E130" s="826">
        <f t="shared" si="5"/>
        <v>11</v>
      </c>
    </row>
    <row r="131" spans="2:5" ht="15" x14ac:dyDescent="0.25">
      <c r="B131" s="824"/>
      <c r="C131" s="1029" t="s">
        <v>1245</v>
      </c>
      <c r="D131" s="825"/>
      <c r="E131" s="826">
        <f t="shared" si="5"/>
        <v>1</v>
      </c>
    </row>
    <row r="132" spans="2:5" ht="15" x14ac:dyDescent="0.25">
      <c r="B132" s="824"/>
      <c r="C132" s="1029" t="s">
        <v>261</v>
      </c>
      <c r="D132" s="825"/>
      <c r="E132" s="826">
        <f t="shared" si="5"/>
        <v>3</v>
      </c>
    </row>
    <row r="133" spans="2:5" ht="15" x14ac:dyDescent="0.25">
      <c r="B133" s="824"/>
      <c r="C133" s="1029" t="s">
        <v>1246</v>
      </c>
      <c r="D133" s="825"/>
      <c r="E133" s="826">
        <f t="shared" si="5"/>
        <v>1</v>
      </c>
    </row>
    <row r="134" spans="2:5" ht="15" x14ac:dyDescent="0.25">
      <c r="B134" s="824"/>
      <c r="C134" s="1029" t="s">
        <v>263</v>
      </c>
      <c r="D134" s="825"/>
      <c r="E134" s="826">
        <f t="shared" si="5"/>
        <v>3</v>
      </c>
    </row>
    <row r="135" spans="2:5" ht="15" x14ac:dyDescent="0.25">
      <c r="B135" s="824"/>
      <c r="C135" s="1029" t="s">
        <v>1242</v>
      </c>
      <c r="D135" s="825"/>
      <c r="E135" s="826">
        <f t="shared" si="5"/>
        <v>8</v>
      </c>
    </row>
    <row r="136" spans="2:5" ht="15" x14ac:dyDescent="0.25">
      <c r="B136" s="824"/>
      <c r="C136" s="1029" t="s">
        <v>264</v>
      </c>
      <c r="D136" s="825"/>
      <c r="E136" s="826">
        <f t="shared" si="5"/>
        <v>6</v>
      </c>
    </row>
    <row r="137" spans="2:5" ht="15" x14ac:dyDescent="0.25">
      <c r="B137" s="824"/>
      <c r="C137" s="1029" t="s">
        <v>265</v>
      </c>
      <c r="D137" s="825"/>
      <c r="E137" s="826">
        <f t="shared" si="5"/>
        <v>1</v>
      </c>
    </row>
    <row r="138" spans="2:5" ht="15" x14ac:dyDescent="0.25">
      <c r="B138" s="824"/>
      <c r="C138" s="1029" t="s">
        <v>258</v>
      </c>
      <c r="D138" s="825"/>
      <c r="E138" s="826">
        <f t="shared" si="5"/>
        <v>164</v>
      </c>
    </row>
    <row r="139" spans="2:5" ht="15" x14ac:dyDescent="0.25">
      <c r="B139" s="824"/>
      <c r="C139" s="1030" t="s">
        <v>259</v>
      </c>
      <c r="D139" s="827"/>
      <c r="E139" s="828">
        <f t="shared" si="5"/>
        <v>3</v>
      </c>
    </row>
    <row r="140" spans="2:5" x14ac:dyDescent="0.2">
      <c r="B140" s="811"/>
      <c r="C140" s="812"/>
      <c r="D140" s="811"/>
      <c r="E140" s="829">
        <f>SUM(E120:E139)</f>
        <v>1189</v>
      </c>
    </row>
  </sheetData>
  <mergeCells count="15">
    <mergeCell ref="A5:G5"/>
    <mergeCell ref="B8:B17"/>
    <mergeCell ref="B19:B27"/>
    <mergeCell ref="A95:A116"/>
    <mergeCell ref="B108:B112"/>
    <mergeCell ref="B96:B100"/>
    <mergeCell ref="B102:B106"/>
    <mergeCell ref="A7:A42"/>
    <mergeCell ref="B29:B33"/>
    <mergeCell ref="B35:B38"/>
    <mergeCell ref="B40:B42"/>
    <mergeCell ref="A43:A94"/>
    <mergeCell ref="B44:B53"/>
    <mergeCell ref="B55:B63"/>
    <mergeCell ref="B65:B73"/>
  </mergeCells>
  <conditionalFormatting sqref="E128:E132 E123:E124 E134:E139">
    <cfRule type="cellIs" dxfId="7568" priority="4" operator="equal">
      <formula>0</formula>
    </cfRule>
  </conditionalFormatting>
  <conditionalFormatting sqref="E120:E122">
    <cfRule type="cellIs" dxfId="7567" priority="2" operator="equal">
      <formula>0</formula>
    </cfRule>
  </conditionalFormatting>
  <conditionalFormatting sqref="E133">
    <cfRule type="cellIs" dxfId="7566" priority="1" operator="equal">
      <formula>0</formula>
    </cfRule>
  </conditionalFormatting>
  <conditionalFormatting sqref="E125:E127">
    <cfRule type="cellIs" dxfId="7565" priority="3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54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43800"/>
  </sheetPr>
  <dimension ref="A1:Z34"/>
  <sheetViews>
    <sheetView showGridLines="0" view="pageBreakPreview" topLeftCell="A7" zoomScaleNormal="85" zoomScaleSheetLayoutView="100" workbookViewId="0">
      <selection activeCell="D10" sqref="D10"/>
    </sheetView>
  </sheetViews>
  <sheetFormatPr defaultColWidth="8.85546875" defaultRowHeight="12.75" x14ac:dyDescent="0.2"/>
  <cols>
    <col min="1" max="1" width="24.28515625" style="473" bestFit="1" customWidth="1"/>
    <col min="2" max="2" width="69.28515625" style="473" customWidth="1"/>
    <col min="3" max="4" width="17" style="473" customWidth="1"/>
    <col min="5" max="6" width="17" style="474" customWidth="1"/>
    <col min="7" max="7" width="13.28515625" style="474" bestFit="1" customWidth="1"/>
    <col min="8" max="8" width="19.7109375" style="474" bestFit="1" customWidth="1"/>
    <col min="9" max="9" width="3.7109375" style="473" customWidth="1"/>
    <col min="10" max="10" width="9.7109375" style="473" bestFit="1" customWidth="1"/>
    <col min="11" max="16384" width="8.85546875" style="473"/>
  </cols>
  <sheetData>
    <row r="1" spans="1:26" s="476" customFormat="1" ht="15.75" customHeight="1" x14ac:dyDescent="0.2">
      <c r="A1" s="362" t="s">
        <v>172</v>
      </c>
      <c r="B1" s="339" t="str">
        <f>ORÇAMENTO!I4</f>
        <v>SENSE106</v>
      </c>
      <c r="C1" s="339"/>
      <c r="D1" s="339"/>
      <c r="E1" s="339"/>
      <c r="F1" s="538"/>
      <c r="G1" s="475"/>
      <c r="H1" s="475"/>
    </row>
    <row r="2" spans="1:26" s="476" customFormat="1" ht="15.75" customHeight="1" x14ac:dyDescent="0.2">
      <c r="A2" s="362" t="s">
        <v>173</v>
      </c>
      <c r="B2" s="363" t="str">
        <f>ORÇAMENTO!I5</f>
        <v>HOLZE EMPREENDIMENTOS</v>
      </c>
      <c r="C2" s="363"/>
      <c r="D2" s="363"/>
      <c r="E2" s="363"/>
      <c r="F2" s="540"/>
      <c r="G2" s="475"/>
      <c r="H2" s="475"/>
    </row>
    <row r="3" spans="1:26" s="476" customFormat="1" ht="15.75" customHeight="1" x14ac:dyDescent="0.2">
      <c r="A3" s="362" t="s">
        <v>190</v>
      </c>
      <c r="B3" s="541">
        <f>ORÇAMENTO!P5</f>
        <v>45608</v>
      </c>
      <c r="C3" s="541"/>
      <c r="D3" s="541"/>
      <c r="E3" s="541"/>
      <c r="F3" s="540"/>
      <c r="G3" s="475"/>
      <c r="H3" s="475"/>
    </row>
    <row r="4" spans="1:26" s="476" customFormat="1" x14ac:dyDescent="0.2">
      <c r="A4" s="362" t="s">
        <v>174</v>
      </c>
      <c r="B4" s="633" t="str">
        <f>ORÇAMENTO!O5</f>
        <v>R01 - Edileni Silva</v>
      </c>
      <c r="C4" s="633"/>
      <c r="D4" s="633"/>
      <c r="E4" s="633"/>
      <c r="F4" s="539"/>
    </row>
    <row r="5" spans="1:26" s="549" customFormat="1" ht="24" customHeight="1" x14ac:dyDescent="0.2">
      <c r="A5" s="1252" t="s">
        <v>253</v>
      </c>
      <c r="B5" s="1252"/>
      <c r="C5" s="1252"/>
      <c r="D5" s="1252"/>
      <c r="E5" s="1252"/>
      <c r="F5" s="1252"/>
      <c r="G5" s="476"/>
      <c r="H5" s="476"/>
      <c r="I5" s="476"/>
      <c r="J5" s="476"/>
      <c r="K5" s="476"/>
      <c r="L5" s="476"/>
    </row>
    <row r="6" spans="1:26" ht="13.5" thickBot="1" x14ac:dyDescent="0.25"/>
    <row r="7" spans="1:26" s="812" customFormat="1" ht="13.5" thickBot="1" x14ac:dyDescent="0.25">
      <c r="A7" s="830"/>
      <c r="B7" s="830" t="s">
        <v>254</v>
      </c>
      <c r="C7" s="830" t="s">
        <v>255</v>
      </c>
      <c r="D7" s="831" t="s">
        <v>256</v>
      </c>
      <c r="E7" s="831" t="s">
        <v>257</v>
      </c>
      <c r="F7" s="832" t="s">
        <v>14</v>
      </c>
      <c r="G7" s="811"/>
      <c r="H7" s="811"/>
      <c r="I7" s="811"/>
      <c r="J7" s="811"/>
      <c r="K7" s="811"/>
      <c r="L7" s="811"/>
      <c r="M7" s="811"/>
      <c r="N7" s="811"/>
      <c r="O7" s="811"/>
      <c r="P7" s="811"/>
      <c r="Q7" s="811"/>
      <c r="R7" s="811"/>
      <c r="S7" s="811"/>
      <c r="T7" s="811"/>
      <c r="U7" s="811"/>
      <c r="V7" s="811"/>
      <c r="W7" s="811"/>
      <c r="X7" s="811"/>
      <c r="Y7" s="811"/>
      <c r="Z7" s="811"/>
    </row>
    <row r="8" spans="1:26" s="812" customFormat="1" x14ac:dyDescent="0.2">
      <c r="A8" s="833"/>
      <c r="B8" s="833"/>
      <c r="C8" s="833"/>
      <c r="D8" s="834"/>
      <c r="E8" s="834"/>
      <c r="F8" s="835"/>
      <c r="G8" s="811"/>
      <c r="H8" s="811"/>
      <c r="I8" s="811"/>
      <c r="J8" s="811"/>
      <c r="K8" s="811"/>
      <c r="L8" s="811"/>
      <c r="M8" s="811"/>
      <c r="N8" s="811"/>
      <c r="O8" s="811"/>
      <c r="P8" s="811"/>
      <c r="Q8" s="811"/>
      <c r="R8" s="811"/>
      <c r="S8" s="811"/>
      <c r="T8" s="811"/>
      <c r="U8" s="811"/>
      <c r="V8" s="811"/>
      <c r="W8" s="811"/>
      <c r="X8" s="811"/>
      <c r="Y8" s="811"/>
      <c r="Z8" s="811"/>
    </row>
    <row r="9" spans="1:26" s="812" customFormat="1" x14ac:dyDescent="0.2">
      <c r="A9" s="1384" t="s">
        <v>248</v>
      </c>
      <c r="B9" s="836" t="s">
        <v>1243</v>
      </c>
      <c r="C9" s="814" t="s">
        <v>2</v>
      </c>
      <c r="D9" s="815">
        <f>SUMIF('LOUÇAS&amp;METAIS'!$C$7:$C$110,B9,'LOUÇAS&amp;METAIS'!$G$7:$G$110)</f>
        <v>5</v>
      </c>
      <c r="E9" s="837">
        <v>1222.18</v>
      </c>
      <c r="F9" s="838">
        <f>E9*D9</f>
        <v>6110.9000000000005</v>
      </c>
      <c r="G9" s="811"/>
      <c r="H9" s="811"/>
      <c r="I9" s="811"/>
      <c r="J9" s="811"/>
      <c r="K9" s="811"/>
      <c r="L9" s="811"/>
      <c r="M9" s="811"/>
      <c r="N9" s="811"/>
      <c r="O9" s="811"/>
      <c r="P9" s="811"/>
      <c r="Q9" s="811"/>
      <c r="R9" s="811"/>
      <c r="S9" s="811"/>
      <c r="T9" s="811"/>
      <c r="U9" s="811"/>
      <c r="V9" s="811"/>
      <c r="W9" s="811"/>
      <c r="X9" s="811"/>
      <c r="Y9" s="811"/>
      <c r="Z9" s="811"/>
    </row>
    <row r="10" spans="1:26" s="812" customFormat="1" x14ac:dyDescent="0.2">
      <c r="A10" s="1389"/>
      <c r="B10" s="836" t="s">
        <v>309</v>
      </c>
      <c r="C10" s="814" t="s">
        <v>2</v>
      </c>
      <c r="D10" s="815">
        <f ca="1">SUMIF('LOUÇAS&amp;METAIS'!$C$7:$C$116,B10,'LOUÇAS&amp;METAIS'!$G$7:$G$110)</f>
        <v>3</v>
      </c>
      <c r="E10" s="837">
        <v>1222.18</v>
      </c>
      <c r="F10" s="838">
        <f ca="1">E10*D10</f>
        <v>3666.54</v>
      </c>
      <c r="G10" s="811"/>
      <c r="H10" s="811"/>
      <c r="I10" s="811"/>
      <c r="J10" s="811"/>
      <c r="K10" s="811"/>
      <c r="L10" s="811"/>
      <c r="M10" s="811"/>
      <c r="N10" s="811"/>
      <c r="O10" s="811"/>
      <c r="P10" s="811"/>
      <c r="Q10" s="811"/>
      <c r="R10" s="811"/>
      <c r="S10" s="811"/>
      <c r="T10" s="811"/>
      <c r="U10" s="811"/>
      <c r="V10" s="811"/>
      <c r="W10" s="811"/>
      <c r="X10" s="811"/>
      <c r="Y10" s="811"/>
      <c r="Z10" s="811"/>
    </row>
    <row r="11" spans="1:26" s="812" customFormat="1" x14ac:dyDescent="0.2">
      <c r="A11" s="1385"/>
      <c r="B11" s="813" t="s">
        <v>260</v>
      </c>
      <c r="C11" s="814" t="s">
        <v>2</v>
      </c>
      <c r="D11" s="815">
        <f ca="1">SUMIF('LOUÇAS&amp;METAIS'!$C$7:$C$116,B11,'LOUÇAS&amp;METAIS'!$G$7:$G$110)</f>
        <v>3</v>
      </c>
      <c r="E11" s="837">
        <v>265.89999999999998</v>
      </c>
      <c r="F11" s="838">
        <f ca="1">E11*D11</f>
        <v>797.69999999999993</v>
      </c>
      <c r="G11" s="811"/>
      <c r="H11" s="811"/>
      <c r="I11" s="811"/>
      <c r="J11" s="811"/>
      <c r="K11" s="811"/>
      <c r="L11" s="811"/>
      <c r="M11" s="811"/>
      <c r="N11" s="811"/>
      <c r="O11" s="811"/>
      <c r="P11" s="811"/>
      <c r="Q11" s="811"/>
      <c r="R11" s="811"/>
      <c r="S11" s="811"/>
      <c r="T11" s="811"/>
      <c r="U11" s="811"/>
      <c r="V11" s="811"/>
      <c r="W11" s="811"/>
      <c r="X11" s="811"/>
      <c r="Y11" s="811"/>
      <c r="Z11" s="811"/>
    </row>
    <row r="12" spans="1:26" s="812" customFormat="1" x14ac:dyDescent="0.2">
      <c r="A12" s="1385"/>
      <c r="B12" s="813" t="s">
        <v>258</v>
      </c>
      <c r="C12" s="814" t="s">
        <v>2</v>
      </c>
      <c r="D12" s="815">
        <f ca="1">SUMIF('LOUÇAS&amp;METAIS'!$C$7:$C$116,B12,'LOUÇAS&amp;METAIS'!$G$7:$G$110)</f>
        <v>164</v>
      </c>
      <c r="E12" s="837">
        <v>1199.9000000000001</v>
      </c>
      <c r="F12" s="838">
        <f ca="1">E12*D12</f>
        <v>196783.6</v>
      </c>
      <c r="G12" s="839"/>
      <c r="H12" s="811"/>
      <c r="I12" s="811"/>
      <c r="J12" s="811"/>
      <c r="K12" s="811"/>
      <c r="L12" s="811"/>
      <c r="M12" s="811"/>
      <c r="N12" s="811"/>
      <c r="O12" s="811"/>
      <c r="P12" s="811"/>
      <c r="Q12" s="811"/>
      <c r="R12" s="811"/>
      <c r="S12" s="811"/>
      <c r="T12" s="811"/>
      <c r="U12" s="811"/>
      <c r="V12" s="811"/>
      <c r="W12" s="811"/>
      <c r="X12" s="811"/>
      <c r="Y12" s="811"/>
      <c r="Z12" s="811"/>
    </row>
    <row r="13" spans="1:26" s="812" customFormat="1" x14ac:dyDescent="0.2">
      <c r="A13" s="1385"/>
      <c r="B13" s="813" t="s">
        <v>259</v>
      </c>
      <c r="C13" s="814" t="s">
        <v>2</v>
      </c>
      <c r="D13" s="815">
        <f ca="1">SUMIF('LOUÇAS&amp;METAIS'!$C$7:$C$116,B13,'LOUÇAS&amp;METAIS'!$G$7:$G$110)</f>
        <v>3</v>
      </c>
      <c r="E13" s="837">
        <v>1199.9000000000001</v>
      </c>
      <c r="F13" s="838">
        <f ca="1">E13*D13</f>
        <v>3599.7000000000003</v>
      </c>
      <c r="G13" s="811"/>
      <c r="H13" s="811"/>
      <c r="I13" s="811"/>
      <c r="J13" s="811"/>
      <c r="K13" s="811"/>
      <c r="L13" s="811"/>
      <c r="M13" s="811"/>
      <c r="N13" s="811"/>
      <c r="O13" s="811"/>
      <c r="P13" s="811"/>
      <c r="Q13" s="811"/>
      <c r="R13" s="811"/>
      <c r="S13" s="811"/>
      <c r="T13" s="811"/>
      <c r="U13" s="811"/>
      <c r="V13" s="811"/>
      <c r="W13" s="811"/>
      <c r="X13" s="811"/>
      <c r="Y13" s="811"/>
      <c r="Z13" s="811"/>
    </row>
    <row r="14" spans="1:26" s="812" customFormat="1" ht="15" x14ac:dyDescent="0.25">
      <c r="A14" s="1386"/>
      <c r="B14" s="1398" t="s">
        <v>9</v>
      </c>
      <c r="C14" s="1399"/>
      <c r="D14" s="1399"/>
      <c r="E14" s="1400"/>
      <c r="F14" s="840">
        <f ca="1">SUM(F9:F13)</f>
        <v>210958.44000000003</v>
      </c>
      <c r="G14" s="811"/>
      <c r="H14" s="811"/>
      <c r="I14" s="811"/>
      <c r="J14" s="811"/>
      <c r="K14" s="811"/>
      <c r="L14" s="811"/>
      <c r="M14" s="811"/>
      <c r="N14" s="811"/>
      <c r="O14" s="811"/>
      <c r="P14" s="811"/>
      <c r="Q14" s="811"/>
      <c r="R14" s="811"/>
      <c r="S14" s="811"/>
      <c r="T14" s="811"/>
      <c r="U14" s="811"/>
      <c r="V14" s="811"/>
      <c r="W14" s="811"/>
      <c r="X14" s="811"/>
      <c r="Y14" s="811"/>
      <c r="Z14" s="811"/>
    </row>
    <row r="15" spans="1:26" s="812" customFormat="1" x14ac:dyDescent="0.2">
      <c r="A15" s="1389" t="s">
        <v>252</v>
      </c>
      <c r="B15" s="814" t="s">
        <v>1239</v>
      </c>
      <c r="C15" s="814" t="s">
        <v>2</v>
      </c>
      <c r="D15" s="815">
        <f ca="1">SUMIF('LOUÇAS&amp;METAIS'!$C$7:$C$116,B15,'LOUÇAS&amp;METAIS'!$G$7:$G$110)</f>
        <v>295</v>
      </c>
      <c r="E15" s="837">
        <v>62.34</v>
      </c>
      <c r="F15" s="838">
        <f t="shared" ref="F15:F29" ca="1" si="0">E15*D15</f>
        <v>18390.3</v>
      </c>
      <c r="G15" s="811"/>
      <c r="H15" s="811"/>
      <c r="I15" s="811"/>
      <c r="J15" s="811"/>
      <c r="K15" s="811"/>
      <c r="L15" s="811"/>
      <c r="M15" s="811"/>
      <c r="N15" s="811"/>
      <c r="O15" s="811"/>
      <c r="P15" s="811"/>
      <c r="Q15" s="811"/>
      <c r="R15" s="811"/>
      <c r="S15" s="811"/>
      <c r="T15" s="811"/>
      <c r="U15" s="811"/>
      <c r="V15" s="811"/>
      <c r="W15" s="811"/>
      <c r="X15" s="811"/>
      <c r="Y15" s="811"/>
      <c r="Z15" s="811"/>
    </row>
    <row r="16" spans="1:26" s="812" customFormat="1" x14ac:dyDescent="0.2">
      <c r="A16" s="1385"/>
      <c r="B16" s="814" t="s">
        <v>1247</v>
      </c>
      <c r="C16" s="814" t="s">
        <v>2</v>
      </c>
      <c r="D16" s="815">
        <f ca="1">SUMIF('LOUÇAS&amp;METAIS'!$C$7:$C$116,B16,'LOUÇAS&amp;METAIS'!$G$7:$G$110)</f>
        <v>3</v>
      </c>
      <c r="E16" s="837">
        <v>62.34</v>
      </c>
      <c r="F16" s="838">
        <f t="shared" ca="1" si="0"/>
        <v>187.02</v>
      </c>
      <c r="G16" s="811"/>
      <c r="H16" s="811"/>
      <c r="I16" s="811"/>
      <c r="J16" s="811"/>
      <c r="K16" s="811"/>
      <c r="L16" s="811"/>
      <c r="M16" s="811"/>
      <c r="N16" s="811"/>
      <c r="O16" s="811"/>
      <c r="P16" s="811"/>
      <c r="Q16" s="811"/>
      <c r="R16" s="811"/>
      <c r="S16" s="811"/>
      <c r="T16" s="811"/>
      <c r="U16" s="811"/>
      <c r="V16" s="811"/>
      <c r="W16" s="811"/>
      <c r="X16" s="811"/>
      <c r="Y16" s="811"/>
      <c r="Z16" s="811"/>
    </row>
    <row r="17" spans="1:26" s="812" customFormat="1" x14ac:dyDescent="0.2">
      <c r="A17" s="1385"/>
      <c r="B17" s="825" t="s">
        <v>267</v>
      </c>
      <c r="C17" s="814" t="s">
        <v>2</v>
      </c>
      <c r="D17" s="815">
        <f ca="1">SUMIF('LOUÇAS&amp;METAIS'!$C$7:$C$116,B17,'LOUÇAS&amp;METAIS'!$G$7:$G$110)</f>
        <v>167</v>
      </c>
      <c r="E17" s="837">
        <v>13.3</v>
      </c>
      <c r="F17" s="838">
        <f t="shared" ca="1" si="0"/>
        <v>2221.1</v>
      </c>
      <c r="G17" s="811"/>
      <c r="H17" s="811"/>
      <c r="I17" s="811"/>
      <c r="J17" s="811"/>
      <c r="K17" s="811"/>
      <c r="L17" s="811"/>
      <c r="M17" s="811"/>
      <c r="N17" s="811"/>
      <c r="O17" s="811"/>
      <c r="P17" s="811"/>
      <c r="Q17" s="811"/>
      <c r="R17" s="811"/>
      <c r="S17" s="811"/>
      <c r="T17" s="811"/>
      <c r="U17" s="811"/>
      <c r="V17" s="811"/>
      <c r="W17" s="811"/>
      <c r="X17" s="811"/>
      <c r="Y17" s="811"/>
      <c r="Z17" s="811"/>
    </row>
    <row r="18" spans="1:26" s="812" customFormat="1" x14ac:dyDescent="0.2">
      <c r="A18" s="1385"/>
      <c r="B18" s="814" t="s">
        <v>266</v>
      </c>
      <c r="C18" s="814" t="s">
        <v>2</v>
      </c>
      <c r="D18" s="815">
        <f ca="1">SUMIF('LOUÇAS&amp;METAIS'!$C$7:$C$116,B18,'LOUÇAS&amp;METAIS'!$G$7:$G$110)</f>
        <v>6</v>
      </c>
      <c r="E18" s="837">
        <v>518.66</v>
      </c>
      <c r="F18" s="838">
        <f t="shared" ca="1" si="0"/>
        <v>3111.96</v>
      </c>
      <c r="G18" s="811"/>
      <c r="H18" s="811"/>
      <c r="I18" s="811"/>
      <c r="J18" s="811"/>
      <c r="K18" s="811"/>
      <c r="L18" s="811"/>
      <c r="M18" s="811"/>
      <c r="N18" s="811"/>
      <c r="O18" s="811"/>
      <c r="P18" s="811"/>
      <c r="Q18" s="811"/>
      <c r="R18" s="811"/>
      <c r="S18" s="811"/>
      <c r="T18" s="811"/>
      <c r="U18" s="811"/>
      <c r="V18" s="811"/>
      <c r="W18" s="811"/>
      <c r="X18" s="811"/>
      <c r="Y18" s="811"/>
      <c r="Z18" s="811"/>
    </row>
    <row r="19" spans="1:26" s="812" customFormat="1" x14ac:dyDescent="0.2">
      <c r="A19" s="1385"/>
      <c r="B19" s="814" t="s">
        <v>262</v>
      </c>
      <c r="C19" s="814" t="s">
        <v>2</v>
      </c>
      <c r="D19" s="815">
        <f ca="1">SUMIF('LOUÇAS&amp;METAIS'!$C$7:$C$116,B19,'LOUÇAS&amp;METAIS'!$G$7:$G$110)</f>
        <v>2</v>
      </c>
      <c r="E19" s="837">
        <v>179.9</v>
      </c>
      <c r="F19" s="838">
        <f t="shared" ca="1" si="0"/>
        <v>359.8</v>
      </c>
      <c r="G19" s="811"/>
      <c r="H19" s="811"/>
      <c r="I19" s="811"/>
      <c r="J19" s="811"/>
      <c r="K19" s="811"/>
      <c r="L19" s="811"/>
      <c r="M19" s="811"/>
      <c r="N19" s="811"/>
      <c r="O19" s="811"/>
      <c r="P19" s="811"/>
      <c r="Q19" s="811"/>
      <c r="R19" s="811"/>
      <c r="S19" s="811"/>
      <c r="T19" s="811"/>
      <c r="U19" s="811"/>
      <c r="V19" s="811"/>
      <c r="W19" s="811"/>
      <c r="X19" s="811"/>
      <c r="Y19" s="811"/>
      <c r="Z19" s="811"/>
    </row>
    <row r="20" spans="1:26" s="812" customFormat="1" x14ac:dyDescent="0.2">
      <c r="A20" s="1385"/>
      <c r="B20" s="814" t="s">
        <v>268</v>
      </c>
      <c r="C20" s="814" t="s">
        <v>2</v>
      </c>
      <c r="D20" s="815">
        <f ca="1">SUMIF('LOUÇAS&amp;METAIS'!$C$7:$C$116,B20,'LOUÇAS&amp;METAIS'!$G$7:$G$110)</f>
        <v>170</v>
      </c>
      <c r="E20" s="837">
        <v>14.75</v>
      </c>
      <c r="F20" s="838">
        <f t="shared" ca="1" si="0"/>
        <v>2507.5</v>
      </c>
      <c r="G20" s="811"/>
      <c r="H20" s="811"/>
      <c r="I20" s="811"/>
      <c r="J20" s="811"/>
      <c r="K20" s="811"/>
      <c r="L20" s="811"/>
      <c r="M20" s="811"/>
      <c r="N20" s="811"/>
      <c r="O20" s="811"/>
      <c r="P20" s="811"/>
      <c r="Q20" s="811"/>
      <c r="R20" s="811"/>
      <c r="S20" s="811"/>
      <c r="T20" s="811"/>
      <c r="U20" s="811"/>
      <c r="V20" s="811"/>
      <c r="W20" s="811"/>
      <c r="X20" s="811"/>
      <c r="Y20" s="811"/>
      <c r="Z20" s="811"/>
    </row>
    <row r="21" spans="1:26" s="812" customFormat="1" x14ac:dyDescent="0.2">
      <c r="A21" s="1385"/>
      <c r="B21" s="814" t="s">
        <v>269</v>
      </c>
      <c r="C21" s="814" t="s">
        <v>2</v>
      </c>
      <c r="D21" s="815">
        <f ca="1">SUMIF('LOUÇAS&amp;METAIS'!$C$7:$C$116,B21,'LOUÇAS&amp;METAIS'!$G$7:$G$110)</f>
        <v>334</v>
      </c>
      <c r="E21" s="837">
        <v>24.95</v>
      </c>
      <c r="F21" s="838">
        <f t="shared" ca="1" si="0"/>
        <v>8333.2999999999993</v>
      </c>
      <c r="G21" s="811"/>
      <c r="H21" s="811"/>
      <c r="I21" s="811"/>
      <c r="J21" s="811"/>
      <c r="K21" s="811"/>
      <c r="L21" s="811"/>
      <c r="M21" s="811"/>
      <c r="N21" s="811"/>
      <c r="O21" s="811"/>
      <c r="P21" s="811"/>
      <c r="Q21" s="811"/>
      <c r="R21" s="811"/>
      <c r="S21" s="811"/>
      <c r="T21" s="811"/>
      <c r="U21" s="811"/>
      <c r="V21" s="811"/>
      <c r="W21" s="811"/>
      <c r="X21" s="811"/>
      <c r="Y21" s="811"/>
      <c r="Z21" s="811"/>
    </row>
    <row r="22" spans="1:26" s="812" customFormat="1" x14ac:dyDescent="0.2">
      <c r="A22" s="1385"/>
      <c r="B22" s="814" t="s">
        <v>270</v>
      </c>
      <c r="C22" s="814" t="s">
        <v>2</v>
      </c>
      <c r="D22" s="815">
        <f ca="1">SUMIF('LOUÇAS&amp;METAIS'!$C$7:$C$116,B22,'LOUÇAS&amp;METAIS'!$G$7:$G$110)</f>
        <v>11</v>
      </c>
      <c r="E22" s="837">
        <v>13.9</v>
      </c>
      <c r="F22" s="838">
        <f t="shared" ca="1" si="0"/>
        <v>152.9</v>
      </c>
      <c r="G22" s="811"/>
      <c r="H22" s="811"/>
      <c r="I22" s="811"/>
      <c r="J22" s="811"/>
      <c r="K22" s="811"/>
      <c r="L22" s="811"/>
      <c r="M22" s="811"/>
      <c r="N22" s="811"/>
      <c r="O22" s="811"/>
      <c r="P22" s="811"/>
      <c r="Q22" s="811"/>
      <c r="R22" s="811"/>
      <c r="S22" s="811"/>
      <c r="T22" s="811"/>
      <c r="U22" s="811"/>
      <c r="V22" s="811"/>
      <c r="W22" s="811"/>
      <c r="X22" s="811"/>
      <c r="Y22" s="811"/>
      <c r="Z22" s="811"/>
    </row>
    <row r="23" spans="1:26" s="812" customFormat="1" x14ac:dyDescent="0.2">
      <c r="A23" s="1385"/>
      <c r="B23" s="814" t="s">
        <v>1245</v>
      </c>
      <c r="C23" s="814" t="s">
        <v>2</v>
      </c>
      <c r="D23" s="815">
        <f ca="1">SUMIF('LOUÇAS&amp;METAIS'!$C$7:$C$116,B23,'LOUÇAS&amp;METAIS'!$G$7:$G$110)</f>
        <v>1</v>
      </c>
      <c r="E23" s="837">
        <v>152</v>
      </c>
      <c r="F23" s="838">
        <f t="shared" ca="1" si="0"/>
        <v>152</v>
      </c>
      <c r="G23" s="811"/>
      <c r="H23" s="811"/>
      <c r="I23" s="811"/>
      <c r="J23" s="811"/>
      <c r="K23" s="811"/>
      <c r="L23" s="811"/>
      <c r="M23" s="811"/>
      <c r="N23" s="811"/>
      <c r="O23" s="811"/>
      <c r="P23" s="811"/>
      <c r="Q23" s="811"/>
      <c r="R23" s="811"/>
      <c r="S23" s="811"/>
      <c r="T23" s="811"/>
      <c r="U23" s="811"/>
      <c r="V23" s="811"/>
      <c r="W23" s="811"/>
      <c r="X23" s="811"/>
      <c r="Y23" s="811"/>
      <c r="Z23" s="811"/>
    </row>
    <row r="24" spans="1:26" s="812" customFormat="1" x14ac:dyDescent="0.2">
      <c r="A24" s="1385"/>
      <c r="B24" s="813" t="s">
        <v>261</v>
      </c>
      <c r="C24" s="814" t="s">
        <v>2</v>
      </c>
      <c r="D24" s="815">
        <f ca="1">SUMIF('LOUÇAS&amp;METAIS'!$C$7:$C$116,B24,'LOUÇAS&amp;METAIS'!$G$7:$G$110)</f>
        <v>3</v>
      </c>
      <c r="E24" s="837">
        <v>229.9</v>
      </c>
      <c r="F24" s="838">
        <f t="shared" ca="1" si="0"/>
        <v>689.7</v>
      </c>
      <c r="G24" s="811"/>
      <c r="H24" s="811"/>
      <c r="I24" s="811"/>
      <c r="J24" s="811"/>
      <c r="K24" s="811"/>
      <c r="L24" s="811"/>
      <c r="M24" s="811"/>
      <c r="N24" s="811"/>
      <c r="O24" s="811"/>
      <c r="P24" s="811"/>
      <c r="Q24" s="811"/>
      <c r="R24" s="811"/>
      <c r="S24" s="811"/>
      <c r="T24" s="811"/>
      <c r="U24" s="811"/>
      <c r="V24" s="811"/>
      <c r="W24" s="811"/>
      <c r="X24" s="811"/>
      <c r="Y24" s="811"/>
      <c r="Z24" s="811"/>
    </row>
    <row r="25" spans="1:26" s="812" customFormat="1" x14ac:dyDescent="0.2">
      <c r="A25" s="1385"/>
      <c r="B25" s="814" t="s">
        <v>263</v>
      </c>
      <c r="C25" s="814" t="s">
        <v>2</v>
      </c>
      <c r="D25" s="815">
        <f ca="1">SUMIF('LOUÇAS&amp;METAIS'!$C$7:$C$116,B25,'LOUÇAS&amp;METAIS'!$G$7:$G$110)</f>
        <v>3</v>
      </c>
      <c r="E25" s="837">
        <v>55</v>
      </c>
      <c r="F25" s="838">
        <f t="shared" ca="1" si="0"/>
        <v>165</v>
      </c>
      <c r="G25" s="811"/>
      <c r="H25" s="811"/>
      <c r="I25" s="811"/>
      <c r="J25" s="811"/>
      <c r="K25" s="811"/>
      <c r="L25" s="811"/>
      <c r="M25" s="811"/>
      <c r="N25" s="811"/>
      <c r="O25" s="811"/>
      <c r="P25" s="811"/>
      <c r="Q25" s="811"/>
      <c r="R25" s="811"/>
      <c r="S25" s="811"/>
      <c r="T25" s="811"/>
      <c r="U25" s="811"/>
      <c r="V25" s="811"/>
      <c r="W25" s="811"/>
      <c r="X25" s="811"/>
      <c r="Y25" s="811"/>
      <c r="Z25" s="811"/>
    </row>
    <row r="26" spans="1:26" s="812" customFormat="1" x14ac:dyDescent="0.2">
      <c r="A26" s="1385"/>
      <c r="B26" s="814" t="s">
        <v>1246</v>
      </c>
      <c r="C26" s="814" t="s">
        <v>2</v>
      </c>
      <c r="D26" s="815">
        <f ca="1">SUMIF('LOUÇAS&amp;METAIS'!$C$7:$C$116,B26,'LOUÇAS&amp;METAIS'!$G$7:$G$110)</f>
        <v>1</v>
      </c>
      <c r="E26" s="837">
        <v>38.9</v>
      </c>
      <c r="F26" s="838">
        <f t="shared" ca="1" si="0"/>
        <v>38.9</v>
      </c>
      <c r="G26" s="811"/>
      <c r="H26" s="811"/>
      <c r="I26" s="811"/>
      <c r="J26" s="811"/>
      <c r="K26" s="811"/>
      <c r="L26" s="811"/>
      <c r="M26" s="811"/>
      <c r="N26" s="811"/>
      <c r="O26" s="811"/>
      <c r="P26" s="811"/>
      <c r="Q26" s="811"/>
      <c r="R26" s="811"/>
      <c r="S26" s="811"/>
      <c r="T26" s="811"/>
      <c r="U26" s="811"/>
      <c r="V26" s="811"/>
      <c r="W26" s="811"/>
      <c r="X26" s="811"/>
      <c r="Y26" s="811"/>
      <c r="Z26" s="811"/>
    </row>
    <row r="27" spans="1:26" s="812" customFormat="1" x14ac:dyDescent="0.2">
      <c r="A27" s="1385"/>
      <c r="B27" s="814" t="s">
        <v>1242</v>
      </c>
      <c r="C27" s="814" t="s">
        <v>2</v>
      </c>
      <c r="D27" s="815">
        <f ca="1">SUMIF('LOUÇAS&amp;METAIS'!$C$7:$C$116,B27,'LOUÇAS&amp;METAIS'!$G$7:$G$110)</f>
        <v>8</v>
      </c>
      <c r="E27" s="837">
        <v>54.25</v>
      </c>
      <c r="F27" s="838">
        <f t="shared" ca="1" si="0"/>
        <v>434</v>
      </c>
      <c r="G27" s="811"/>
      <c r="H27" s="811"/>
      <c r="I27" s="811"/>
      <c r="J27" s="811"/>
      <c r="K27" s="811"/>
      <c r="L27" s="811"/>
      <c r="M27" s="811"/>
      <c r="N27" s="811"/>
      <c r="O27" s="811"/>
      <c r="P27" s="811"/>
      <c r="Q27" s="811"/>
      <c r="R27" s="811"/>
      <c r="S27" s="811"/>
      <c r="T27" s="811"/>
      <c r="U27" s="811"/>
      <c r="V27" s="811"/>
      <c r="W27" s="811"/>
      <c r="X27" s="811"/>
      <c r="Y27" s="811"/>
      <c r="Z27" s="811"/>
    </row>
    <row r="28" spans="1:26" s="812" customFormat="1" x14ac:dyDescent="0.2">
      <c r="A28" s="1385"/>
      <c r="B28" s="814" t="s">
        <v>264</v>
      </c>
      <c r="C28" s="814" t="s">
        <v>2</v>
      </c>
      <c r="D28" s="815">
        <f ca="1">SUMIF('LOUÇAS&amp;METAIS'!$C$7:$C$116,B28,'LOUÇAS&amp;METAIS'!$G$7:$G$110)</f>
        <v>6</v>
      </c>
      <c r="E28" s="837">
        <v>21.9</v>
      </c>
      <c r="F28" s="838">
        <f t="shared" ca="1" si="0"/>
        <v>131.39999999999998</v>
      </c>
      <c r="G28" s="811"/>
      <c r="H28" s="811"/>
      <c r="I28" s="811"/>
      <c r="J28" s="811"/>
      <c r="K28" s="811"/>
      <c r="L28" s="811"/>
      <c r="M28" s="811"/>
      <c r="N28" s="811"/>
      <c r="O28" s="811"/>
      <c r="P28" s="811"/>
      <c r="Q28" s="811"/>
      <c r="R28" s="811"/>
      <c r="S28" s="811"/>
      <c r="T28" s="811"/>
      <c r="U28" s="811"/>
      <c r="V28" s="811"/>
      <c r="W28" s="811"/>
      <c r="X28" s="811"/>
      <c r="Y28" s="811"/>
      <c r="Z28" s="811"/>
    </row>
    <row r="29" spans="1:26" s="812" customFormat="1" x14ac:dyDescent="0.2">
      <c r="A29" s="1385"/>
      <c r="B29" s="814" t="s">
        <v>265</v>
      </c>
      <c r="C29" s="814" t="s">
        <v>2</v>
      </c>
      <c r="D29" s="815">
        <f ca="1">SUMIF('LOUÇAS&amp;METAIS'!$C$7:$C$116,B29,'LOUÇAS&amp;METAIS'!$G$7:$G$110)</f>
        <v>1</v>
      </c>
      <c r="E29" s="837">
        <v>1.59</v>
      </c>
      <c r="F29" s="838">
        <f t="shared" ca="1" si="0"/>
        <v>1.59</v>
      </c>
      <c r="G29" s="811"/>
      <c r="H29" s="811"/>
      <c r="I29" s="811"/>
      <c r="J29" s="811"/>
      <c r="K29" s="811"/>
      <c r="L29" s="811"/>
      <c r="M29" s="811"/>
      <c r="N29" s="811"/>
      <c r="O29" s="811"/>
      <c r="P29" s="811"/>
      <c r="Q29" s="811"/>
      <c r="R29" s="811"/>
      <c r="S29" s="811"/>
      <c r="T29" s="811"/>
      <c r="U29" s="811"/>
      <c r="V29" s="811"/>
      <c r="W29" s="811"/>
      <c r="X29" s="811"/>
      <c r="Y29" s="811"/>
      <c r="Z29" s="811"/>
    </row>
    <row r="30" spans="1:26" s="812" customFormat="1" ht="15" x14ac:dyDescent="0.25">
      <c r="A30" s="1386"/>
      <c r="B30" s="1398" t="s">
        <v>9</v>
      </c>
      <c r="C30" s="1399"/>
      <c r="D30" s="1399"/>
      <c r="E30" s="1400"/>
      <c r="F30" s="840">
        <f ca="1">SUM(F15:F29)</f>
        <v>36876.469999999994</v>
      </c>
      <c r="G30" s="811"/>
      <c r="H30" s="811"/>
      <c r="I30" s="811"/>
      <c r="J30" s="811"/>
      <c r="K30" s="811"/>
      <c r="L30" s="811"/>
      <c r="M30" s="811"/>
      <c r="N30" s="811"/>
      <c r="O30" s="811"/>
      <c r="P30" s="811"/>
      <c r="Q30" s="811"/>
      <c r="R30" s="811"/>
      <c r="S30" s="811"/>
      <c r="T30" s="811"/>
      <c r="U30" s="811"/>
      <c r="V30" s="811"/>
      <c r="W30" s="811"/>
      <c r="X30" s="811"/>
      <c r="Y30" s="811"/>
      <c r="Z30" s="811"/>
    </row>
    <row r="31" spans="1:26" s="812" customFormat="1" x14ac:dyDescent="0.2">
      <c r="A31" s="895" t="s">
        <v>211</v>
      </c>
      <c r="B31" s="814" t="s">
        <v>271</v>
      </c>
      <c r="C31" s="814" t="s">
        <v>1</v>
      </c>
      <c r="D31" s="815">
        <f>SUM('Projeção torre'!F45:F50,'Projeção torre'!F52)</f>
        <v>8696.5700000000015</v>
      </c>
      <c r="E31" s="837">
        <v>6</v>
      </c>
      <c r="F31" s="838">
        <f>E31*D31</f>
        <v>52179.420000000013</v>
      </c>
      <c r="G31" s="839"/>
      <c r="I31" s="811"/>
      <c r="J31" s="811"/>
      <c r="K31" s="811"/>
      <c r="L31" s="811"/>
      <c r="M31" s="811"/>
      <c r="N31" s="811"/>
      <c r="O31" s="811"/>
      <c r="P31" s="811"/>
      <c r="Q31" s="811"/>
      <c r="R31" s="811"/>
      <c r="S31" s="811"/>
      <c r="T31" s="811"/>
      <c r="U31" s="811"/>
      <c r="V31" s="811"/>
      <c r="W31" s="811"/>
      <c r="X31" s="811"/>
      <c r="Y31" s="811"/>
      <c r="Z31" s="811"/>
    </row>
    <row r="32" spans="1:26" s="812" customFormat="1" x14ac:dyDescent="0.2">
      <c r="A32" s="811"/>
      <c r="B32" s="811"/>
      <c r="C32" s="811"/>
      <c r="D32" s="839"/>
      <c r="E32" s="841"/>
      <c r="F32" s="842">
        <f ca="1">F14+F30+F31</f>
        <v>300014.33000000007</v>
      </c>
      <c r="G32" s="839"/>
      <c r="H32" s="811"/>
      <c r="I32" s="811"/>
      <c r="J32" s="811"/>
      <c r="K32" s="811"/>
      <c r="L32" s="811"/>
      <c r="M32" s="811"/>
      <c r="N32" s="811"/>
      <c r="O32" s="811"/>
      <c r="P32" s="811"/>
      <c r="Q32" s="811"/>
      <c r="R32" s="811"/>
      <c r="S32" s="811"/>
      <c r="T32" s="811"/>
      <c r="U32" s="811"/>
      <c r="V32" s="811"/>
      <c r="W32" s="811"/>
      <c r="X32" s="811"/>
      <c r="Y32" s="811"/>
      <c r="Z32" s="811"/>
    </row>
    <row r="34" spans="4:4" x14ac:dyDescent="0.2">
      <c r="D34" s="474"/>
    </row>
  </sheetData>
  <mergeCells count="5">
    <mergeCell ref="A9:A14"/>
    <mergeCell ref="B14:E14"/>
    <mergeCell ref="A15:A30"/>
    <mergeCell ref="B30:E30"/>
    <mergeCell ref="A5:F5"/>
  </mergeCells>
  <pageMargins left="0.511811024" right="0.511811024" top="0.78740157499999996" bottom="0.78740157499999996" header="0.31496062000000002" footer="0.31496062000000002"/>
  <pageSetup paperSize="9"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38</vt:i4>
      </vt:variant>
      <vt:variant>
        <vt:lpstr>Intervalos Nomeados</vt:lpstr>
      </vt:variant>
      <vt:variant>
        <vt:i4>20</vt:i4>
      </vt:variant>
    </vt:vector>
  </HeadingPairs>
  <TitlesOfParts>
    <vt:vector size="58" baseType="lpstr">
      <vt:lpstr>OBRA</vt:lpstr>
      <vt:lpstr>EPC's</vt:lpstr>
      <vt:lpstr>CANTEIRO</vt:lpstr>
      <vt:lpstr>CONTROLE_TEC</vt:lpstr>
      <vt:lpstr>ORÇAMENTO</vt:lpstr>
      <vt:lpstr>MO Infra</vt:lpstr>
      <vt:lpstr>Composições</vt:lpstr>
      <vt:lpstr>Preços</vt:lpstr>
      <vt:lpstr>Projeção torre</vt:lpstr>
      <vt:lpstr>Cotações</vt:lpstr>
      <vt:lpstr>Estacas</vt:lpstr>
      <vt:lpstr>Arm. Estacas</vt:lpstr>
      <vt:lpstr>Duto&amp;Cisterna</vt:lpstr>
      <vt:lpstr>Blocos</vt:lpstr>
      <vt:lpstr>Arm. Cortina</vt:lpstr>
      <vt:lpstr>Tabela de Aço</vt:lpstr>
      <vt:lpstr>Vigas Fundação</vt:lpstr>
      <vt:lpstr>Lajes Fundação</vt:lpstr>
      <vt:lpstr>Pilares enterrados</vt:lpstr>
      <vt:lpstr>Arm. Fund. Dir</vt:lpstr>
      <vt:lpstr>Vigas</vt:lpstr>
      <vt:lpstr>Pilares</vt:lpstr>
      <vt:lpstr>Lajes</vt:lpstr>
      <vt:lpstr>Rampas</vt:lpstr>
      <vt:lpstr>Escadas</vt:lpstr>
      <vt:lpstr>SUPRA</vt:lpstr>
      <vt:lpstr>ARQ.</vt:lpstr>
      <vt:lpstr>IMPERM.</vt:lpstr>
      <vt:lpstr>FACHADA</vt:lpstr>
      <vt:lpstr>ESQ. ALUM.</vt:lpstr>
      <vt:lpstr>ESQ. MET E SERR</vt:lpstr>
      <vt:lpstr>ESQ. MAD. E PCF</vt:lpstr>
      <vt:lpstr>GC-CORRIMÃO</vt:lpstr>
      <vt:lpstr>INTERFONIA</vt:lpstr>
      <vt:lpstr>MOBILIARIO</vt:lpstr>
      <vt:lpstr>PISCINA</vt:lpstr>
      <vt:lpstr>LOUÇAS&amp;METAIS</vt:lpstr>
      <vt:lpstr>LOUÇAS&amp;METAIS RESUMO</vt:lpstr>
      <vt:lpstr>'Arm. Estacas'!Area_de_impressao</vt:lpstr>
      <vt:lpstr>CANTEIRO!Area_de_impressao</vt:lpstr>
      <vt:lpstr>'EPC''s'!Area_de_impressao</vt:lpstr>
      <vt:lpstr>Escadas!Area_de_impressao</vt:lpstr>
      <vt:lpstr>Lajes!Area_de_impressao</vt:lpstr>
      <vt:lpstr>'Lajes Fundação'!Area_de_impressao</vt:lpstr>
      <vt:lpstr>'LOUÇAS&amp;METAIS RESUMO'!Area_de_impressao</vt:lpstr>
      <vt:lpstr>MOBILIARIO!Area_de_impressao</vt:lpstr>
      <vt:lpstr>OBRA!Area_de_impressao</vt:lpstr>
      <vt:lpstr>Pilares!Area_de_impressao</vt:lpstr>
      <vt:lpstr>Vigas!Area_de_impressao</vt:lpstr>
      <vt:lpstr>'Vigas Fundação'!Area_de_impressao</vt:lpstr>
      <vt:lpstr>INTERFONIA!Criterios</vt:lpstr>
      <vt:lpstr>PISCINA!Criterios</vt:lpstr>
      <vt:lpstr>'EPC''s'!Titulos_de_impressao</vt:lpstr>
      <vt:lpstr>Escadas!Titulos_de_impressao</vt:lpstr>
      <vt:lpstr>Lajes!Titulos_de_impressao</vt:lpstr>
      <vt:lpstr>OBRA!Titulos_de_impressao</vt:lpstr>
      <vt:lpstr>Rampas!Titulos_de_impressao</vt:lpstr>
      <vt:lpstr>Vigas!Titulos_de_impressao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Furlan</dc:creator>
  <cp:lastModifiedBy>Leonardo Cartesian</cp:lastModifiedBy>
  <cp:lastPrinted>2024-02-16T20:24:40Z</cp:lastPrinted>
  <dcterms:created xsi:type="dcterms:W3CDTF">2011-02-08T17:53:57Z</dcterms:created>
  <dcterms:modified xsi:type="dcterms:W3CDTF">2026-03-06T11:56:44Z</dcterms:modified>
</cp:coreProperties>
</file>